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35" windowWidth="11115" windowHeight="109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结果表-车位" sheetId="84"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车库" sheetId="83"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8" r:id="rId47"/>
    <sheet name="租金市调" sheetId="79" r:id="rId48"/>
    <sheet name="市场案例" sheetId="80" r:id="rId49"/>
    <sheet name="租赁情况表" sheetId="81" r:id="rId50"/>
    <sheet name="车位案例" sheetId="82" r:id="rId51"/>
  </sheets>
  <externalReferences>
    <externalReference r:id="rId52"/>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6" hidden="1">抵押物清单!$A$7:$U$206</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30">'结果表-车位'!$A$1:$I$127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11" i="78" l="1"/>
  <c r="K201" i="81" l="1"/>
  <c r="K191" i="81"/>
  <c r="K186" i="81"/>
  <c r="K100" i="81"/>
  <c r="K98" i="81"/>
  <c r="K93" i="81"/>
  <c r="K205" i="81"/>
  <c r="K204" i="81"/>
  <c r="K203" i="81"/>
  <c r="K200" i="81"/>
  <c r="K199" i="81"/>
  <c r="K198" i="81"/>
  <c r="K197" i="81"/>
  <c r="K196" i="81"/>
  <c r="K195" i="81"/>
  <c r="K194" i="81"/>
  <c r="K193" i="81"/>
  <c r="K190" i="81"/>
  <c r="K189" i="81"/>
  <c r="K188"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07" i="81"/>
  <c r="K106" i="81"/>
  <c r="K105" i="81"/>
  <c r="K104" i="81"/>
  <c r="K103" i="81"/>
  <c r="K97" i="81"/>
  <c r="K96" i="81"/>
  <c r="K95" i="81"/>
  <c r="K92" i="81"/>
  <c r="K91" i="81"/>
  <c r="K90" i="81"/>
  <c r="K89" i="81"/>
  <c r="K88" i="81"/>
  <c r="K87" i="81"/>
  <c r="K86" i="81"/>
  <c r="K85" i="81"/>
  <c r="K84" i="81"/>
  <c r="K83" i="81"/>
  <c r="K82" i="81"/>
  <c r="K81" i="81"/>
  <c r="K80" i="81"/>
  <c r="K79" i="81"/>
  <c r="K78" i="81"/>
  <c r="K77" i="81"/>
  <c r="K76"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8"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5" i="81"/>
  <c r="J49" i="15"/>
  <c r="J49" i="83"/>
  <c r="A120" i="84" l="1"/>
  <c r="E111" i="84"/>
  <c r="A126"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C18" i="84" l="1"/>
  <c r="D18" i="84" s="1"/>
  <c r="H109" i="84"/>
  <c r="H112" i="84"/>
  <c r="D121" i="84"/>
  <c r="K120" i="84"/>
  <c r="H111" i="84"/>
  <c r="D126" i="84" s="1"/>
  <c r="D127" i="84" s="1"/>
  <c r="C94" i="84"/>
  <c r="H110" i="84"/>
  <c r="D124" i="84" l="1"/>
  <c r="D125" i="84" s="1"/>
  <c r="M49" i="84"/>
  <c r="Q72" i="83"/>
  <c r="Q59" i="83"/>
  <c r="K59" i="83"/>
  <c r="P74" i="83" s="1"/>
  <c r="F59" i="83"/>
  <c r="Q58" i="83"/>
  <c r="Q51" i="83"/>
  <c r="J50" i="83"/>
  <c r="M47" i="83"/>
  <c r="D46" i="83"/>
  <c r="F33" i="83"/>
  <c r="F61" i="83" s="1"/>
  <c r="F31" i="83"/>
  <c r="F23" i="83"/>
  <c r="D24" i="83" s="1"/>
  <c r="F21" i="83"/>
  <c r="F20" i="83"/>
  <c r="M19" i="83"/>
  <c r="F18" i="83"/>
  <c r="M17" i="83"/>
  <c r="F17" i="83"/>
  <c r="F15" i="83"/>
  <c r="Y7" i="1"/>
  <c r="N7" i="1"/>
  <c r="E47" i="21"/>
  <c r="E33" i="21"/>
  <c r="E154" i="80"/>
  <c r="Y6" i="1"/>
  <c r="D23" i="83" l="1"/>
  <c r="L65" i="84"/>
  <c r="M65" i="84" s="1"/>
  <c r="L67" i="84"/>
  <c r="M67" i="84" s="1"/>
  <c r="L66" i="84"/>
  <c r="M66" i="84" s="1"/>
  <c r="L68" i="84"/>
  <c r="M68" i="84" s="1"/>
  <c r="L64" i="84"/>
  <c r="M64" i="84" s="1"/>
  <c r="L63" i="84"/>
  <c r="M63" i="84" s="1"/>
  <c r="M69" i="84" s="1"/>
  <c r="N69" i="84" s="1"/>
  <c r="D22" i="83"/>
  <c r="P61" i="83"/>
  <c r="E5" i="21" l="1"/>
  <c r="E109" i="81"/>
  <c r="E207" i="81"/>
  <c r="E210" i="81" s="1"/>
  <c r="E211" i="81" s="1"/>
  <c r="I207" i="81"/>
  <c r="I210" i="81" s="1"/>
  <c r="I211" i="81" s="1"/>
  <c r="C207" i="81"/>
  <c r="I109" i="81"/>
  <c r="C109" i="81"/>
  <c r="I47" i="21" l="1"/>
  <c r="G47" i="21"/>
  <c r="D3" i="31"/>
  <c r="E3" i="31"/>
  <c r="F3" i="31"/>
  <c r="G3" i="31"/>
  <c r="H3" i="31"/>
  <c r="I3" i="31"/>
  <c r="J3" i="31"/>
  <c r="D4" i="31"/>
  <c r="E4" i="31"/>
  <c r="F4" i="31"/>
  <c r="G4" i="31"/>
  <c r="H4" i="31"/>
  <c r="I4" i="31"/>
  <c r="J4" i="31"/>
  <c r="C4" i="31"/>
  <c r="C3" i="31"/>
  <c r="I33" i="21"/>
  <c r="G33" i="2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5" i="31"/>
  <c r="B24" i="31"/>
  <c r="C33" i="21" s="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5" i="31"/>
  <c r="A24" i="31"/>
  <c r="D17" i="31"/>
  <c r="E17" i="31"/>
  <c r="D18" i="31"/>
  <c r="E18" i="31"/>
  <c r="C18" i="31"/>
  <c r="C17" i="31"/>
  <c r="I27" i="21"/>
  <c r="G27" i="21"/>
  <c r="I5" i="21"/>
  <c r="E152" i="80"/>
  <c r="E151" i="80"/>
  <c r="G5" i="21" s="1"/>
  <c r="M26" i="1"/>
  <c r="M24" i="1"/>
  <c r="K13" i="3"/>
  <c r="G20" i="6" s="1"/>
  <c r="H210" i="78"/>
  <c r="I13" i="3" s="1"/>
  <c r="F19" i="6" s="1"/>
  <c r="T28" i="1" s="1"/>
  <c r="O47" i="78"/>
  <c r="O51" i="78"/>
  <c r="O55" i="78"/>
  <c r="O59" i="78"/>
  <c r="O63" i="78"/>
  <c r="O74" i="78"/>
  <c r="O79" i="78"/>
  <c r="O84" i="78"/>
  <c r="O94" i="78"/>
  <c r="O99" i="78"/>
  <c r="O104" i="78"/>
  <c r="O111" i="78"/>
  <c r="O112" i="78"/>
  <c r="U95" i="78"/>
  <c r="N119" i="78" s="1"/>
  <c r="N125" i="78" s="1"/>
  <c r="N131" i="78" s="1"/>
  <c r="N137" i="78" s="1"/>
  <c r="N142" i="78" s="1"/>
  <c r="O142" i="78" s="1"/>
  <c r="U96" i="78"/>
  <c r="N118" i="78" s="1"/>
  <c r="N124" i="78" s="1"/>
  <c r="N130" i="78" s="1"/>
  <c r="N136" i="78" s="1"/>
  <c r="O136" i="78" s="1"/>
  <c r="U97" i="78"/>
  <c r="N146" i="78" s="1"/>
  <c r="O146" i="78" s="1"/>
  <c r="U98" i="78"/>
  <c r="N74" i="78" s="1"/>
  <c r="N79" i="78" s="1"/>
  <c r="N84" i="78" s="1"/>
  <c r="N89" i="78" s="1"/>
  <c r="N94" i="78" s="1"/>
  <c r="N99" i="78" s="1"/>
  <c r="N104" i="78" s="1"/>
  <c r="N109" i="78" s="1"/>
  <c r="O109" i="78" s="1"/>
  <c r="U99" i="78"/>
  <c r="N71" i="78" s="1"/>
  <c r="N76" i="78" s="1"/>
  <c r="N81" i="78" s="1"/>
  <c r="N86" i="78" s="1"/>
  <c r="N91" i="78" s="1"/>
  <c r="N96" i="78" s="1"/>
  <c r="N101" i="78" s="1"/>
  <c r="N106" i="78" s="1"/>
  <c r="O106" i="78" s="1"/>
  <c r="U100" i="78"/>
  <c r="N116" i="78" s="1"/>
  <c r="N122" i="78" s="1"/>
  <c r="N128" i="78" s="1"/>
  <c r="N134" i="78" s="1"/>
  <c r="N140" i="78" s="1"/>
  <c r="O140" i="78" s="1"/>
  <c r="U101" i="78"/>
  <c r="N67" i="78" s="1"/>
  <c r="O67" i="78" s="1"/>
  <c r="U102" i="78"/>
  <c r="N111" i="78" s="1"/>
  <c r="U103" i="78"/>
  <c r="T96" i="78"/>
  <c r="T97" i="78"/>
  <c r="T98" i="78"/>
  <c r="T99" i="78"/>
  <c r="T100" i="78"/>
  <c r="T101" i="78"/>
  <c r="T102" i="78"/>
  <c r="T103" i="78"/>
  <c r="T95" i="78"/>
  <c r="N64" i="78"/>
  <c r="O64" i="78" s="1"/>
  <c r="N63" i="78"/>
  <c r="N62" i="78"/>
  <c r="O62" i="78" s="1"/>
  <c r="N61" i="78"/>
  <c r="O61" i="78" s="1"/>
  <c r="N60" i="78"/>
  <c r="O60" i="78" s="1"/>
  <c r="N59" i="78"/>
  <c r="N58" i="78"/>
  <c r="O58" i="78" s="1"/>
  <c r="N57" i="78"/>
  <c r="O57" i="78" s="1"/>
  <c r="N56" i="78"/>
  <c r="O56" i="78" s="1"/>
  <c r="N55" i="78"/>
  <c r="N54" i="78"/>
  <c r="O54" i="78" s="1"/>
  <c r="N53" i="78"/>
  <c r="O53" i="78" s="1"/>
  <c r="N52" i="78"/>
  <c r="O52" i="78" s="1"/>
  <c r="N51" i="78"/>
  <c r="N50" i="78"/>
  <c r="O50" i="78" s="1"/>
  <c r="N49" i="78"/>
  <c r="O49" i="78" s="1"/>
  <c r="N48" i="78"/>
  <c r="O48" i="78" s="1"/>
  <c r="N47" i="78"/>
  <c r="N46" i="78"/>
  <c r="O46" i="78" s="1"/>
  <c r="N45" i="78"/>
  <c r="O45" i="78" s="1"/>
  <c r="N44" i="78"/>
  <c r="O44" i="78" s="1"/>
  <c r="N43" i="78"/>
  <c r="O43" i="78" s="1"/>
  <c r="N41" i="78"/>
  <c r="O41" i="78" s="1"/>
  <c r="N42" i="78"/>
  <c r="O42" i="78" s="1"/>
  <c r="N40" i="78"/>
  <c r="O40" i="78" s="1"/>
  <c r="N39" i="78"/>
  <c r="O39" i="78" s="1"/>
  <c r="N38" i="78"/>
  <c r="O38" i="78" s="1"/>
  <c r="N37" i="78"/>
  <c r="O37" i="78" s="1"/>
  <c r="N36" i="78"/>
  <c r="O36" i="78" s="1"/>
  <c r="N35" i="78"/>
  <c r="O35" i="78" s="1"/>
  <c r="N34" i="78"/>
  <c r="O34" i="78" s="1"/>
  <c r="N33" i="78"/>
  <c r="O33" i="78" s="1"/>
  <c r="N32" i="78"/>
  <c r="O32" i="78" s="1"/>
  <c r="N31" i="78"/>
  <c r="O31" i="78" s="1"/>
  <c r="N30" i="78"/>
  <c r="O30" i="78" s="1"/>
  <c r="N29" i="78"/>
  <c r="O29" i="78" s="1"/>
  <c r="N28" i="78"/>
  <c r="O28" i="78" s="1"/>
  <c r="N27" i="78"/>
  <c r="O27" i="78" s="1"/>
  <c r="N26" i="78"/>
  <c r="O26" i="78" s="1"/>
  <c r="N25" i="78"/>
  <c r="O25" i="78" s="1"/>
  <c r="N24" i="78"/>
  <c r="O24" i="78" s="1"/>
  <c r="N23" i="78"/>
  <c r="O23" i="78" s="1"/>
  <c r="N22" i="78"/>
  <c r="O22" i="78" s="1"/>
  <c r="N21" i="78"/>
  <c r="O21" i="78" s="1"/>
  <c r="N20" i="78"/>
  <c r="O20" i="78" s="1"/>
  <c r="N19" i="78"/>
  <c r="O19" i="78" s="1"/>
  <c r="N18" i="78"/>
  <c r="O18" i="78" s="1"/>
  <c r="N17" i="78"/>
  <c r="O17" i="78" s="1"/>
  <c r="N16" i="78"/>
  <c r="O16" i="78" s="1"/>
  <c r="N15" i="78"/>
  <c r="O15" i="78" s="1"/>
  <c r="N14" i="78"/>
  <c r="O14" i="78" s="1"/>
  <c r="N13" i="78"/>
  <c r="O13" i="78" s="1"/>
  <c r="N12" i="78"/>
  <c r="O12" i="78" s="1"/>
  <c r="N11" i="78"/>
  <c r="O11" i="78" s="1"/>
  <c r="N10" i="78"/>
  <c r="O10" i="78" s="1"/>
  <c r="T55" i="79"/>
  <c r="T54" i="79"/>
  <c r="T53" i="79"/>
  <c r="T52" i="79"/>
  <c r="T51" i="79"/>
  <c r="T50" i="79"/>
  <c r="T49" i="79"/>
  <c r="T48" i="79"/>
  <c r="T47" i="79"/>
  <c r="J203" i="78"/>
  <c r="O137" i="78" l="1"/>
  <c r="O125" i="78"/>
  <c r="O96" i="78"/>
  <c r="O76" i="78"/>
  <c r="O128" i="78"/>
  <c r="O124" i="78"/>
  <c r="O116" i="78"/>
  <c r="O91" i="78"/>
  <c r="O71" i="78"/>
  <c r="O119" i="78"/>
  <c r="O86" i="78"/>
  <c r="O131" i="78"/>
  <c r="O134" i="78"/>
  <c r="O130" i="78"/>
  <c r="O122" i="78"/>
  <c r="O118" i="78"/>
  <c r="O101" i="78"/>
  <c r="O89" i="78"/>
  <c r="O81" i="78"/>
  <c r="N201" i="78"/>
  <c r="O201" i="78" s="1"/>
  <c r="N117" i="78"/>
  <c r="N144" i="78"/>
  <c r="N68" i="78"/>
  <c r="O68" i="78" s="1"/>
  <c r="N155" i="78"/>
  <c r="N150" i="78"/>
  <c r="O150" i="78" s="1"/>
  <c r="N73" i="78"/>
  <c r="N145" i="78"/>
  <c r="N114" i="78"/>
  <c r="N115" i="78"/>
  <c r="N143" i="78"/>
  <c r="N147" i="78"/>
  <c r="O147" i="78" s="1"/>
  <c r="N72" i="78"/>
  <c r="N69" i="78"/>
  <c r="O69" i="78" s="1"/>
  <c r="N66" i="78"/>
  <c r="O66" i="78" s="1"/>
  <c r="N70" i="78"/>
  <c r="N110" i="78"/>
  <c r="O110" i="78" s="1"/>
  <c r="N65" i="78"/>
  <c r="O65" i="78" s="1"/>
  <c r="G15" i="73"/>
  <c r="F15" i="73"/>
  <c r="E15" i="73"/>
  <c r="N148" i="78" l="1"/>
  <c r="O143" i="78"/>
  <c r="N78" i="78"/>
  <c r="O73" i="78"/>
  <c r="N149" i="78"/>
  <c r="O144" i="78"/>
  <c r="N121" i="78"/>
  <c r="O115" i="78"/>
  <c r="N77" i="78"/>
  <c r="O72" i="78"/>
  <c r="N120" i="78"/>
  <c r="O114" i="78"/>
  <c r="N123" i="78"/>
  <c r="O117" i="78"/>
  <c r="N75" i="78"/>
  <c r="O70" i="78"/>
  <c r="N154" i="78"/>
  <c r="O145" i="78"/>
  <c r="N160" i="78"/>
  <c r="O155" i="78"/>
  <c r="N151" i="78"/>
  <c r="O151" i="78" s="1"/>
  <c r="N156" i="78"/>
  <c r="G16" i="73"/>
  <c r="F16" i="73"/>
  <c r="E16" i="73"/>
  <c r="N164" i="78" l="1"/>
  <c r="O160" i="78"/>
  <c r="N80" i="78"/>
  <c r="O75" i="78"/>
  <c r="N126" i="78"/>
  <c r="O120" i="78"/>
  <c r="N127" i="78"/>
  <c r="O121" i="78"/>
  <c r="N83" i="78"/>
  <c r="O78" i="78"/>
  <c r="N161" i="78"/>
  <c r="O161" i="78" s="1"/>
  <c r="O156" i="78"/>
  <c r="N159" i="78"/>
  <c r="O154" i="78"/>
  <c r="N129" i="78"/>
  <c r="O123" i="78"/>
  <c r="N82" i="78"/>
  <c r="O77" i="78"/>
  <c r="N153" i="78"/>
  <c r="O153" i="78" s="1"/>
  <c r="O149" i="78"/>
  <c r="N158" i="78"/>
  <c r="N152" i="78"/>
  <c r="O148" i="78"/>
  <c r="N170" i="78"/>
  <c r="G13" i="73"/>
  <c r="F13" i="73"/>
  <c r="E13" i="73"/>
  <c r="N135" i="78" l="1"/>
  <c r="O129" i="78"/>
  <c r="N133" i="78"/>
  <c r="O127" i="78"/>
  <c r="N85" i="78"/>
  <c r="O80" i="78"/>
  <c r="N157" i="78"/>
  <c r="O152" i="78"/>
  <c r="N175" i="78"/>
  <c r="O170" i="78"/>
  <c r="N165" i="78"/>
  <c r="O165" i="78" s="1"/>
  <c r="N163" i="78"/>
  <c r="O158" i="78"/>
  <c r="N87" i="78"/>
  <c r="O82" i="78"/>
  <c r="N168" i="78"/>
  <c r="O159" i="78"/>
  <c r="N88" i="78"/>
  <c r="O83" i="78"/>
  <c r="N132" i="78"/>
  <c r="O126" i="78"/>
  <c r="N169" i="78"/>
  <c r="O164" i="78"/>
  <c r="AH5" i="71"/>
  <c r="AG5" i="71"/>
  <c r="AE5" i="71"/>
  <c r="AF5" i="71" s="1"/>
  <c r="AD5" i="71"/>
  <c r="Q5" i="71"/>
  <c r="P5" i="71"/>
  <c r="O5" i="71"/>
  <c r="N5" i="71"/>
  <c r="N138" i="78" l="1"/>
  <c r="O138" i="78" s="1"/>
  <c r="O132" i="78"/>
  <c r="N173" i="78"/>
  <c r="O168" i="78"/>
  <c r="N167" i="78"/>
  <c r="O163" i="78"/>
  <c r="N162" i="78"/>
  <c r="O157" i="78"/>
  <c r="N139" i="78"/>
  <c r="O139" i="78" s="1"/>
  <c r="O133" i="78"/>
  <c r="N174" i="78"/>
  <c r="O169" i="78"/>
  <c r="N93" i="78"/>
  <c r="O88" i="78"/>
  <c r="N92" i="78"/>
  <c r="O87" i="78"/>
  <c r="N182" i="78"/>
  <c r="O175" i="78"/>
  <c r="N90" i="78"/>
  <c r="O85" i="78"/>
  <c r="N141" i="78"/>
  <c r="O141" i="78" s="1"/>
  <c r="O135"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N95" i="78" l="1"/>
  <c r="O90" i="78"/>
  <c r="N97" i="78"/>
  <c r="O92" i="78"/>
  <c r="N178" i="78"/>
  <c r="O174" i="78"/>
  <c r="N166" i="78"/>
  <c r="O162" i="78"/>
  <c r="N177" i="78"/>
  <c r="O173" i="78"/>
  <c r="D11" i="77"/>
  <c r="E11" i="77" s="1"/>
  <c r="E7" i="77" s="1"/>
  <c r="C27" i="77" s="1"/>
  <c r="N186" i="78"/>
  <c r="O182" i="78"/>
  <c r="N98" i="78"/>
  <c r="O93" i="78"/>
  <c r="N172" i="78"/>
  <c r="O167" i="78"/>
  <c r="D7" i="77"/>
  <c r="C26" i="77" s="1"/>
  <c r="C32" i="77" s="1"/>
  <c r="C38" i="77" s="1"/>
  <c r="C39" i="77" s="1"/>
  <c r="R14" i="77"/>
  <c r="R24" i="77" s="1"/>
  <c r="D29" i="77"/>
  <c r="D32" i="77"/>
  <c r="E23" i="77"/>
  <c r="D26" i="77"/>
  <c r="C29" i="77"/>
  <c r="R35" i="77"/>
  <c r="U34" i="77" s="1"/>
  <c r="AH6" i="71"/>
  <c r="AG6" i="71"/>
  <c r="AE6" i="71"/>
  <c r="AF6" i="71" s="1"/>
  <c r="AD6" i="71"/>
  <c r="Q6" i="71"/>
  <c r="P6" i="71"/>
  <c r="O6" i="71"/>
  <c r="N6" i="71"/>
  <c r="N180" i="78" l="1"/>
  <c r="O172" i="78"/>
  <c r="N190" i="78"/>
  <c r="O186" i="78"/>
  <c r="N171" i="78"/>
  <c r="O166" i="78"/>
  <c r="N102" i="78"/>
  <c r="O97" i="78"/>
  <c r="N103" i="78"/>
  <c r="O98" i="78"/>
  <c r="R25" i="77"/>
  <c r="N184" i="78"/>
  <c r="O177" i="78"/>
  <c r="N181" i="78"/>
  <c r="O178" i="78"/>
  <c r="N100" i="78"/>
  <c r="O95" i="78"/>
  <c r="R19" i="77"/>
  <c r="E26" i="77"/>
  <c r="E38" i="77"/>
  <c r="E39" i="77" s="1"/>
  <c r="C40" i="77" s="1"/>
  <c r="E29" i="77"/>
  <c r="AH7" i="71"/>
  <c r="AG7" i="71"/>
  <c r="AE7" i="71"/>
  <c r="AF7" i="71" s="1"/>
  <c r="AD7" i="71"/>
  <c r="Q7" i="71"/>
  <c r="P7" i="71"/>
  <c r="O7" i="71"/>
  <c r="N7" i="71"/>
  <c r="N105" i="78" l="1"/>
  <c r="O105" i="78" s="1"/>
  <c r="O100" i="78"/>
  <c r="N198" i="78"/>
  <c r="O198" i="78" s="1"/>
  <c r="O184" i="78"/>
  <c r="N193" i="78"/>
  <c r="O190" i="78"/>
  <c r="R5" i="77"/>
  <c r="U5" i="77" s="1"/>
  <c r="N185" i="78"/>
  <c r="O181" i="78"/>
  <c r="N107" i="78"/>
  <c r="O107" i="78" s="1"/>
  <c r="O102" i="78"/>
  <c r="N108" i="78"/>
  <c r="O108" i="78" s="1"/>
  <c r="O103" i="78"/>
  <c r="N176" i="78"/>
  <c r="O171" i="78"/>
  <c r="N188" i="78"/>
  <c r="O180" i="78"/>
  <c r="E32" i="77"/>
  <c r="B2" i="77"/>
  <c r="B3" i="77" s="1"/>
  <c r="C41" i="77"/>
  <c r="N191" i="78" l="1"/>
  <c r="O188" i="78"/>
  <c r="N189" i="78"/>
  <c r="O185" i="78"/>
  <c r="N179" i="78"/>
  <c r="O176" i="78"/>
  <c r="N200" i="78"/>
  <c r="O200" i="78" s="1"/>
  <c r="O193" i="78"/>
  <c r="E20" i="43"/>
  <c r="N192" i="78" l="1"/>
  <c r="O189" i="78"/>
  <c r="N183" i="78"/>
  <c r="O179" i="78"/>
  <c r="N195" i="78"/>
  <c r="O191" i="78"/>
  <c r="AH8" i="71"/>
  <c r="AG8" i="71"/>
  <c r="AE8" i="71"/>
  <c r="AF8" i="71" s="1"/>
  <c r="AD8" i="71"/>
  <c r="Q8" i="71"/>
  <c r="P8" i="71"/>
  <c r="O8" i="71"/>
  <c r="N8" i="71"/>
  <c r="N187" i="78" l="1"/>
  <c r="O183" i="78"/>
  <c r="N197" i="78"/>
  <c r="O197" i="78" s="1"/>
  <c r="O195" i="78"/>
  <c r="N199" i="78"/>
  <c r="O199" i="78" s="1"/>
  <c r="O192" i="78"/>
  <c r="AH9" i="71"/>
  <c r="AG9" i="71"/>
  <c r="AE9" i="71"/>
  <c r="AF9" i="71" s="1"/>
  <c r="AD9" i="71"/>
  <c r="Q9" i="71"/>
  <c r="P9" i="71"/>
  <c r="O9" i="71"/>
  <c r="N9" i="71"/>
  <c r="N194" i="78" l="1"/>
  <c r="O187" i="78"/>
  <c r="AH10" i="71"/>
  <c r="AG10" i="71"/>
  <c r="AE10" i="71"/>
  <c r="AF10" i="71" s="1"/>
  <c r="AD10" i="71"/>
  <c r="Q10" i="71"/>
  <c r="P10" i="71"/>
  <c r="O10" i="71"/>
  <c r="N10" i="71"/>
  <c r="N196" i="78" l="1"/>
  <c r="O196" i="78" s="1"/>
  <c r="O204" i="78" s="1"/>
  <c r="I212" i="81" s="1"/>
  <c r="O19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P21" i="71"/>
  <c r="E21" i="71" s="1"/>
  <c r="O21" i="71"/>
  <c r="C21" i="71" s="1"/>
  <c r="Q22" i="71"/>
  <c r="F21" i="71"/>
  <c r="F20" i="71" s="1"/>
  <c r="F19" i="71" s="1"/>
  <c r="P22" i="71"/>
  <c r="O22" i="71"/>
  <c r="N22" i="71"/>
  <c r="A2" i="53"/>
  <c r="K59" i="67"/>
  <c r="P74" i="67" s="1"/>
  <c r="P61" i="67"/>
  <c r="K59" i="15"/>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3" i="71"/>
  <c r="P23" i="71"/>
  <c r="O23" i="71"/>
  <c r="N23"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G9" i="43"/>
  <c r="AG10" i="43" s="1"/>
  <c r="AG12" i="43"/>
  <c r="AF9" i="43"/>
  <c r="AF10" i="43" s="1"/>
  <c r="AE9" i="43"/>
  <c r="AE10" i="43" s="1"/>
  <c r="AE12" i="43"/>
  <c r="AD9" i="43"/>
  <c r="AD12" i="43" s="1"/>
  <c r="AC9" i="43"/>
  <c r="AC12" i="43"/>
  <c r="AB9" i="43"/>
  <c r="AB10" i="43" s="1"/>
  <c r="AA9" i="43"/>
  <c r="AA12" i="43" s="1"/>
  <c r="Z9" i="43"/>
  <c r="Z10" i="43" s="1"/>
  <c r="AC10" i="43"/>
  <c r="AD10" i="43"/>
  <c r="K49" i="9"/>
  <c r="E107" i="9"/>
  <c r="A122" i="9"/>
  <c r="A8" i="52"/>
  <c r="E111" i="9"/>
  <c r="A126" i="9" s="1"/>
  <c r="E109" i="9"/>
  <c r="A124" i="9"/>
  <c r="B44" i="72"/>
  <c r="B42" i="72"/>
  <c r="B69" i="72"/>
  <c r="B68" i="72"/>
  <c r="B63" i="72"/>
  <c r="B62" i="72"/>
  <c r="B65" i="72"/>
  <c r="B60" i="72"/>
  <c r="B10" i="72"/>
  <c r="C53" i="10"/>
  <c r="B51" i="10"/>
  <c r="B19" i="72"/>
  <c r="A18" i="51"/>
  <c r="B13" i="72" s="1"/>
  <c r="C8" i="68"/>
  <c r="B49" i="48"/>
  <c r="B5" i="72"/>
  <c r="I19" i="43"/>
  <c r="D86" i="71"/>
  <c r="F85" i="71"/>
  <c r="E85" i="71"/>
  <c r="E84" i="71" s="1"/>
  <c r="E83" i="71" s="1"/>
  <c r="C85" i="71"/>
  <c r="D85" i="71" s="1"/>
  <c r="B85" i="71"/>
  <c r="B84" i="71" s="1"/>
  <c r="B83" i="71" s="1"/>
  <c r="F84" i="71"/>
  <c r="F83" i="71" s="1"/>
  <c r="D82" i="71"/>
  <c r="F81" i="71"/>
  <c r="F80" i="71" s="1"/>
  <c r="F79" i="71" s="1"/>
  <c r="E81" i="71"/>
  <c r="E80" i="71"/>
  <c r="E79" i="71" s="1"/>
  <c r="C81" i="71"/>
  <c r="D81" i="71"/>
  <c r="B81" i="71"/>
  <c r="B80" i="71" s="1"/>
  <c r="B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c r="C65" i="71"/>
  <c r="B65" i="71"/>
  <c r="S65"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c r="D39" i="71" s="1"/>
  <c r="N38" i="71"/>
  <c r="B39" i="71" s="1"/>
  <c r="D38" i="71"/>
  <c r="Q37" i="71"/>
  <c r="P37" i="71"/>
  <c r="O37" i="71"/>
  <c r="N37" i="71"/>
  <c r="Q36" i="71"/>
  <c r="P36" i="71"/>
  <c r="O36" i="71"/>
  <c r="Y36" i="71"/>
  <c r="Z36" i="71" s="1"/>
  <c r="N36" i="71"/>
  <c r="X36" i="71"/>
  <c r="Q35" i="71"/>
  <c r="P35" i="71"/>
  <c r="AA33" i="71" s="1"/>
  <c r="O35" i="71"/>
  <c r="Y35" i="71"/>
  <c r="Z35" i="71" s="1"/>
  <c r="N35" i="71"/>
  <c r="Q34" i="71"/>
  <c r="F35" i="71" s="1"/>
  <c r="P34" i="71"/>
  <c r="O34" i="71"/>
  <c r="Y30" i="71" s="1"/>
  <c r="Z30" i="71" s="1"/>
  <c r="N34" i="71"/>
  <c r="D34" i="71"/>
  <c r="Q33" i="71"/>
  <c r="P33" i="71"/>
  <c r="O33" i="71"/>
  <c r="Y33" i="71"/>
  <c r="Z33" i="71" s="1"/>
  <c r="N33" i="71"/>
  <c r="Q32" i="71"/>
  <c r="AB32" i="71" s="1"/>
  <c r="P32" i="71"/>
  <c r="O32" i="71"/>
  <c r="N32" i="71"/>
  <c r="X32" i="71" s="1"/>
  <c r="Q31" i="71"/>
  <c r="P31" i="71"/>
  <c r="O31" i="71"/>
  <c r="N31" i="71"/>
  <c r="X31" i="71" s="1"/>
  <c r="F31" i="71"/>
  <c r="F32" i="71" s="1"/>
  <c r="Q30" i="71"/>
  <c r="P30" i="71"/>
  <c r="E31" i="71" s="1"/>
  <c r="E32" i="71" s="1"/>
  <c r="E33" i="71" s="1"/>
  <c r="U33" i="71" s="1"/>
  <c r="O30" i="71"/>
  <c r="N30" i="71"/>
  <c r="X30" i="71" s="1"/>
  <c r="D30" i="71"/>
  <c r="Q29" i="71"/>
  <c r="P29" i="71"/>
  <c r="O29" i="71"/>
  <c r="Y29" i="71" s="1"/>
  <c r="Z29" i="71" s="1"/>
  <c r="N29" i="71"/>
  <c r="Q28" i="71"/>
  <c r="P28" i="71"/>
  <c r="O28" i="71"/>
  <c r="N28" i="71"/>
  <c r="Q27" i="71"/>
  <c r="AB26" i="71" s="1"/>
  <c r="P27" i="71"/>
  <c r="O27" i="71"/>
  <c r="N27" i="71"/>
  <c r="F28" i="71"/>
  <c r="F29" i="71" s="1"/>
  <c r="V29" i="71" s="1"/>
  <c r="Q26" i="71"/>
  <c r="F27" i="71" s="1"/>
  <c r="P26" i="71"/>
  <c r="AA3" i="71" s="1"/>
  <c r="O26" i="71"/>
  <c r="N26" i="71"/>
  <c r="X23" i="71" s="1"/>
  <c r="D26" i="71"/>
  <c r="O25" i="71"/>
  <c r="Y22" i="71" s="1"/>
  <c r="Z22" i="71" s="1"/>
  <c r="N25" i="71"/>
  <c r="B27" i="71"/>
  <c r="B28" i="71" s="1"/>
  <c r="B29" i="71" s="1"/>
  <c r="S29" i="71" s="1"/>
  <c r="B35" i="71"/>
  <c r="B36" i="71" s="1"/>
  <c r="B37" i="71" s="1"/>
  <c r="S37" i="71" s="1"/>
  <c r="X34" i="71"/>
  <c r="N65" i="71"/>
  <c r="AA28" i="71"/>
  <c r="C31" i="71"/>
  <c r="C32" i="71"/>
  <c r="C33" i="71" s="1"/>
  <c r="AA31" i="71"/>
  <c r="X33" i="71"/>
  <c r="X35" i="71"/>
  <c r="B25" i="71"/>
  <c r="B24" i="71" s="1"/>
  <c r="B23" i="71" s="1"/>
  <c r="D31" i="71"/>
  <c r="D43" i="71"/>
  <c r="P25" i="71"/>
  <c r="E52" i="71"/>
  <c r="E53" i="71" s="1"/>
  <c r="U53" i="71" s="1"/>
  <c r="E60" i="71"/>
  <c r="E61" i="71" s="1"/>
  <c r="U61" i="71" s="1"/>
  <c r="U65" i="71"/>
  <c r="E64" i="71"/>
  <c r="E63" i="71" s="1"/>
  <c r="Q25" i="71"/>
  <c r="C52" i="71"/>
  <c r="C53" i="71" s="1"/>
  <c r="T65" i="71"/>
  <c r="O65" i="71"/>
  <c r="D65" i="71"/>
  <c r="C64" i="71"/>
  <c r="D64" i="71" s="1"/>
  <c r="C68" i="71"/>
  <c r="C67" i="71" s="1"/>
  <c r="D67" i="71" s="1"/>
  <c r="E68" i="71"/>
  <c r="E67" i="71" s="1"/>
  <c r="D69" i="71"/>
  <c r="C72" i="71"/>
  <c r="D73" i="71"/>
  <c r="C76" i="71"/>
  <c r="D76" i="71" s="1"/>
  <c r="E76" i="71"/>
  <c r="E75" i="71" s="1"/>
  <c r="D77" i="71"/>
  <c r="C80" i="71"/>
  <c r="C84" i="71"/>
  <c r="C83" i="71" s="1"/>
  <c r="D83" i="71" s="1"/>
  <c r="E25" i="71"/>
  <c r="E24" i="71" s="1"/>
  <c r="E23" i="71" s="1"/>
  <c r="AA25" i="71"/>
  <c r="D80" i="71"/>
  <c r="C79" i="71"/>
  <c r="D79" i="71" s="1"/>
  <c r="D72" i="71"/>
  <c r="C71" i="71"/>
  <c r="D71" i="71" s="1"/>
  <c r="D68" i="71"/>
  <c r="P64"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D83" i="21"/>
  <c r="E83" i="21" s="1"/>
  <c r="F83" i="21" s="1"/>
  <c r="G83" i="21" s="1"/>
  <c r="F21" i="21"/>
  <c r="AA21" i="21" s="1"/>
  <c r="D81" i="21"/>
  <c r="H19" i="21" s="1"/>
  <c r="AB19" i="21" s="1"/>
  <c r="G20" i="20"/>
  <c r="C25" i="40" s="1"/>
  <c r="B86" i="43"/>
  <c r="C22" i="20"/>
  <c r="B55" i="43" s="1"/>
  <c r="B66" i="43"/>
  <c r="C29" i="39"/>
  <c r="S25" i="40"/>
  <c r="U18" i="36"/>
  <c r="F94" i="40"/>
  <c r="G94" i="40" s="1"/>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W25" i="40"/>
  <c r="U25" i="40"/>
  <c r="W29" i="39"/>
  <c r="W18" i="36"/>
  <c r="U21" i="37"/>
  <c r="U21" i="34"/>
  <c r="J21" i="37"/>
  <c r="AC21" i="37" s="1"/>
  <c r="J21" i="34"/>
  <c r="AC21" i="34" s="1"/>
  <c r="J21" i="33"/>
  <c r="AC21" i="33" s="1"/>
  <c r="H21" i="21"/>
  <c r="AB21" i="21" s="1"/>
  <c r="F38" i="69"/>
  <c r="E37" i="69"/>
  <c r="F36" i="69"/>
  <c r="F35" i="69"/>
  <c r="F21" i="69"/>
  <c r="F40" i="69" s="1"/>
  <c r="C21" i="69"/>
  <c r="F20" i="69"/>
  <c r="F39" i="69" s="1"/>
  <c r="E10" i="69"/>
  <c r="E9" i="69"/>
  <c r="C7" i="69"/>
  <c r="W21" i="33"/>
  <c r="J21" i="21"/>
  <c r="W21" i="21" s="1"/>
  <c r="C40" i="69"/>
  <c r="F38" i="68"/>
  <c r="E37" i="68"/>
  <c r="F36" i="68"/>
  <c r="F35" i="68"/>
  <c r="F21" i="68"/>
  <c r="F40" i="68" s="1"/>
  <c r="F20" i="68"/>
  <c r="F39" i="68" s="1"/>
  <c r="E10" i="68"/>
  <c r="E9" i="68"/>
  <c r="C7" i="68"/>
  <c r="C5" i="68"/>
  <c r="Q72" i="67"/>
  <c r="Q59" i="67"/>
  <c r="Q58" i="67"/>
  <c r="Q51" i="67"/>
  <c r="J50" i="67"/>
  <c r="M47" i="67"/>
  <c r="D46" i="67"/>
  <c r="F33" i="67"/>
  <c r="F61" i="67" s="1"/>
  <c r="F23" i="67"/>
  <c r="D24" i="67" s="1"/>
  <c r="F21" i="67"/>
  <c r="F20" i="67"/>
  <c r="M19" i="67"/>
  <c r="F18" i="67"/>
  <c r="F17" i="67"/>
  <c r="F15" i="67"/>
  <c r="S2" i="4"/>
  <c r="A13" i="51"/>
  <c r="B11" i="72" s="1"/>
  <c r="S1" i="4"/>
  <c r="B1" i="4"/>
  <c r="D1" i="43"/>
  <c r="F113" i="43"/>
  <c r="N99" i="43"/>
  <c r="N108" i="43" s="1"/>
  <c r="D99" i="43"/>
  <c r="D108"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B7" i="1" s="1"/>
  <c r="E7" i="1" s="1"/>
  <c r="A8" i="1"/>
  <c r="B8" i="1"/>
  <c r="E8" i="1" s="1"/>
  <c r="A9" i="1"/>
  <c r="A10" i="1"/>
  <c r="A11" i="1"/>
  <c r="B11" i="1" s="1"/>
  <c r="E11" i="1" s="1"/>
  <c r="A12" i="1"/>
  <c r="A13" i="1"/>
  <c r="K13" i="1" s="1"/>
  <c r="M13" i="1" s="1"/>
  <c r="O13" i="1" s="1"/>
  <c r="A6" i="1"/>
  <c r="G1" i="83"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A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130" i="31"/>
  <c r="S130"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R65" i="31" s="1"/>
  <c r="S65" i="31" s="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F7" i="1" s="1"/>
  <c r="E15" i="4"/>
  <c r="D15" i="4"/>
  <c r="F6" i="1" s="1"/>
  <c r="G6"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D3" i="35" s="1"/>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U30" i="36" s="1"/>
  <c r="F30" i="36"/>
  <c r="AA30" i="36" s="1"/>
  <c r="C26" i="35"/>
  <c r="C79" i="35" s="1"/>
  <c r="J31" i="35"/>
  <c r="W31" i="35" s="1"/>
  <c r="H31" i="35"/>
  <c r="F31" i="35"/>
  <c r="D87" i="35"/>
  <c r="E87" i="35" s="1"/>
  <c r="F87" i="35" s="1"/>
  <c r="G87" i="35" s="1"/>
  <c r="H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Q39" i="40"/>
  <c r="Z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F103" i="37" s="1"/>
  <c r="G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c r="Q31" i="37"/>
  <c r="Z31" i="37" s="1"/>
  <c r="J31" i="37"/>
  <c r="AC31" i="37" s="1"/>
  <c r="Q30" i="37"/>
  <c r="Z30" i="37" s="1"/>
  <c r="J30" i="37"/>
  <c r="AC30" i="37" s="1"/>
  <c r="H30" i="37"/>
  <c r="AB30" i="37" s="1"/>
  <c r="F30" i="37"/>
  <c r="AA30" i="37"/>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c r="Q11" i="37"/>
  <c r="Z11" i="37" s="1"/>
  <c r="Q10" i="37"/>
  <c r="Z10" i="37" s="1"/>
  <c r="F10" i="37"/>
  <c r="Q9" i="37"/>
  <c r="Z9" i="37" s="1"/>
  <c r="J8" i="37"/>
  <c r="W8" i="37" s="1"/>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s="1"/>
  <c r="AC24" i="36" s="1"/>
  <c r="B71" i="36"/>
  <c r="F23" i="36" s="1"/>
  <c r="AA23" i="36" s="1"/>
  <c r="D70" i="36"/>
  <c r="H22" i="36"/>
  <c r="AB22" i="36"/>
  <c r="D68" i="36"/>
  <c r="E68" i="36" s="1"/>
  <c r="F68" i="36" s="1"/>
  <c r="G68" i="36" s="1"/>
  <c r="D64" i="36"/>
  <c r="E64" i="36" s="1"/>
  <c r="F64" i="36"/>
  <c r="G64" i="36"/>
  <c r="J16" i="36"/>
  <c r="W16" i="36" s="1"/>
  <c r="D62" i="36"/>
  <c r="E62" i="36"/>
  <c r="F62" i="36"/>
  <c r="G62" i="36" s="1"/>
  <c r="B59" i="36"/>
  <c r="B57" i="36"/>
  <c r="J12" i="36"/>
  <c r="B55" i="36"/>
  <c r="H11" i="36" s="1"/>
  <c r="F54" i="36"/>
  <c r="G54" i="36" s="1"/>
  <c r="H54" i="36" s="1"/>
  <c r="I54"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s="1"/>
  <c r="Q25" i="36"/>
  <c r="Z25" i="36" s="1"/>
  <c r="Q24" i="36"/>
  <c r="Z24" i="36" s="1"/>
  <c r="H24" i="36"/>
  <c r="AB24" i="36" s="1"/>
  <c r="Q23" i="36"/>
  <c r="Z23" i="36" s="1"/>
  <c r="Q22" i="36"/>
  <c r="Z22" i="36"/>
  <c r="J22" i="36"/>
  <c r="AC22" i="36" s="1"/>
  <c r="Q20" i="36"/>
  <c r="Z20" i="36" s="1"/>
  <c r="Q16" i="36"/>
  <c r="Z16" i="36" s="1"/>
  <c r="Q14" i="36"/>
  <c r="Z14" i="36" s="1"/>
  <c r="Q13" i="36"/>
  <c r="Z13" i="36" s="1"/>
  <c r="Q12" i="36"/>
  <c r="Z12" i="36"/>
  <c r="H12" i="36"/>
  <c r="U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c r="J22" i="35"/>
  <c r="B101" i="35"/>
  <c r="J36" i="35" s="1"/>
  <c r="B99" i="35"/>
  <c r="B97" i="35"/>
  <c r="H34" i="35" s="1"/>
  <c r="B77" i="35"/>
  <c r="B75" i="35"/>
  <c r="J24" i="35" s="1"/>
  <c r="AC24" i="35" s="1"/>
  <c r="B73" i="35"/>
  <c r="B57" i="35"/>
  <c r="B61" i="35"/>
  <c r="B59" i="35"/>
  <c r="B131" i="34"/>
  <c r="B129" i="34"/>
  <c r="B127" i="34"/>
  <c r="B99" i="34"/>
  <c r="B97" i="34"/>
  <c r="B95" i="34"/>
  <c r="B93" i="34"/>
  <c r="B75" i="34"/>
  <c r="H14" i="34" s="1"/>
  <c r="B73" i="34"/>
  <c r="B71" i="34"/>
  <c r="H12" i="34" s="1"/>
  <c r="B130" i="33"/>
  <c r="B128" i="33"/>
  <c r="H45" i="33" s="1"/>
  <c r="B126" i="33"/>
  <c r="B98" i="33"/>
  <c r="B96" i="33"/>
  <c r="B94" i="33"/>
  <c r="J29" i="33" s="1"/>
  <c r="AC29" i="33" s="1"/>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s="1"/>
  <c r="F72" i="35" s="1"/>
  <c r="G72" i="35" s="1"/>
  <c r="D70" i="35"/>
  <c r="D66" i="35"/>
  <c r="D64" i="35"/>
  <c r="J14" i="35"/>
  <c r="W14" i="35" s="1"/>
  <c r="F56" i="35"/>
  <c r="G56" i="35" s="1"/>
  <c r="H56" i="35" s="1"/>
  <c r="I56" i="35" s="1"/>
  <c r="C53" i="35"/>
  <c r="J9" i="35" s="1"/>
  <c r="P39" i="35"/>
  <c r="P38" i="35"/>
  <c r="V37" i="35"/>
  <c r="T37" i="35"/>
  <c r="R37" i="35"/>
  <c r="P37" i="35"/>
  <c r="Q36" i="35"/>
  <c r="Z36" i="35" s="1"/>
  <c r="Q35" i="35"/>
  <c r="Z35" i="35"/>
  <c r="Q34" i="35"/>
  <c r="Z34" i="35" s="1"/>
  <c r="F34" i="35"/>
  <c r="Q33" i="35"/>
  <c r="Z33" i="35"/>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c r="H34" i="34"/>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J12" i="34"/>
  <c r="W12" i="34" s="1"/>
  <c r="F12" i="34"/>
  <c r="Q11" i="34"/>
  <c r="Z11" i="34"/>
  <c r="Q10" i="34"/>
  <c r="Z10" i="34" s="1"/>
  <c r="F10" i="34"/>
  <c r="AA10" i="34"/>
  <c r="Q9" i="34"/>
  <c r="Z9" i="34" s="1"/>
  <c r="H9" i="34"/>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s="1"/>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S9" i="33" s="1"/>
  <c r="J8" i="33"/>
  <c r="AC8" i="33"/>
  <c r="H8" i="33"/>
  <c r="AB8" i="33" s="1"/>
  <c r="F8" i="33"/>
  <c r="AA8" i="33"/>
  <c r="M102" i="21"/>
  <c r="D102" i="21"/>
  <c r="E102" i="21"/>
  <c r="F102" i="21"/>
  <c r="G102" i="21"/>
  <c r="H102" i="21"/>
  <c r="I102" i="21"/>
  <c r="J102" i="21"/>
  <c r="K102" i="21"/>
  <c r="L102" i="21"/>
  <c r="C102" i="21"/>
  <c r="C63" i="21"/>
  <c r="H9" i="21" s="1"/>
  <c r="G18" i="20"/>
  <c r="B88" i="43" s="1"/>
  <c r="G19" i="20"/>
  <c r="B85" i="43" s="1"/>
  <c r="G16" i="20"/>
  <c r="B82" i="43" s="1"/>
  <c r="G15" i="20"/>
  <c r="B81" i="43" s="1"/>
  <c r="C24" i="20"/>
  <c r="B73" i="43" s="1"/>
  <c r="C21" i="20"/>
  <c r="B74" i="43"/>
  <c r="C20" i="20"/>
  <c r="C18" i="20"/>
  <c r="C21" i="39" s="1"/>
  <c r="B71" i="43"/>
  <c r="C17" i="20"/>
  <c r="B59" i="43" s="1"/>
  <c r="C16" i="20"/>
  <c r="C17" i="39" s="1"/>
  <c r="C15" i="20"/>
  <c r="B70"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F19" i="21"/>
  <c r="S19" i="21" s="1"/>
  <c r="E81" i="21"/>
  <c r="F81" i="21" s="1"/>
  <c r="G81" i="21" s="1"/>
  <c r="D77" i="21"/>
  <c r="E77" i="21"/>
  <c r="B130" i="21"/>
  <c r="J46" i="21" s="1"/>
  <c r="B128" i="21"/>
  <c r="J45" i="21" s="1"/>
  <c r="W45" i="21" s="1"/>
  <c r="B126" i="21"/>
  <c r="B98" i="21"/>
  <c r="H31" i="21" s="1"/>
  <c r="B96" i="21"/>
  <c r="H30" i="21" s="1"/>
  <c r="U30" i="21" s="1"/>
  <c r="B94" i="21"/>
  <c r="J29" i="21" s="1"/>
  <c r="AC29" i="21" s="1"/>
  <c r="B92" i="21"/>
  <c r="F28" i="21" s="1"/>
  <c r="AA28" i="21" s="1"/>
  <c r="B90" i="21"/>
  <c r="B74" i="21"/>
  <c r="J14" i="21" s="1"/>
  <c r="W14" i="21" s="1"/>
  <c r="B72" i="21"/>
  <c r="H13" i="21"/>
  <c r="B70" i="21"/>
  <c r="H12" i="21" s="1"/>
  <c r="AB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43" i="21"/>
  <c r="AB43" i="21"/>
  <c r="F36" i="21"/>
  <c r="S36" i="21" s="1"/>
  <c r="F39" i="21"/>
  <c r="AA39" i="21"/>
  <c r="J40" i="21"/>
  <c r="W40" i="21" s="1"/>
  <c r="H35" i="21"/>
  <c r="AB35" i="21"/>
  <c r="J8" i="21"/>
  <c r="AC8" i="21" s="1"/>
  <c r="H8" i="21"/>
  <c r="U8" i="21" s="1"/>
  <c r="H39" i="21"/>
  <c r="U39" i="21"/>
  <c r="J34" i="21"/>
  <c r="W34" i="21" s="1"/>
  <c r="H36" i="21"/>
  <c r="U36" i="21"/>
  <c r="F35" i="21"/>
  <c r="AA35" i="21" s="1"/>
  <c r="J10" i="21"/>
  <c r="AC10" i="21" s="1"/>
  <c r="H26" i="21"/>
  <c r="U26" i="21" s="1"/>
  <c r="J19" i="21"/>
  <c r="W19" i="21" s="1"/>
  <c r="J12" i="21"/>
  <c r="AC12" i="21" s="1"/>
  <c r="J26" i="21"/>
  <c r="W26" i="21" s="1"/>
  <c r="F26" i="21"/>
  <c r="S26" i="21" s="1"/>
  <c r="S41" i="21"/>
  <c r="AA41" i="21"/>
  <c r="J45" i="39"/>
  <c r="W45" i="39" s="1"/>
  <c r="J44" i="39"/>
  <c r="AC44" i="39"/>
  <c r="F36" i="39"/>
  <c r="S36" i="39" s="1"/>
  <c r="J35" i="39"/>
  <c r="AC35" i="39" s="1"/>
  <c r="F35" i="39"/>
  <c r="AA35" i="39"/>
  <c r="J36" i="39"/>
  <c r="AC36" i="39" s="1"/>
  <c r="U9" i="39"/>
  <c r="U30" i="37"/>
  <c r="W31" i="37"/>
  <c r="H103" i="37"/>
  <c r="I103" i="37"/>
  <c r="J103" i="37" s="1"/>
  <c r="K103" i="37" s="1"/>
  <c r="L103" i="37" s="1"/>
  <c r="M103" i="37" s="1"/>
  <c r="F39" i="37"/>
  <c r="U14" i="37"/>
  <c r="F29" i="36"/>
  <c r="AA29" i="36" s="1"/>
  <c r="W8" i="36"/>
  <c r="F16" i="36"/>
  <c r="AA16" i="36" s="1"/>
  <c r="S30" i="36"/>
  <c r="W31" i="36"/>
  <c r="U31" i="36"/>
  <c r="J33" i="36"/>
  <c r="W33" i="36" s="1"/>
  <c r="H22" i="35"/>
  <c r="AB22" i="35" s="1"/>
  <c r="U31" i="35"/>
  <c r="F36" i="34"/>
  <c r="J35" i="34"/>
  <c r="W9" i="34"/>
  <c r="S34" i="34"/>
  <c r="H39" i="33"/>
  <c r="AB39" i="33" s="1"/>
  <c r="F26" i="33"/>
  <c r="AA26" i="33" s="1"/>
  <c r="U33" i="33"/>
  <c r="U35" i="33"/>
  <c r="W33"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U34"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B12" i="36"/>
  <c r="W32" i="40"/>
  <c r="F37" i="39"/>
  <c r="AA37" i="39" s="1"/>
  <c r="J34" i="36"/>
  <c r="W34" i="36" s="1"/>
  <c r="J30" i="35"/>
  <c r="W30" i="35"/>
  <c r="H30" i="35"/>
  <c r="F22" i="35"/>
  <c r="AA22" i="35"/>
  <c r="H10" i="35"/>
  <c r="U10" i="35" s="1"/>
  <c r="AC16" i="36"/>
  <c r="H16" i="36"/>
  <c r="AB16" i="36" s="1"/>
  <c r="E85" i="36"/>
  <c r="F85" i="36" s="1"/>
  <c r="G85" i="36" s="1"/>
  <c r="H85" i="36"/>
  <c r="I85" i="36" s="1"/>
  <c r="J85" i="36" s="1"/>
  <c r="K85" i="36" s="1"/>
  <c r="L85" i="36" s="1"/>
  <c r="M85" i="36" s="1"/>
  <c r="J29" i="36"/>
  <c r="AC29" i="36" s="1"/>
  <c r="F12" i="36"/>
  <c r="F24" i="36"/>
  <c r="AA24" i="36" s="1"/>
  <c r="F34" i="36"/>
  <c r="S34" i="36" s="1"/>
  <c r="S10" i="36"/>
  <c r="AB8" i="36"/>
  <c r="S8" i="36"/>
  <c r="U8" i="35"/>
  <c r="J32" i="35"/>
  <c r="AC32" i="35" s="1"/>
  <c r="F16" i="35"/>
  <c r="AA16" i="35" s="1"/>
  <c r="H33" i="35"/>
  <c r="U33" i="35" s="1"/>
  <c r="AB33" i="35"/>
  <c r="F35" i="37"/>
  <c r="S35"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S28" i="34" s="1"/>
  <c r="F25" i="34"/>
  <c r="S25" i="34" s="1"/>
  <c r="H23" i="34"/>
  <c r="U23" i="34"/>
  <c r="J23" i="34"/>
  <c r="F19" i="34"/>
  <c r="H17" i="34"/>
  <c r="U17" i="34"/>
  <c r="F15" i="34"/>
  <c r="AA15" i="34" s="1"/>
  <c r="J15" i="34"/>
  <c r="H15" i="34"/>
  <c r="AB15" i="34"/>
  <c r="W8" i="34"/>
  <c r="J28" i="34"/>
  <c r="W28" i="34"/>
  <c r="F41" i="33"/>
  <c r="S38" i="33"/>
  <c r="E113" i="33"/>
  <c r="F113" i="33" s="1"/>
  <c r="G113" i="33" s="1"/>
  <c r="F32" i="33"/>
  <c r="AA32" i="33" s="1"/>
  <c r="J19" i="33"/>
  <c r="AC19" i="33" s="1"/>
  <c r="J15" i="33"/>
  <c r="AC15" i="33" s="1"/>
  <c r="F11" i="33"/>
  <c r="AA11" i="33"/>
  <c r="S26" i="33"/>
  <c r="U40" i="33"/>
  <c r="U8" i="33"/>
  <c r="S8" i="33"/>
  <c r="F37" i="40"/>
  <c r="AA37" i="40" s="1"/>
  <c r="F36" i="40"/>
  <c r="AA36" i="40"/>
  <c r="H28" i="40"/>
  <c r="U28" i="40" s="1"/>
  <c r="F23" i="40"/>
  <c r="AA23" i="40"/>
  <c r="F17" i="40"/>
  <c r="AA17" i="40" s="1"/>
  <c r="J17" i="40"/>
  <c r="W17" i="40" s="1"/>
  <c r="F15" i="40"/>
  <c r="S15" i="40" s="1"/>
  <c r="H15" i="40"/>
  <c r="AB15" i="40" s="1"/>
  <c r="AC11" i="40"/>
  <c r="AB30" i="36"/>
  <c r="AC34" i="36"/>
  <c r="F29" i="35"/>
  <c r="H33" i="37"/>
  <c r="AB33" i="37"/>
  <c r="F33" i="37"/>
  <c r="AA33" i="37"/>
  <c r="U34" i="37"/>
  <c r="W33" i="37"/>
  <c r="S34" i="37"/>
  <c r="AA34" i="37"/>
  <c r="J43" i="34"/>
  <c r="AB42" i="34"/>
  <c r="J40" i="34"/>
  <c r="H38" i="34"/>
  <c r="AB38" i="34"/>
  <c r="J36" i="34"/>
  <c r="H37" i="34"/>
  <c r="U37" i="34" s="1"/>
  <c r="H25" i="34"/>
  <c r="AB25" i="34" s="1"/>
  <c r="J25" i="34"/>
  <c r="AC25" i="34" s="1"/>
  <c r="AB23" i="34"/>
  <c r="F23" i="34"/>
  <c r="AA23" i="34"/>
  <c r="J19" i="34"/>
  <c r="AC19" i="34" s="1"/>
  <c r="F17" i="34"/>
  <c r="AA17" i="34"/>
  <c r="J17" i="34"/>
  <c r="W17" i="34" s="1"/>
  <c r="AB17" i="34"/>
  <c r="H113" i="33"/>
  <c r="I113" i="33"/>
  <c r="J113" i="33" s="1"/>
  <c r="K113" i="33" s="1"/>
  <c r="L113" i="33" s="1"/>
  <c r="M113" i="33" s="1"/>
  <c r="H37" i="33"/>
  <c r="AB37" i="33" s="1"/>
  <c r="H15" i="33"/>
  <c r="AB15" i="33"/>
  <c r="H11" i="33"/>
  <c r="AB11" i="33" s="1"/>
  <c r="F28" i="40"/>
  <c r="AA28" i="40" s="1"/>
  <c r="AA42" i="34"/>
  <c r="S42" i="34"/>
  <c r="AC38" i="34"/>
  <c r="AA38" i="34"/>
  <c r="J37" i="34"/>
  <c r="AC37" i="34" s="1"/>
  <c r="J11" i="33"/>
  <c r="W11" i="33" s="1"/>
  <c r="U23" i="40"/>
  <c r="J42" i="21"/>
  <c r="AC42" i="21" s="1"/>
  <c r="H42" i="21"/>
  <c r="U42" i="21" s="1"/>
  <c r="J44" i="34"/>
  <c r="AC44" i="34" s="1"/>
  <c r="F44" i="34"/>
  <c r="BL587" i="3"/>
  <c r="F14" i="21"/>
  <c r="S14" i="21"/>
  <c r="H28" i="21"/>
  <c r="AB28" i="21" s="1"/>
  <c r="J28" i="21"/>
  <c r="AC28" i="21" s="1"/>
  <c r="W28" i="21"/>
  <c r="F30" i="21"/>
  <c r="S30" i="21" s="1"/>
  <c r="H44" i="21"/>
  <c r="U44" i="21" s="1"/>
  <c r="H46" i="21"/>
  <c r="U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F27" i="21"/>
  <c r="S27" i="21" s="1"/>
  <c r="H29" i="21"/>
  <c r="U29" i="21" s="1"/>
  <c r="J31" i="21"/>
  <c r="AC31" i="21"/>
  <c r="F31" i="21"/>
  <c r="S31" i="21" s="1"/>
  <c r="F45" i="21"/>
  <c r="AA45" i="21"/>
  <c r="F27" i="33"/>
  <c r="AA27" i="33" s="1"/>
  <c r="J13" i="33"/>
  <c r="H13" i="33"/>
  <c r="AB13" i="33" s="1"/>
  <c r="F13" i="33"/>
  <c r="S13" i="33" s="1"/>
  <c r="H29" i="33"/>
  <c r="U29" i="33"/>
  <c r="F29" i="33"/>
  <c r="S29" i="33" s="1"/>
  <c r="J31" i="33"/>
  <c r="W31" i="33"/>
  <c r="H31" i="33"/>
  <c r="F31" i="33"/>
  <c r="U45" i="33"/>
  <c r="J45" i="33"/>
  <c r="W45" i="33" s="1"/>
  <c r="F45" i="33"/>
  <c r="AA45" i="33" s="1"/>
  <c r="J14" i="34"/>
  <c r="W14" i="34" s="1"/>
  <c r="F14" i="34"/>
  <c r="S14" i="34" s="1"/>
  <c r="H30" i="34"/>
  <c r="F30" i="34"/>
  <c r="S30" i="34" s="1"/>
  <c r="J30" i="34"/>
  <c r="H32" i="34"/>
  <c r="F32" i="34"/>
  <c r="J32" i="34"/>
  <c r="W32" i="34" s="1"/>
  <c r="H46" i="34"/>
  <c r="U46" i="34"/>
  <c r="F46" i="34"/>
  <c r="J46" i="34"/>
  <c r="H11" i="35"/>
  <c r="U11" i="35"/>
  <c r="J11" i="35"/>
  <c r="AC11" i="35" s="1"/>
  <c r="F11" i="35"/>
  <c r="S11" i="35" s="1"/>
  <c r="J26" i="36"/>
  <c r="W26" i="36" s="1"/>
  <c r="H28" i="36"/>
  <c r="U28" i="36" s="1"/>
  <c r="H32" i="36"/>
  <c r="AB32" i="36" s="1"/>
  <c r="J32" i="36"/>
  <c r="AC32" i="36" s="1"/>
  <c r="W32" i="36"/>
  <c r="J11" i="36"/>
  <c r="U11" i="36"/>
  <c r="F11" i="36"/>
  <c r="H13" i="36"/>
  <c r="AB13" i="36" s="1"/>
  <c r="J13" i="36"/>
  <c r="W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W12" i="40"/>
  <c r="H14" i="33"/>
  <c r="U14" i="33" s="1"/>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W31" i="34" s="1"/>
  <c r="H31" i="34"/>
  <c r="AB31" i="34" s="1"/>
  <c r="F31" i="34"/>
  <c r="S31" i="34" s="1"/>
  <c r="H45" i="34"/>
  <c r="U45" i="34" s="1"/>
  <c r="J45" i="34"/>
  <c r="W45" i="34" s="1"/>
  <c r="F45" i="34"/>
  <c r="S45" i="34" s="1"/>
  <c r="H47" i="34"/>
  <c r="U47" i="34" s="1"/>
  <c r="F47" i="34"/>
  <c r="S47" i="34" s="1"/>
  <c r="J47" i="34"/>
  <c r="W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J37" i="40"/>
  <c r="AC37" i="40"/>
  <c r="H13" i="40"/>
  <c r="U13" i="40" s="1"/>
  <c r="J13" i="40"/>
  <c r="W13" i="40" s="1"/>
  <c r="F13" i="40"/>
  <c r="AA13" i="40" s="1"/>
  <c r="F14" i="37"/>
  <c r="AA14" i="37" s="1"/>
  <c r="S14" i="37"/>
  <c r="F27" i="37"/>
  <c r="AA27" i="37" s="1"/>
  <c r="F13" i="39"/>
  <c r="J13" i="39"/>
  <c r="W13" i="39" s="1"/>
  <c r="H13" i="39"/>
  <c r="H14" i="40"/>
  <c r="AB14" i="40"/>
  <c r="J14" i="40"/>
  <c r="W14" i="40" s="1"/>
  <c r="F14" i="40"/>
  <c r="AA14" i="40" s="1"/>
  <c r="J14" i="37"/>
  <c r="AC14" i="37" s="1"/>
  <c r="J27" i="37"/>
  <c r="AC27" i="37"/>
  <c r="AA44" i="33"/>
  <c r="AA13" i="35"/>
  <c r="U31" i="34"/>
  <c r="U46" i="33"/>
  <c r="AA14" i="33"/>
  <c r="J36" i="37"/>
  <c r="AC36" i="37" s="1"/>
  <c r="AB11" i="36"/>
  <c r="AB11" i="35"/>
  <c r="J10" i="36"/>
  <c r="AC10" i="36" s="1"/>
  <c r="AB30" i="21"/>
  <c r="AC13" i="36"/>
  <c r="W11" i="35"/>
  <c r="AB46" i="34"/>
  <c r="AA14" i="34"/>
  <c r="S45" i="33"/>
  <c r="AB45" i="33"/>
  <c r="W29" i="33"/>
  <c r="BA586" i="3"/>
  <c r="BA585" i="3"/>
  <c r="F17" i="21"/>
  <c r="AA17" i="21" s="1"/>
  <c r="H17" i="21"/>
  <c r="AB17" i="21" s="1"/>
  <c r="F15" i="21"/>
  <c r="AA15" i="21" s="1"/>
  <c r="J41" i="39"/>
  <c r="W41" i="39" s="1"/>
  <c r="AC45" i="39"/>
  <c r="W44" i="39"/>
  <c r="W36" i="39"/>
  <c r="W35" i="39"/>
  <c r="U36" i="39"/>
  <c r="S35" i="39"/>
  <c r="G544" i="3"/>
  <c r="G540" i="3"/>
  <c r="G535" i="3"/>
  <c r="G532" i="3"/>
  <c r="G531" i="3"/>
  <c r="G527" i="3"/>
  <c r="G523" i="3"/>
  <c r="G518" i="3"/>
  <c r="G510" i="3"/>
  <c r="G508" i="3"/>
  <c r="G504" i="3"/>
  <c r="G496" i="3"/>
  <c r="G584" i="3"/>
  <c r="G580" i="3"/>
  <c r="G572" i="3"/>
  <c r="G568" i="3"/>
  <c r="G564" i="3"/>
  <c r="G560" i="3"/>
  <c r="G554" i="3"/>
  <c r="G550" i="3"/>
  <c r="BL584" i="3"/>
  <c r="BL572" i="3"/>
  <c r="BL568" i="3"/>
  <c r="BL564" i="3"/>
  <c r="BL560" i="3"/>
  <c r="BL554" i="3"/>
  <c r="BL546" i="3"/>
  <c r="BL538" i="3"/>
  <c r="BL534" i="3"/>
  <c r="BL530" i="3"/>
  <c r="BL516" i="3"/>
  <c r="BL512" i="3"/>
  <c r="BL498" i="3"/>
  <c r="BL494" i="3"/>
  <c r="BL574" i="3"/>
  <c r="BL570" i="3"/>
  <c r="AZ570" i="3" s="1"/>
  <c r="BL566" i="3"/>
  <c r="BL562" i="3"/>
  <c r="BL556" i="3"/>
  <c r="BL552" i="3"/>
  <c r="BL540" i="3"/>
  <c r="BL536" i="3"/>
  <c r="G533" i="3"/>
  <c r="G529" i="3"/>
  <c r="BL528" i="3"/>
  <c r="G525" i="3"/>
  <c r="BL514" i="3"/>
  <c r="BL510" i="3"/>
  <c r="BL496" i="3"/>
  <c r="G493" i="3"/>
  <c r="BA580" i="3"/>
  <c r="BA576" i="3"/>
  <c r="BA572" i="3"/>
  <c r="AZ572" i="3" s="1"/>
  <c r="BA570" i="3"/>
  <c r="BA568" i="3"/>
  <c r="AZ568" i="3" s="1"/>
  <c r="BA566" i="3"/>
  <c r="AZ566" i="3" s="1"/>
  <c r="BA564" i="3"/>
  <c r="BA562" i="3"/>
  <c r="AZ562" i="3" s="1"/>
  <c r="BA560" i="3"/>
  <c r="AZ560" i="3" s="1"/>
  <c r="BA558" i="3"/>
  <c r="BA556" i="3"/>
  <c r="AZ556" i="3" s="1"/>
  <c r="BA554" i="3"/>
  <c r="BA552" i="3"/>
  <c r="BA546" i="3"/>
  <c r="BA544" i="3"/>
  <c r="BA540" i="3"/>
  <c r="AZ540" i="3"/>
  <c r="BA536" i="3"/>
  <c r="AZ536" i="3" s="1"/>
  <c r="BA532" i="3"/>
  <c r="BA528" i="3"/>
  <c r="AZ528" i="3" s="1"/>
  <c r="BA526" i="3"/>
  <c r="BA522" i="3"/>
  <c r="BA516" i="3"/>
  <c r="BA512" i="3"/>
  <c r="BA508" i="3"/>
  <c r="BA506" i="3"/>
  <c r="BA502" i="3"/>
  <c r="BA500" i="3"/>
  <c r="BA496" i="3"/>
  <c r="BA494" i="3"/>
  <c r="BA583" i="3"/>
  <c r="BA581" i="3"/>
  <c r="BA577" i="3"/>
  <c r="BA575" i="3"/>
  <c r="BA573" i="3"/>
  <c r="BA571" i="3"/>
  <c r="BA569" i="3"/>
  <c r="BA567" i="3"/>
  <c r="BA565" i="3"/>
  <c r="BA563" i="3"/>
  <c r="BA561" i="3"/>
  <c r="BA559" i="3"/>
  <c r="BA555" i="3"/>
  <c r="BA553" i="3"/>
  <c r="BA549" i="3"/>
  <c r="BA547" i="3"/>
  <c r="BA543" i="3"/>
  <c r="BA541" i="3"/>
  <c r="BA539" i="3"/>
  <c r="BA535" i="3"/>
  <c r="BA533" i="3"/>
  <c r="BA531" i="3"/>
  <c r="BA527" i="3"/>
  <c r="BA525" i="3"/>
  <c r="BA523" i="3"/>
  <c r="BA515" i="3"/>
  <c r="BA513" i="3"/>
  <c r="BA505" i="3"/>
  <c r="BA503" i="3"/>
  <c r="BA497" i="3"/>
  <c r="BA495" i="3"/>
  <c r="G583" i="3"/>
  <c r="G581" i="3"/>
  <c r="G575" i="3"/>
  <c r="G573" i="3"/>
  <c r="G571" i="3"/>
  <c r="G569" i="3"/>
  <c r="G567" i="3"/>
  <c r="G565" i="3"/>
  <c r="G563" i="3"/>
  <c r="G561" i="3"/>
  <c r="BL558" i="3"/>
  <c r="AZ558" i="3" s="1"/>
  <c r="BA557" i="3"/>
  <c r="AC557" i="3"/>
  <c r="G557" i="3" s="1"/>
  <c r="BQ557" i="3"/>
  <c r="BL557" i="3" s="1"/>
  <c r="BQ583" i="3"/>
  <c r="BL583" i="3"/>
  <c r="AZ583" i="3" s="1"/>
  <c r="BQ581" i="3"/>
  <c r="BQ579" i="3"/>
  <c r="BL579" i="3" s="1"/>
  <c r="BQ577" i="3"/>
  <c r="BL577" i="3" s="1"/>
  <c r="AZ577" i="3" s="1"/>
  <c r="BQ575" i="3"/>
  <c r="BQ573" i="3"/>
  <c r="BL573" i="3" s="1"/>
  <c r="AZ573" i="3" s="1"/>
  <c r="BQ571" i="3"/>
  <c r="BL571" i="3" s="1"/>
  <c r="BQ569" i="3"/>
  <c r="BL569" i="3" s="1"/>
  <c r="AZ569" i="3" s="1"/>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s="1"/>
  <c r="BQ543" i="3"/>
  <c r="BQ541" i="3"/>
  <c r="BL541" i="3" s="1"/>
  <c r="BQ539" i="3"/>
  <c r="BL539" i="3"/>
  <c r="BQ537" i="3"/>
  <c r="BL537" i="3" s="1"/>
  <c r="BQ535" i="3"/>
  <c r="BQ533" i="3"/>
  <c r="BL533" i="3" s="1"/>
  <c r="BQ531" i="3"/>
  <c r="BL531" i="3" s="1"/>
  <c r="AZ531" i="3" s="1"/>
  <c r="BQ529" i="3"/>
  <c r="BL529" i="3" s="1"/>
  <c r="BQ527" i="3"/>
  <c r="BQ525" i="3"/>
  <c r="BL525" i="3" s="1"/>
  <c r="BQ523" i="3"/>
  <c r="BL523" i="3"/>
  <c r="AC521" i="3"/>
  <c r="G521" i="3" s="1"/>
  <c r="BQ521" i="3"/>
  <c r="BL520" i="3"/>
  <c r="G519" i="3"/>
  <c r="G517" i="3"/>
  <c r="G515" i="3"/>
  <c r="G513" i="3"/>
  <c r="G511" i="3"/>
  <c r="BQ519" i="3"/>
  <c r="BL519" i="3" s="1"/>
  <c r="BQ517" i="3"/>
  <c r="BQ515" i="3"/>
  <c r="BQ513" i="3"/>
  <c r="BL513" i="3" s="1"/>
  <c r="BQ511" i="3"/>
  <c r="BL511" i="3" s="1"/>
  <c r="AC509" i="3"/>
  <c r="BQ509" i="3"/>
  <c r="BL509" i="3" s="1"/>
  <c r="G507" i="3"/>
  <c r="G505" i="3"/>
  <c r="G499" i="3"/>
  <c r="G497" i="3"/>
  <c r="BQ507" i="3"/>
  <c r="BL507" i="3" s="1"/>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S21" i="40"/>
  <c r="H25" i="21"/>
  <c r="U25" i="21"/>
  <c r="F25" i="21"/>
  <c r="J25" i="21"/>
  <c r="AC25" i="21" s="1"/>
  <c r="E125" i="33"/>
  <c r="F125" i="33" s="1"/>
  <c r="G125" i="33" s="1"/>
  <c r="H43" i="33"/>
  <c r="AB43" i="33" s="1"/>
  <c r="H17" i="37"/>
  <c r="U17" i="37" s="1"/>
  <c r="AB27" i="37"/>
  <c r="U32" i="33"/>
  <c r="AA36" i="39"/>
  <c r="F39" i="33"/>
  <c r="AA39" i="33"/>
  <c r="E123" i="33"/>
  <c r="F42" i="33"/>
  <c r="AA42" i="33" s="1"/>
  <c r="H28" i="34"/>
  <c r="AB28" i="34"/>
  <c r="F14" i="36"/>
  <c r="AA14" i="36" s="1"/>
  <c r="F22" i="36"/>
  <c r="S22" i="36" s="1"/>
  <c r="F26" i="36"/>
  <c r="S26" i="36" s="1"/>
  <c r="H27" i="34"/>
  <c r="AB27" i="34" s="1"/>
  <c r="H35" i="34"/>
  <c r="U35" i="34" s="1"/>
  <c r="F41" i="34"/>
  <c r="AA41" i="34" s="1"/>
  <c r="S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3" i="36"/>
  <c r="U35" i="35"/>
  <c r="W14" i="37"/>
  <c r="AB28" i="37"/>
  <c r="U33" i="37"/>
  <c r="U39" i="37"/>
  <c r="AC8" i="37"/>
  <c r="W37" i="34"/>
  <c r="AB37" i="34"/>
  <c r="AA13" i="33"/>
  <c r="AC31" i="33"/>
  <c r="AC45" i="33"/>
  <c r="U11" i="33"/>
  <c r="U19" i="21"/>
  <c r="AC46" i="21"/>
  <c r="U12" i="21"/>
  <c r="F43" i="33"/>
  <c r="AA43" i="33"/>
  <c r="W15" i="34"/>
  <c r="AC15" i="34"/>
  <c r="W40" i="37"/>
  <c r="G107" i="37"/>
  <c r="H107" i="37" s="1"/>
  <c r="I107" i="37" s="1"/>
  <c r="J107" i="37" s="1"/>
  <c r="K107" i="37" s="1"/>
  <c r="L107" i="37" s="1"/>
  <c r="M107" i="37" s="1"/>
  <c r="H37" i="21"/>
  <c r="U37" i="21" s="1"/>
  <c r="H19" i="34"/>
  <c r="AB19" i="34" s="1"/>
  <c r="F36" i="35"/>
  <c r="S36" i="35" s="1"/>
  <c r="H9" i="37"/>
  <c r="AB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J11" i="39"/>
  <c r="W11" i="39" s="1"/>
  <c r="F11" i="39"/>
  <c r="AA11" i="39" s="1"/>
  <c r="A12" i="52"/>
  <c r="B56" i="72" s="1"/>
  <c r="S11" i="39"/>
  <c r="G4" i="4"/>
  <c r="I4" i="4"/>
  <c r="F59" i="43"/>
  <c r="H62" i="43"/>
  <c r="BL549" i="3"/>
  <c r="AZ549" i="3" s="1"/>
  <c r="AZ494" i="3"/>
  <c r="AZ546"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AZ116" i="3" s="1"/>
  <c r="G117" i="3"/>
  <c r="BA119" i="3"/>
  <c r="AZ119" i="3" s="1"/>
  <c r="BL120" i="3"/>
  <c r="G121" i="3"/>
  <c r="BA123" i="3"/>
  <c r="BL124" i="3"/>
  <c r="G125" i="3"/>
  <c r="BA127" i="3"/>
  <c r="AZ127" i="3" s="1"/>
  <c r="BL128" i="3"/>
  <c r="AZ128" i="3" s="1"/>
  <c r="G129" i="3"/>
  <c r="BA131" i="3"/>
  <c r="AZ131" i="3" s="1"/>
  <c r="BL132" i="3"/>
  <c r="G133" i="3"/>
  <c r="BA135" i="3"/>
  <c r="BL136" i="3"/>
  <c r="G137" i="3"/>
  <c r="BA139" i="3"/>
  <c r="BL140" i="3"/>
  <c r="G141" i="3"/>
  <c r="BA143" i="3"/>
  <c r="AZ143" i="3" s="1"/>
  <c r="BL144" i="3"/>
  <c r="AZ144" i="3" s="1"/>
  <c r="G145" i="3"/>
  <c r="BA147" i="3"/>
  <c r="BL148" i="3"/>
  <c r="G149" i="3"/>
  <c r="BA151" i="3"/>
  <c r="BL152" i="3"/>
  <c r="G153" i="3"/>
  <c r="BA155" i="3"/>
  <c r="AZ155" i="3" s="1"/>
  <c r="BL156" i="3"/>
  <c r="AZ156" i="3"/>
  <c r="G157" i="3"/>
  <c r="BA159" i="3"/>
  <c r="AZ159" i="3" s="1"/>
  <c r="BL160" i="3"/>
  <c r="G161" i="3"/>
  <c r="BA163" i="3"/>
  <c r="BL164" i="3"/>
  <c r="G165" i="3"/>
  <c r="BA167" i="3"/>
  <c r="BL168" i="3"/>
  <c r="G169" i="3"/>
  <c r="BA171" i="3"/>
  <c r="BL172" i="3"/>
  <c r="AZ172" i="3" s="1"/>
  <c r="G173" i="3"/>
  <c r="BA175" i="3"/>
  <c r="AZ175" i="3"/>
  <c r="BL176" i="3"/>
  <c r="G177" i="3"/>
  <c r="BA179" i="3"/>
  <c r="BL180" i="3"/>
  <c r="G181" i="3"/>
  <c r="BA183" i="3"/>
  <c r="BL184" i="3"/>
  <c r="G185" i="3"/>
  <c r="BA187" i="3"/>
  <c r="BL188" i="3"/>
  <c r="AZ188" i="3"/>
  <c r="G189" i="3"/>
  <c r="BA191" i="3"/>
  <c r="BL192" i="3"/>
  <c r="G193" i="3"/>
  <c r="BA195" i="3"/>
  <c r="BL196" i="3"/>
  <c r="G197" i="3"/>
  <c r="BA199" i="3"/>
  <c r="BL200" i="3"/>
  <c r="AZ200" i="3" s="1"/>
  <c r="G201" i="3"/>
  <c r="BA203" i="3"/>
  <c r="BL204" i="3"/>
  <c r="AZ204" i="3" s="1"/>
  <c r="AZ160" i="3"/>
  <c r="AZ105" i="3"/>
  <c r="G534" i="3"/>
  <c r="G530" i="3"/>
  <c r="G522" i="3"/>
  <c r="G516" i="3"/>
  <c r="G512" i="3"/>
  <c r="G506" i="3"/>
  <c r="G494" i="3"/>
  <c r="G16" i="3"/>
  <c r="G15" i="3"/>
  <c r="BA304" i="3"/>
  <c r="BA305" i="3"/>
  <c r="AZ305" i="3" s="1"/>
  <c r="BL305" i="3"/>
  <c r="G306" i="3"/>
  <c r="G309" i="3"/>
  <c r="BL310" i="3"/>
  <c r="AZ310" i="3" s="1"/>
  <c r="BA312" i="3"/>
  <c r="BA313" i="3"/>
  <c r="BL313" i="3"/>
  <c r="G314" i="3"/>
  <c r="G317" i="3"/>
  <c r="BL318" i="3"/>
  <c r="BA320" i="3"/>
  <c r="AZ320" i="3" s="1"/>
  <c r="BA321" i="3"/>
  <c r="AZ321" i="3" s="1"/>
  <c r="BL321" i="3"/>
  <c r="G322" i="3"/>
  <c r="G325" i="3"/>
  <c r="BL326" i="3"/>
  <c r="BA328" i="3"/>
  <c r="AZ328" i="3" s="1"/>
  <c r="BA329" i="3"/>
  <c r="BL329" i="3"/>
  <c r="G330" i="3"/>
  <c r="G333" i="3"/>
  <c r="BL334" i="3"/>
  <c r="BA336" i="3"/>
  <c r="AZ336" i="3"/>
  <c r="BA337" i="3"/>
  <c r="BL337" i="3"/>
  <c r="G338" i="3"/>
  <c r="G341" i="3"/>
  <c r="BA342" i="3"/>
  <c r="BL342" i="3"/>
  <c r="AZ342" i="3" s="1"/>
  <c r="BA344" i="3"/>
  <c r="AZ344" i="3" s="1"/>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G308" i="3"/>
  <c r="BA310" i="3"/>
  <c r="BL311" i="3"/>
  <c r="AZ311" i="3"/>
  <c r="G312" i="3"/>
  <c r="BA314" i="3"/>
  <c r="BL315" i="3"/>
  <c r="G316" i="3"/>
  <c r="BA318" i="3"/>
  <c r="BL319" i="3"/>
  <c r="G320" i="3"/>
  <c r="BA322" i="3"/>
  <c r="AZ322" i="3" s="1"/>
  <c r="BL323" i="3"/>
  <c r="G324" i="3"/>
  <c r="BA326" i="3"/>
  <c r="BL327" i="3"/>
  <c r="G328" i="3"/>
  <c r="BA330" i="3"/>
  <c r="AZ330" i="3"/>
  <c r="BL331" i="3"/>
  <c r="G332" i="3"/>
  <c r="BA334" i="3"/>
  <c r="AZ334" i="3" s="1"/>
  <c r="BL335" i="3"/>
  <c r="G336" i="3"/>
  <c r="BA338" i="3"/>
  <c r="BL339" i="3"/>
  <c r="AZ339" i="3" s="1"/>
  <c r="G340" i="3"/>
  <c r="BL343" i="3"/>
  <c r="G344" i="3"/>
  <c r="G348" i="3"/>
  <c r="G355" i="3"/>
  <c r="AZ214" i="3"/>
  <c r="AZ303" i="3"/>
  <c r="AZ319" i="3"/>
  <c r="G342" i="3"/>
  <c r="BL345" i="3"/>
  <c r="AZ345" i="3" s="1"/>
  <c r="G346" i="3"/>
  <c r="BL349" i="3"/>
  <c r="BL352" i="3"/>
  <c r="AZ352" i="3" s="1"/>
  <c r="G353" i="3"/>
  <c r="BA357" i="3"/>
  <c r="AZ357" i="3" s="1"/>
  <c r="BL358" i="3"/>
  <c r="G359" i="3"/>
  <c r="BA361" i="3"/>
  <c r="BL362" i="3"/>
  <c r="AZ362" i="3" s="1"/>
  <c r="G363" i="3"/>
  <c r="BA365" i="3"/>
  <c r="AZ365" i="3" s="1"/>
  <c r="BL366" i="3"/>
  <c r="AZ366" i="3" s="1"/>
  <c r="G367" i="3"/>
  <c r="BA369" i="3"/>
  <c r="AZ369" i="3"/>
  <c r="BL370" i="3"/>
  <c r="G371" i="3"/>
  <c r="BA373" i="3"/>
  <c r="AZ373" i="3"/>
  <c r="BL374" i="3"/>
  <c r="G375" i="3"/>
  <c r="BA377" i="3"/>
  <c r="AZ377" i="3" s="1"/>
  <c r="BA379" i="3"/>
  <c r="AZ379" i="3"/>
  <c r="BL380" i="3"/>
  <c r="G381" i="3"/>
  <c r="BA383" i="3"/>
  <c r="AZ383" i="3"/>
  <c r="BL384" i="3"/>
  <c r="G385" i="3"/>
  <c r="BA387" i="3"/>
  <c r="AZ387" i="3"/>
  <c r="BL388" i="3"/>
  <c r="G389" i="3"/>
  <c r="BA391" i="3"/>
  <c r="AZ391" i="3"/>
  <c r="BL392" i="3"/>
  <c r="G393" i="3"/>
  <c r="BM5" i="3"/>
  <c r="BJ5" i="3"/>
  <c r="BF5" i="3"/>
  <c r="AC5" i="3"/>
  <c r="G548" i="3"/>
  <c r="G538" i="3"/>
  <c r="G520" i="3"/>
  <c r="G502" i="3"/>
  <c r="BS5" i="3"/>
  <c r="BP5" i="3"/>
  <c r="BN5" i="3"/>
  <c r="BK5" i="3"/>
  <c r="BI5" i="3"/>
  <c r="BG5" i="3"/>
  <c r="G17" i="3"/>
  <c r="BA17" i="3"/>
  <c r="AZ364" i="3"/>
  <c r="BA15" i="3"/>
  <c r="BR5" i="3"/>
  <c r="AZ392" i="3"/>
  <c r="AZ394" i="3"/>
  <c r="G509" i="3"/>
  <c r="BL493" i="3"/>
  <c r="AZ376" i="3"/>
  <c r="U36" i="40"/>
  <c r="F36" i="43"/>
  <c r="F81" i="43"/>
  <c r="H83" i="43" s="1"/>
  <c r="H113" i="43"/>
  <c r="F48" i="43"/>
  <c r="H52" i="43"/>
  <c r="F70" i="43"/>
  <c r="H73" i="43"/>
  <c r="M11" i="43"/>
  <c r="D17" i="43"/>
  <c r="F39" i="43"/>
  <c r="I17" i="43"/>
  <c r="F35" i="43"/>
  <c r="J17" i="43"/>
  <c r="U17" i="39"/>
  <c r="U43" i="21"/>
  <c r="U35" i="21"/>
  <c r="AC35" i="21"/>
  <c r="AC11" i="39"/>
  <c r="W37" i="37"/>
  <c r="W44" i="34"/>
  <c r="S15" i="37"/>
  <c r="U12" i="40"/>
  <c r="AA12" i="40"/>
  <c r="J37" i="33"/>
  <c r="W37" i="33" s="1"/>
  <c r="AC17" i="34"/>
  <c r="F106" i="33"/>
  <c r="G106" i="33" s="1"/>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c r="F96" i="37"/>
  <c r="H27" i="40"/>
  <c r="U27" i="40" s="1"/>
  <c r="J27" i="40"/>
  <c r="AC27" i="40" s="1"/>
  <c r="F27" i="40"/>
  <c r="S27" i="40"/>
  <c r="J30" i="40"/>
  <c r="AC30" i="40" s="1"/>
  <c r="F30" i="40"/>
  <c r="AA30" i="40"/>
  <c r="AC21" i="40"/>
  <c r="S31" i="39"/>
  <c r="S11" i="40"/>
  <c r="E98" i="40"/>
  <c r="F98" i="40"/>
  <c r="G98" i="40" s="1"/>
  <c r="H98" i="40" s="1"/>
  <c r="I98" i="40" s="1"/>
  <c r="J98" i="40" s="1"/>
  <c r="K98" i="40" s="1"/>
  <c r="L98" i="40" s="1"/>
  <c r="M98" i="40" s="1"/>
  <c r="F10" i="33"/>
  <c r="S10" i="33" s="1"/>
  <c r="F34" i="33"/>
  <c r="S34" i="33"/>
  <c r="H34" i="33"/>
  <c r="U34" i="33" s="1"/>
  <c r="F35" i="33"/>
  <c r="S35" i="33"/>
  <c r="F39" i="34"/>
  <c r="AA39" i="34" s="1"/>
  <c r="J39" i="34"/>
  <c r="W39" i="34" s="1"/>
  <c r="F40" i="34"/>
  <c r="S40" i="34" s="1"/>
  <c r="F43" i="34"/>
  <c r="AA43" i="34"/>
  <c r="H44" i="34"/>
  <c r="AB44" i="34" s="1"/>
  <c r="AC38" i="39"/>
  <c r="F39" i="39"/>
  <c r="S39" i="39" s="1"/>
  <c r="J39" i="39"/>
  <c r="AC39" i="39" s="1"/>
  <c r="E96" i="39"/>
  <c r="F96" i="39" s="1"/>
  <c r="G96" i="39" s="1"/>
  <c r="AZ354" i="3"/>
  <c r="C40" i="11"/>
  <c r="AZ33" i="3"/>
  <c r="AZ45" i="3"/>
  <c r="AZ53" i="3"/>
  <c r="H75" i="43"/>
  <c r="H50" i="43"/>
  <c r="I20" i="4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H86" i="43"/>
  <c r="H82" i="43"/>
  <c r="H87" i="43"/>
  <c r="K9" i="1"/>
  <c r="M9" i="1" s="1"/>
  <c r="AE9" i="1"/>
  <c r="D93" i="9"/>
  <c r="G29" i="6"/>
  <c r="AC26" i="33"/>
  <c r="W26" i="33"/>
  <c r="AB34" i="36"/>
  <c r="U34" i="36"/>
  <c r="AC12" i="39"/>
  <c r="W12" i="39"/>
  <c r="W12" i="33"/>
  <c r="AC12" i="33"/>
  <c r="AA32" i="36"/>
  <c r="S32" i="36"/>
  <c r="BL14" i="3"/>
  <c r="U30" i="33"/>
  <c r="AC13" i="34"/>
  <c r="AA47" i="34"/>
  <c r="W28" i="37"/>
  <c r="S19" i="39"/>
  <c r="F12" i="33"/>
  <c r="H12" i="39"/>
  <c r="AB12" i="39"/>
  <c r="F39" i="40"/>
  <c r="BA14" i="3"/>
  <c r="AZ14" i="3" s="1"/>
  <c r="AZ224" i="3"/>
  <c r="AZ157" i="3"/>
  <c r="S12" i="1"/>
  <c r="AR12" i="1" s="1"/>
  <c r="R12" i="1"/>
  <c r="B12" i="1"/>
  <c r="E12" i="1"/>
  <c r="S10" i="1"/>
  <c r="AR10" i="1" s="1"/>
  <c r="R10" i="1"/>
  <c r="B10" i="1"/>
  <c r="E10" i="1"/>
  <c r="K12" i="1"/>
  <c r="M12" i="1" s="1"/>
  <c r="S13" i="1"/>
  <c r="AR13" i="1" s="1"/>
  <c r="R13" i="1"/>
  <c r="S11" i="1"/>
  <c r="AQ11" i="1" s="1"/>
  <c r="R11" i="1"/>
  <c r="S9" i="1"/>
  <c r="AR9" i="1" s="1"/>
  <c r="R9" i="1"/>
  <c r="J51" i="67"/>
  <c r="C42" i="1"/>
  <c r="H100" i="43"/>
  <c r="AC34" i="33"/>
  <c r="AA34" i="33"/>
  <c r="B41" i="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U26" i="36"/>
  <c r="AA26" i="36"/>
  <c r="AA34" i="36"/>
  <c r="S29" i="36"/>
  <c r="AC26" i="36"/>
  <c r="AA22" i="36"/>
  <c r="W14" i="36"/>
  <c r="AB14" i="36"/>
  <c r="U22" i="36"/>
  <c r="S16" i="36"/>
  <c r="AA25" i="36"/>
  <c r="S24" i="36"/>
  <c r="U24" i="36"/>
  <c r="AB20" i="36"/>
  <c r="U16" i="36"/>
  <c r="S14" i="36"/>
  <c r="U10" i="36"/>
  <c r="W10" i="36"/>
  <c r="AA25" i="35"/>
  <c r="W24" i="35"/>
  <c r="AB13" i="35"/>
  <c r="U28" i="35"/>
  <c r="AB27" i="35"/>
  <c r="U32" i="35"/>
  <c r="AA33" i="35"/>
  <c r="AC30" i="35"/>
  <c r="S32" i="35"/>
  <c r="AA36" i="35"/>
  <c r="W32" i="35"/>
  <c r="S28" i="35"/>
  <c r="U22" i="35"/>
  <c r="S22" i="35"/>
  <c r="AA10" i="35"/>
  <c r="AA11" i="35"/>
  <c r="S8" i="35"/>
  <c r="AC9" i="35"/>
  <c r="W9" i="35"/>
  <c r="W13" i="35"/>
  <c r="F9" i="35"/>
  <c r="AA9" i="35" s="1"/>
  <c r="H9" i="35"/>
  <c r="AB9" i="35" s="1"/>
  <c r="F26" i="35"/>
  <c r="AA26" i="35" s="1"/>
  <c r="J26" i="35"/>
  <c r="W26" i="35" s="1"/>
  <c r="H26" i="35"/>
  <c r="U26" i="35" s="1"/>
  <c r="AB40" i="37"/>
  <c r="W27"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s="1"/>
  <c r="U23" i="37"/>
  <c r="U15" i="37"/>
  <c r="U9" i="37"/>
  <c r="AA13" i="37"/>
  <c r="AA12" i="37"/>
  <c r="H10" i="37"/>
  <c r="H60" i="37"/>
  <c r="F63" i="37"/>
  <c r="F11" i="37"/>
  <c r="S11" i="37" s="1"/>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6" i="21"/>
  <c r="AC40" i="21"/>
  <c r="J15" i="21"/>
  <c r="W15" i="21" s="1"/>
  <c r="F77" i="21"/>
  <c r="G77" i="21" s="1"/>
  <c r="F23" i="21"/>
  <c r="AA23" i="21" s="1"/>
  <c r="E85" i="21"/>
  <c r="AA14" i="21"/>
  <c r="AB8" i="21"/>
  <c r="M3" i="43"/>
  <c r="M1" i="43"/>
  <c r="N8" i="43"/>
  <c r="D120" i="9"/>
  <c r="D121" i="9" s="1"/>
  <c r="D7" i="52" s="1"/>
  <c r="G13" i="3"/>
  <c r="BA13" i="3"/>
  <c r="BL17" i="3"/>
  <c r="AZ17" i="3"/>
  <c r="J56" i="9"/>
  <c r="J57" i="9" s="1"/>
  <c r="J59" i="9" s="1"/>
  <c r="J61" i="9" s="1"/>
  <c r="U29" i="34"/>
  <c r="G1" i="68"/>
  <c r="K1" i="12"/>
  <c r="E1" i="73"/>
  <c r="G22" i="69"/>
  <c r="G22" i="68"/>
  <c r="G26" i="12"/>
  <c r="G22" i="11"/>
  <c r="C100"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7" i="40"/>
  <c r="C63" i="40" s="1"/>
  <c r="M47" i="9"/>
  <c r="G19" i="43"/>
  <c r="O19" i="43" s="1"/>
  <c r="C19" i="43" s="1"/>
  <c r="T35" i="4"/>
  <c r="A19" i="51" s="1"/>
  <c r="B14" i="72" s="1"/>
  <c r="C46" i="36"/>
  <c r="D46" i="36" s="1"/>
  <c r="E46" i="36" s="1"/>
  <c r="F46" i="36" s="1"/>
  <c r="G46" i="36" s="1"/>
  <c r="H46" i="36" s="1"/>
  <c r="I46" i="36" s="1"/>
  <c r="A4" i="51"/>
  <c r="B6" i="72" s="1"/>
  <c r="C48" i="35"/>
  <c r="D48" i="35" s="1"/>
  <c r="C4" i="12"/>
  <c r="H66" i="43"/>
  <c r="H65" i="43"/>
  <c r="H64" i="43"/>
  <c r="H63" i="43"/>
  <c r="H55" i="43"/>
  <c r="H56" i="43"/>
  <c r="H72" i="43"/>
  <c r="L20" i="6"/>
  <c r="B6" i="1"/>
  <c r="E6" i="1" s="1"/>
  <c r="S8" i="1"/>
  <c r="AQ8" i="1" s="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c r="K101" i="21" s="1"/>
  <c r="L101" i="21" s="1"/>
  <c r="M101" i="21" s="1"/>
  <c r="F33" i="21"/>
  <c r="AA33" i="21" s="1"/>
  <c r="J33" i="21"/>
  <c r="AC33" i="21" s="1"/>
  <c r="H33" i="21"/>
  <c r="F37" i="21"/>
  <c r="AA37" i="21" s="1"/>
  <c r="AA26" i="21"/>
  <c r="AB46" i="21"/>
  <c r="U40" i="21"/>
  <c r="AB31" i="21"/>
  <c r="U31" i="21"/>
  <c r="AC15" i="21"/>
  <c r="U13" i="21"/>
  <c r="AB13" i="21"/>
  <c r="W8" i="21"/>
  <c r="S35" i="21"/>
  <c r="AB37" i="21"/>
  <c r="J37" i="21"/>
  <c r="W37" i="21" s="1"/>
  <c r="H15" i="21"/>
  <c r="U15" i="21" s="1"/>
  <c r="J17" i="21"/>
  <c r="AC17" i="21" s="1"/>
  <c r="W39" i="21"/>
  <c r="AC14" i="21"/>
  <c r="S46" i="21"/>
  <c r="H45" i="21"/>
  <c r="U45" i="21" s="1"/>
  <c r="F29" i="21"/>
  <c r="S29" i="21" s="1"/>
  <c r="F13" i="21"/>
  <c r="AA13" i="21" s="1"/>
  <c r="H32" i="21"/>
  <c r="U32" i="21" s="1"/>
  <c r="J32" i="21"/>
  <c r="AC32" i="21" s="1"/>
  <c r="F32" i="21"/>
  <c r="S32" i="21" s="1"/>
  <c r="AA31" i="21"/>
  <c r="U17" i="21"/>
  <c r="W29" i="21"/>
  <c r="K141" i="21"/>
  <c r="K144" i="21"/>
  <c r="K143" i="21"/>
  <c r="AB25" i="21"/>
  <c r="AB44" i="21"/>
  <c r="AA30" i="21"/>
  <c r="W13" i="21"/>
  <c r="AC45" i="21"/>
  <c r="F10" i="21"/>
  <c r="S10" i="21" s="1"/>
  <c r="K145" i="21"/>
  <c r="W25" i="21"/>
  <c r="AA29" i="21"/>
  <c r="W31" i="21"/>
  <c r="S17" i="21"/>
  <c r="AC26" i="21"/>
  <c r="AB29" i="21"/>
  <c r="S28" i="21"/>
  <c r="AC34"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J32" i="39"/>
  <c r="H32" i="39"/>
  <c r="AB32" i="39" s="1"/>
  <c r="AA32" i="39"/>
  <c r="S32" i="39"/>
  <c r="AB21" i="39"/>
  <c r="U21" i="39"/>
  <c r="AA21" i="39"/>
  <c r="S21" i="39"/>
  <c r="S9" i="35"/>
  <c r="AC26" i="35"/>
  <c r="AC17" i="37"/>
  <c r="S17" i="37"/>
  <c r="J19" i="37"/>
  <c r="W19" i="37" s="1"/>
  <c r="G75" i="37"/>
  <c r="S19" i="37"/>
  <c r="AA19" i="37"/>
  <c r="AA23" i="37"/>
  <c r="J23" i="37"/>
  <c r="G79" i="37"/>
  <c r="J10" i="37"/>
  <c r="I60" i="37"/>
  <c r="G63" i="37"/>
  <c r="H11" i="37"/>
  <c r="AB10" i="37"/>
  <c r="U10" i="37"/>
  <c r="G70" i="34"/>
  <c r="H11" i="34"/>
  <c r="U11" i="34" s="1"/>
  <c r="AB10" i="34"/>
  <c r="U10" i="34"/>
  <c r="J10" i="34"/>
  <c r="AC10" i="34" s="1"/>
  <c r="I67" i="34"/>
  <c r="AB41" i="33"/>
  <c r="U41" i="33"/>
  <c r="W35" i="33"/>
  <c r="AC35" i="33"/>
  <c r="H111" i="33"/>
  <c r="I111" i="33"/>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S17" i="33" s="1"/>
  <c r="W17" i="33"/>
  <c r="AC17" i="33"/>
  <c r="U10" i="33"/>
  <c r="AB10" i="33"/>
  <c r="AC10" i="33"/>
  <c r="W10" i="33"/>
  <c r="AC37" i="21"/>
  <c r="S37" i="21"/>
  <c r="J23" i="21"/>
  <c r="AC23" i="21" s="1"/>
  <c r="F85" i="21"/>
  <c r="G85" i="21" s="1"/>
  <c r="H23" i="21"/>
  <c r="U23" i="21" s="1"/>
  <c r="S13" i="21"/>
  <c r="D6" i="52"/>
  <c r="AP7" i="1"/>
  <c r="AB45" i="21"/>
  <c r="W32" i="21"/>
  <c r="AA32" i="21"/>
  <c r="AB32" i="21"/>
  <c r="AA10" i="21"/>
  <c r="A18" i="62"/>
  <c r="B64" i="72" s="1"/>
  <c r="U32" i="39"/>
  <c r="AC32" i="39"/>
  <c r="W32" i="39"/>
  <c r="W23" i="37"/>
  <c r="AC23" i="37"/>
  <c r="AB11" i="37"/>
  <c r="U11" i="37"/>
  <c r="H63" i="37"/>
  <c r="I63" i="37" s="1"/>
  <c r="J63" i="37" s="1"/>
  <c r="K63" i="37" s="1"/>
  <c r="L63" i="37" s="1"/>
  <c r="M63" i="37" s="1"/>
  <c r="J11" i="37"/>
  <c r="W11" i="37" s="1"/>
  <c r="W10" i="37"/>
  <c r="AC10" i="37"/>
  <c r="AB11" i="34"/>
  <c r="W10" i="34"/>
  <c r="H70" i="34"/>
  <c r="I70" i="34" s="1"/>
  <c r="J70" i="34" s="1"/>
  <c r="K70" i="34" s="1"/>
  <c r="L70" i="34" s="1"/>
  <c r="M70" i="34" s="1"/>
  <c r="J11" i="34"/>
  <c r="AC36" i="33"/>
  <c r="W36" i="33"/>
  <c r="U36" i="33"/>
  <c r="AB36" i="33"/>
  <c r="W27" i="33"/>
  <c r="AC27" i="33"/>
  <c r="AC25" i="33"/>
  <c r="S23" i="33"/>
  <c r="AA17" i="33"/>
  <c r="W11" i="34"/>
  <c r="AC11" i="34"/>
  <c r="F34" i="68"/>
  <c r="R8" i="1"/>
  <c r="AE8" i="1"/>
  <c r="AG6" i="1"/>
  <c r="H109" i="9"/>
  <c r="M49" i="9"/>
  <c r="L68" i="9" s="1"/>
  <c r="M68" i="9" s="1"/>
  <c r="H110" i="9"/>
  <c r="D18" i="53" s="1"/>
  <c r="B35" i="72" s="1"/>
  <c r="D124" i="9"/>
  <c r="D10" i="52" s="1"/>
  <c r="D16" i="53"/>
  <c r="B34" i="72" s="1"/>
  <c r="H14" i="74"/>
  <c r="B7" i="74" s="1"/>
  <c r="D125" i="9"/>
  <c r="D11" i="52" s="1"/>
  <c r="H112" i="9"/>
  <c r="D21" i="53"/>
  <c r="B39" i="72" s="1"/>
  <c r="H111" i="9"/>
  <c r="D19" i="53" s="1"/>
  <c r="D20" i="53" s="1"/>
  <c r="B40" i="72" s="1"/>
  <c r="D126" i="9"/>
  <c r="D127" i="9" s="1"/>
  <c r="D13" i="52" s="1"/>
  <c r="I14" i="74"/>
  <c r="B8" i="74"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E12" i="76"/>
  <c r="M28" i="67"/>
  <c r="F8" i="15"/>
  <c r="C76" i="67"/>
  <c r="F6" i="15"/>
  <c r="B11" i="76"/>
  <c r="F38" i="67"/>
  <c r="F36" i="67"/>
  <c r="L48" i="15"/>
  <c r="F9" i="15"/>
  <c r="J15" i="15"/>
  <c r="M8" i="15"/>
  <c r="M22" i="67"/>
  <c r="D4" i="73"/>
  <c r="E2" i="68"/>
  <c r="F7" i="67"/>
  <c r="L47" i="15"/>
  <c r="L48" i="67"/>
  <c r="M22" i="15"/>
  <c r="M23" i="15"/>
  <c r="D2" i="34"/>
  <c r="E8" i="76"/>
  <c r="F43" i="67"/>
  <c r="F13" i="15"/>
  <c r="D3" i="73"/>
  <c r="E11" i="76"/>
  <c r="D2" i="37"/>
  <c r="M6" i="15"/>
  <c r="AO10" i="1"/>
  <c r="D6" i="73"/>
  <c r="M29" i="67"/>
  <c r="F42" i="15"/>
  <c r="D7" i="73"/>
  <c r="B10" i="76"/>
  <c r="F36" i="15"/>
  <c r="F42" i="67"/>
  <c r="F16" i="67"/>
  <c r="M23" i="67"/>
  <c r="E2" i="69"/>
  <c r="C76" i="15"/>
  <c r="E10" i="76"/>
  <c r="F5" i="73"/>
  <c r="F6" i="73"/>
  <c r="E7" i="76"/>
  <c r="M26" i="67"/>
  <c r="B12" i="76"/>
  <c r="M21" i="67"/>
  <c r="F26" i="15"/>
  <c r="M9" i="67"/>
  <c r="B9" i="76"/>
  <c r="F40" i="15"/>
  <c r="D2" i="35"/>
  <c r="F37" i="15"/>
  <c r="F8" i="67"/>
  <c r="F26" i="67"/>
  <c r="M24" i="67"/>
  <c r="E13" i="76"/>
  <c r="F37" i="67"/>
  <c r="F38" i="15"/>
  <c r="F4" i="73"/>
  <c r="B8" i="76"/>
  <c r="D2" i="21"/>
  <c r="F41" i="67"/>
  <c r="F13" i="67"/>
  <c r="F9" i="67"/>
  <c r="J15" i="67"/>
  <c r="M26" i="15"/>
  <c r="AO12" i="1"/>
  <c r="F3" i="73"/>
  <c r="M27" i="67"/>
  <c r="M8" i="67"/>
  <c r="E9" i="76"/>
  <c r="F35" i="67"/>
  <c r="AO9" i="1"/>
  <c r="D5" i="73"/>
  <c r="F20" i="31"/>
  <c r="M27" i="15"/>
  <c r="M28" i="15"/>
  <c r="AO13" i="1"/>
  <c r="D2" i="33"/>
  <c r="B13" i="76"/>
  <c r="AO8" i="1"/>
  <c r="D2" i="36"/>
  <c r="M24" i="15"/>
  <c r="F40" i="67"/>
  <c r="L47" i="67"/>
  <c r="AO11" i="1"/>
  <c r="M6" i="67"/>
  <c r="M9" i="15"/>
  <c r="F16" i="15"/>
  <c r="F7" i="73"/>
  <c r="F6" i="67"/>
  <c r="B7" i="76"/>
  <c r="G8" i="1" l="1"/>
  <c r="G11" i="1"/>
  <c r="AB26" i="37"/>
  <c r="U26" i="37"/>
  <c r="AZ199" i="3"/>
  <c r="AZ544" i="3"/>
  <c r="W25" i="37"/>
  <c r="AC25" i="37"/>
  <c r="D17" i="53"/>
  <c r="B36" i="72" s="1"/>
  <c r="AC11" i="37"/>
  <c r="G7" i="35"/>
  <c r="E7" i="35"/>
  <c r="I7" i="35"/>
  <c r="S27" i="36"/>
  <c r="AZ370" i="3"/>
  <c r="AZ361" i="3"/>
  <c r="AZ327" i="3"/>
  <c r="AZ318" i="3"/>
  <c r="AZ389" i="3"/>
  <c r="AZ356" i="3"/>
  <c r="AZ337" i="3"/>
  <c r="AZ325" i="3"/>
  <c r="AZ512" i="3"/>
  <c r="S15" i="21"/>
  <c r="AA29" i="35"/>
  <c r="S29" i="35"/>
  <c r="AA34" i="21"/>
  <c r="S34" i="21"/>
  <c r="E70" i="35"/>
  <c r="F70" i="35" s="1"/>
  <c r="G70" i="35" s="1"/>
  <c r="J20" i="35"/>
  <c r="H23" i="35"/>
  <c r="J23" i="35"/>
  <c r="AC23" i="35" s="1"/>
  <c r="F23" i="35"/>
  <c r="AC28" i="36"/>
  <c r="W28" i="36"/>
  <c r="H33" i="36"/>
  <c r="F33" i="36"/>
  <c r="AC40" i="39"/>
  <c r="W40" i="39"/>
  <c r="I87" i="35"/>
  <c r="J87" i="35" s="1"/>
  <c r="K87" i="35" s="1"/>
  <c r="L87" i="35" s="1"/>
  <c r="M87" i="35" s="1"/>
  <c r="J29" i="35"/>
  <c r="H29" i="35"/>
  <c r="AB29" i="35" s="1"/>
  <c r="AB17" i="33"/>
  <c r="F48" i="9"/>
  <c r="O52" i="9" s="1"/>
  <c r="F53" i="84"/>
  <c r="F48" i="84"/>
  <c r="O52" i="84" s="1"/>
  <c r="F54" i="84"/>
  <c r="F52" i="84"/>
  <c r="D68" i="84"/>
  <c r="F28" i="83"/>
  <c r="C28" i="83" s="1"/>
  <c r="F32" i="83"/>
  <c r="F60" i="83" s="1"/>
  <c r="M18" i="83"/>
  <c r="C77" i="9"/>
  <c r="C74" i="9" s="1"/>
  <c r="C77" i="84"/>
  <c r="C74" i="84" s="1"/>
  <c r="AZ523" i="3"/>
  <c r="AZ516" i="3"/>
  <c r="AC47" i="34"/>
  <c r="AC31" i="34"/>
  <c r="S8" i="21"/>
  <c r="AA8" i="21"/>
  <c r="H27" i="21"/>
  <c r="AB27" i="21" s="1"/>
  <c r="J27" i="21"/>
  <c r="W27" i="21" s="1"/>
  <c r="AC8" i="35"/>
  <c r="W8" i="35"/>
  <c r="H12" i="35"/>
  <c r="AB12" i="35" s="1"/>
  <c r="F12" i="35"/>
  <c r="J12" i="35"/>
  <c r="AC31" i="40"/>
  <c r="W31" i="40"/>
  <c r="H40" i="40"/>
  <c r="F40" i="40"/>
  <c r="U41" i="21"/>
  <c r="AB41" i="21"/>
  <c r="AA31" i="35"/>
  <c r="S31" i="35"/>
  <c r="L66" i="9"/>
  <c r="M66" i="9" s="1"/>
  <c r="C58" i="21"/>
  <c r="D58" i="21" s="1"/>
  <c r="G7" i="21"/>
  <c r="E7" i="21"/>
  <c r="I7" i="21"/>
  <c r="AZ390" i="3"/>
  <c r="AZ347" i="3"/>
  <c r="AZ313" i="3"/>
  <c r="AZ180" i="3"/>
  <c r="AZ151" i="3"/>
  <c r="AZ378" i="3"/>
  <c r="AZ304" i="3"/>
  <c r="AZ567" i="3"/>
  <c r="AA41" i="33"/>
  <c r="S41" i="33"/>
  <c r="BA587" i="3"/>
  <c r="AZ587" i="3" s="1"/>
  <c r="J44" i="21"/>
  <c r="F44" i="21"/>
  <c r="E64" i="35"/>
  <c r="F64" i="35" s="1"/>
  <c r="G64" i="35" s="1"/>
  <c r="H14" i="35"/>
  <c r="F14" i="35"/>
  <c r="AC22" i="35"/>
  <c r="W22" i="35"/>
  <c r="W27" i="35"/>
  <c r="AC27" i="35"/>
  <c r="H25" i="37"/>
  <c r="F25" i="37"/>
  <c r="U8" i="39"/>
  <c r="AB8" i="39"/>
  <c r="H45" i="39"/>
  <c r="F45" i="39"/>
  <c r="AC19" i="37"/>
  <c r="AZ338" i="3"/>
  <c r="AZ360" i="3"/>
  <c r="AZ565" i="3"/>
  <c r="AZ557" i="3"/>
  <c r="AZ539" i="3"/>
  <c r="AZ561" i="3"/>
  <c r="AZ496" i="3"/>
  <c r="AZ552" i="3"/>
  <c r="AZ564" i="3"/>
  <c r="AZ554" i="3"/>
  <c r="U13" i="33"/>
  <c r="S39" i="37"/>
  <c r="AA39" i="37"/>
  <c r="E66" i="35"/>
  <c r="F66" i="35" s="1"/>
  <c r="G66" i="35" s="1"/>
  <c r="J16" i="35"/>
  <c r="AC16" i="35" s="1"/>
  <c r="H16" i="35"/>
  <c r="S31" i="36"/>
  <c r="AA31" i="36"/>
  <c r="F26" i="37"/>
  <c r="J26" i="37"/>
  <c r="J34" i="35"/>
  <c r="BL550" i="3"/>
  <c r="BL548" i="3"/>
  <c r="AZ548" i="3" s="1"/>
  <c r="BA548" i="3"/>
  <c r="BA545" i="3"/>
  <c r="AZ545" i="3" s="1"/>
  <c r="BL544" i="3"/>
  <c r="BL542" i="3"/>
  <c r="AZ542" i="3" s="1"/>
  <c r="BA542" i="3"/>
  <c r="BA538" i="3"/>
  <c r="AZ538" i="3" s="1"/>
  <c r="BA537" i="3"/>
  <c r="AZ537" i="3" s="1"/>
  <c r="G536" i="3"/>
  <c r="BA534" i="3"/>
  <c r="BL532" i="3"/>
  <c r="AZ532" i="3" s="1"/>
  <c r="BA530" i="3"/>
  <c r="AZ530" i="3" s="1"/>
  <c r="BA529" i="3"/>
  <c r="AZ529" i="3" s="1"/>
  <c r="G528" i="3"/>
  <c r="BL526" i="3"/>
  <c r="AZ526" i="3" s="1"/>
  <c r="AZ406" i="3"/>
  <c r="AZ414" i="3"/>
  <c r="AZ419" i="3"/>
  <c r="BA425" i="3"/>
  <c r="AZ425" i="3" s="1"/>
  <c r="BA426" i="3"/>
  <c r="BA429" i="3"/>
  <c r="BA444" i="3"/>
  <c r="H10" i="21"/>
  <c r="AB10" i="21" s="1"/>
  <c r="F12" i="21"/>
  <c r="S12" i="21" s="1"/>
  <c r="AA9" i="33"/>
  <c r="AC39" i="33"/>
  <c r="F9" i="34"/>
  <c r="H36" i="35"/>
  <c r="G579" i="3"/>
  <c r="G577" i="3"/>
  <c r="G576" i="3"/>
  <c r="G551" i="3"/>
  <c r="I4" i="6"/>
  <c r="G3" i="43" s="1"/>
  <c r="AH11" i="43" s="1"/>
  <c r="BB5" i="3"/>
  <c r="E5" i="6" s="1"/>
  <c r="BL15" i="3"/>
  <c r="AZ15" i="3" s="1"/>
  <c r="A24" i="51"/>
  <c r="B18" i="72" s="1"/>
  <c r="BA401" i="3"/>
  <c r="G404" i="3"/>
  <c r="BA404" i="3"/>
  <c r="AZ404" i="3" s="1"/>
  <c r="BA405" i="3"/>
  <c r="BA407" i="3"/>
  <c r="AZ407" i="3" s="1"/>
  <c r="BL410" i="3"/>
  <c r="BL412" i="3"/>
  <c r="BL430" i="3"/>
  <c r="G432" i="3"/>
  <c r="AZ332" i="3"/>
  <c r="BA551" i="3"/>
  <c r="AZ551" i="3" s="1"/>
  <c r="M20" i="15"/>
  <c r="F34" i="83"/>
  <c r="F62" i="83" s="1"/>
  <c r="M20" i="83"/>
  <c r="G14" i="3"/>
  <c r="E7" i="12"/>
  <c r="M18" i="84"/>
  <c r="B118" i="84" s="1"/>
  <c r="B15" i="74" s="1"/>
  <c r="BL13" i="3"/>
  <c r="AZ13" i="3" s="1"/>
  <c r="D78" i="9"/>
  <c r="D78" i="84"/>
  <c r="D93" i="84"/>
  <c r="BL398" i="3"/>
  <c r="AZ398" i="3" s="1"/>
  <c r="G400" i="3"/>
  <c r="BL400" i="3"/>
  <c r="AZ400" i="3" s="1"/>
  <c r="G402" i="3"/>
  <c r="BL402" i="3"/>
  <c r="AZ402" i="3" s="1"/>
  <c r="BA403" i="3"/>
  <c r="AZ403" i="3" s="1"/>
  <c r="BL408" i="3"/>
  <c r="AZ408" i="3" s="1"/>
  <c r="BL414" i="3"/>
  <c r="G415" i="3"/>
  <c r="BL425" i="3"/>
  <c r="BL440" i="3"/>
  <c r="BA550" i="3"/>
  <c r="AZ550" i="3" s="1"/>
  <c r="BL505" i="3"/>
  <c r="AZ505" i="3" s="1"/>
  <c r="BD5" i="3"/>
  <c r="G398" i="3"/>
  <c r="BA410" i="3"/>
  <c r="BA411" i="3"/>
  <c r="BL413" i="3"/>
  <c r="BA415" i="3"/>
  <c r="BL432" i="3"/>
  <c r="G433" i="3"/>
  <c r="AZ447" i="3"/>
  <c r="AZ448" i="3"/>
  <c r="AZ450" i="3"/>
  <c r="AZ461" i="3"/>
  <c r="AZ467" i="3"/>
  <c r="AZ488" i="3"/>
  <c r="BL210" i="3"/>
  <c r="G214" i="3"/>
  <c r="G216" i="3"/>
  <c r="BA216" i="3"/>
  <c r="AZ216" i="3" s="1"/>
  <c r="G219" i="3"/>
  <c r="BA219" i="3"/>
  <c r="AZ219" i="3" s="1"/>
  <c r="BL221" i="3"/>
  <c r="AZ221" i="3" s="1"/>
  <c r="BA222" i="3"/>
  <c r="AZ222" i="3" s="1"/>
  <c r="BA223" i="3"/>
  <c r="AZ223" i="3" s="1"/>
  <c r="BA238" i="3"/>
  <c r="AZ238" i="3" s="1"/>
  <c r="G243" i="3"/>
  <c r="BL411" i="3"/>
  <c r="BA413" i="3"/>
  <c r="BL416" i="3"/>
  <c r="BA417" i="3"/>
  <c r="AZ417" i="3" s="1"/>
  <c r="G421" i="3"/>
  <c r="G425" i="3"/>
  <c r="G428" i="3"/>
  <c r="G429" i="3"/>
  <c r="G430" i="3"/>
  <c r="BA430" i="3"/>
  <c r="BA437" i="3"/>
  <c r="AZ437" i="3" s="1"/>
  <c r="BA438" i="3"/>
  <c r="AZ438" i="3" s="1"/>
  <c r="BL442" i="3"/>
  <c r="G444" i="3"/>
  <c r="BL445" i="3"/>
  <c r="BA446" i="3"/>
  <c r="BA449" i="3"/>
  <c r="BA453" i="3"/>
  <c r="BA457" i="3"/>
  <c r="AZ457" i="3" s="1"/>
  <c r="BL461" i="3"/>
  <c r="BL468" i="3"/>
  <c r="AZ468" i="3" s="1"/>
  <c r="BL472" i="3"/>
  <c r="AZ472" i="3" s="1"/>
  <c r="BL473" i="3"/>
  <c r="AZ473" i="3" s="1"/>
  <c r="G476" i="3"/>
  <c r="BA476" i="3"/>
  <c r="AZ476" i="3" s="1"/>
  <c r="BA477" i="3"/>
  <c r="BA478" i="3"/>
  <c r="AZ478" i="3" s="1"/>
  <c r="BA479" i="3"/>
  <c r="BL481" i="3"/>
  <c r="G484" i="3"/>
  <c r="BA484" i="3"/>
  <c r="AZ484" i="3" s="1"/>
  <c r="BL486" i="3"/>
  <c r="BA487" i="3"/>
  <c r="BA492" i="3"/>
  <c r="BL312" i="3"/>
  <c r="AZ312" i="3" s="1"/>
  <c r="BA317" i="3"/>
  <c r="AZ317" i="3" s="1"/>
  <c r="G327" i="3"/>
  <c r="BL332" i="3"/>
  <c r="G334" i="3"/>
  <c r="G339" i="3"/>
  <c r="G343" i="3"/>
  <c r="BL350" i="3"/>
  <c r="BL363" i="3"/>
  <c r="AZ363" i="3" s="1"/>
  <c r="BL368" i="3"/>
  <c r="AZ368" i="3" s="1"/>
  <c r="G374" i="3"/>
  <c r="G384" i="3"/>
  <c r="BA386" i="3"/>
  <c r="AZ386" i="3" s="1"/>
  <c r="BA388" i="3"/>
  <c r="AZ388" i="3" s="1"/>
  <c r="G396" i="3"/>
  <c r="BL396" i="3"/>
  <c r="BL208" i="3"/>
  <c r="BA209" i="3"/>
  <c r="AZ209" i="3" s="1"/>
  <c r="BL211" i="3"/>
  <c r="BA221" i="3"/>
  <c r="BA231" i="3"/>
  <c r="AZ231" i="3" s="1"/>
  <c r="BA234" i="3"/>
  <c r="AZ234" i="3" s="1"/>
  <c r="G246" i="3"/>
  <c r="G254" i="3"/>
  <c r="BL265" i="3"/>
  <c r="AZ265" i="3" s="1"/>
  <c r="BA420" i="3"/>
  <c r="AZ420" i="3" s="1"/>
  <c r="BA422" i="3"/>
  <c r="BA424" i="3"/>
  <c r="AZ424" i="3" s="1"/>
  <c r="G436" i="3"/>
  <c r="BL436" i="3"/>
  <c r="AZ436" i="3" s="1"/>
  <c r="BL437" i="3"/>
  <c r="G439" i="3"/>
  <c r="G441" i="3"/>
  <c r="G442" i="3"/>
  <c r="BL443" i="3"/>
  <c r="AZ443" i="3" s="1"/>
  <c r="BL450" i="3"/>
  <c r="BL454" i="3"/>
  <c r="AZ454" i="3" s="1"/>
  <c r="G456" i="3"/>
  <c r="BL456" i="3"/>
  <c r="AZ456" i="3" s="1"/>
  <c r="BL457" i="3"/>
  <c r="BL459" i="3"/>
  <c r="AZ459" i="3" s="1"/>
  <c r="G461" i="3"/>
  <c r="G463" i="3"/>
  <c r="BL463" i="3"/>
  <c r="G465" i="3"/>
  <c r="G466" i="3"/>
  <c r="BL466" i="3"/>
  <c r="AZ466" i="3" s="1"/>
  <c r="G468" i="3"/>
  <c r="G470" i="3"/>
  <c r="BL470" i="3"/>
  <c r="G472" i="3"/>
  <c r="G473" i="3"/>
  <c r="BL474" i="3"/>
  <c r="AZ474" i="3" s="1"/>
  <c r="BL479" i="3"/>
  <c r="G481" i="3"/>
  <c r="BL482" i="3"/>
  <c r="BA486" i="3"/>
  <c r="AZ486" i="3" s="1"/>
  <c r="BA490" i="3"/>
  <c r="G311" i="3"/>
  <c r="G315" i="3"/>
  <c r="BA323" i="3"/>
  <c r="AZ323" i="3" s="1"/>
  <c r="G331" i="3"/>
  <c r="BA333" i="3"/>
  <c r="AZ333" i="3" s="1"/>
  <c r="BA335" i="3"/>
  <c r="AZ335" i="3" s="1"/>
  <c r="BL346" i="3"/>
  <c r="AZ346" i="3" s="1"/>
  <c r="G349" i="3"/>
  <c r="BA350" i="3"/>
  <c r="AZ350" i="3" s="1"/>
  <c r="G362" i="3"/>
  <c r="BL367" i="3"/>
  <c r="BA370" i="3"/>
  <c r="BA374" i="3"/>
  <c r="AZ374" i="3" s="1"/>
  <c r="G382" i="3"/>
  <c r="BA384" i="3"/>
  <c r="AZ384" i="3" s="1"/>
  <c r="BA395" i="3"/>
  <c r="AZ395" i="3" s="1"/>
  <c r="BA396" i="3"/>
  <c r="AZ396" i="3" s="1"/>
  <c r="BA208" i="3"/>
  <c r="BA211" i="3"/>
  <c r="AZ211" i="3" s="1"/>
  <c r="BA212" i="3"/>
  <c r="AZ212" i="3" s="1"/>
  <c r="BA213" i="3"/>
  <c r="AZ213" i="3" s="1"/>
  <c r="BA215" i="3"/>
  <c r="AZ215" i="3" s="1"/>
  <c r="BA218" i="3"/>
  <c r="AZ218" i="3" s="1"/>
  <c r="G224" i="3"/>
  <c r="G225" i="3"/>
  <c r="BL225" i="3"/>
  <c r="G227" i="3"/>
  <c r="G228" i="3"/>
  <c r="BA229" i="3"/>
  <c r="BA230" i="3"/>
  <c r="AZ230" i="3" s="1"/>
  <c r="BL446" i="3"/>
  <c r="G448" i="3"/>
  <c r="BL448" i="3"/>
  <c r="G450" i="3"/>
  <c r="G452" i="3"/>
  <c r="BL452" i="3"/>
  <c r="AZ452" i="3" s="1"/>
  <c r="G454" i="3"/>
  <c r="BA455" i="3"/>
  <c r="AZ455" i="3" s="1"/>
  <c r="G459" i="3"/>
  <c r="BL460" i="3"/>
  <c r="AZ460" i="3" s="1"/>
  <c r="BL464" i="3"/>
  <c r="AZ464" i="3" s="1"/>
  <c r="BA465" i="3"/>
  <c r="AZ465" i="3" s="1"/>
  <c r="BL467" i="3"/>
  <c r="BL471" i="3"/>
  <c r="AZ471" i="3" s="1"/>
  <c r="BA474" i="3"/>
  <c r="BA475" i="3"/>
  <c r="BL477" i="3"/>
  <c r="G479" i="3"/>
  <c r="BA480" i="3"/>
  <c r="AZ480" i="3" s="1"/>
  <c r="BA481" i="3"/>
  <c r="AZ481" i="3" s="1"/>
  <c r="BA482" i="3"/>
  <c r="BA483" i="3"/>
  <c r="BL487" i="3"/>
  <c r="G489" i="3"/>
  <c r="BL489" i="3"/>
  <c r="AZ489" i="3" s="1"/>
  <c r="BL490" i="3"/>
  <c r="BL491" i="3"/>
  <c r="AZ491" i="3" s="1"/>
  <c r="BA307" i="3"/>
  <c r="AZ307" i="3" s="1"/>
  <c r="BL314" i="3"/>
  <c r="AZ314" i="3" s="1"/>
  <c r="BA315" i="3"/>
  <c r="AZ315" i="3" s="1"/>
  <c r="BA316" i="3"/>
  <c r="G318" i="3"/>
  <c r="G329" i="3"/>
  <c r="BA331" i="3"/>
  <c r="AZ331" i="3" s="1"/>
  <c r="BA348" i="3"/>
  <c r="AZ348" i="3" s="1"/>
  <c r="BA349" i="3"/>
  <c r="AZ349" i="3" s="1"/>
  <c r="BL353" i="3"/>
  <c r="AZ353" i="3" s="1"/>
  <c r="BA358" i="3"/>
  <c r="AZ358" i="3" s="1"/>
  <c r="G366" i="3"/>
  <c r="BA367" i="3"/>
  <c r="AZ367" i="3" s="1"/>
  <c r="BL375" i="3"/>
  <c r="AZ375" i="3" s="1"/>
  <c r="BL381" i="3"/>
  <c r="AZ381" i="3" s="1"/>
  <c r="BL393" i="3"/>
  <c r="AZ393" i="3" s="1"/>
  <c r="BA228" i="3"/>
  <c r="BL239" i="3"/>
  <c r="BA240" i="3"/>
  <c r="AZ240" i="3" s="1"/>
  <c r="BL242" i="3"/>
  <c r="BA244" i="3"/>
  <c r="AZ244" i="3" s="1"/>
  <c r="BA246" i="3"/>
  <c r="BA249" i="3"/>
  <c r="AZ249" i="3" s="1"/>
  <c r="BA258" i="3"/>
  <c r="AZ270" i="3"/>
  <c r="AZ277" i="3"/>
  <c r="AZ282" i="3"/>
  <c r="AZ284" i="3"/>
  <c r="AZ298" i="3"/>
  <c r="AZ134" i="3"/>
  <c r="BA250" i="3"/>
  <c r="AZ250" i="3" s="1"/>
  <c r="BA251" i="3"/>
  <c r="AZ251" i="3" s="1"/>
  <c r="BA252" i="3"/>
  <c r="AZ252" i="3" s="1"/>
  <c r="BA254" i="3"/>
  <c r="BL258" i="3"/>
  <c r="BL259" i="3"/>
  <c r="AZ259" i="3" s="1"/>
  <c r="BL261" i="3"/>
  <c r="BA264" i="3"/>
  <c r="BL267" i="3"/>
  <c r="AZ267" i="3" s="1"/>
  <c r="G269" i="3"/>
  <c r="BL272" i="3"/>
  <c r="AZ272" i="3" s="1"/>
  <c r="BL273" i="3"/>
  <c r="BL275" i="3"/>
  <c r="BL284" i="3"/>
  <c r="BL286" i="3"/>
  <c r="BA287" i="3"/>
  <c r="AZ287" i="3" s="1"/>
  <c r="BA288" i="3"/>
  <c r="AZ288" i="3" s="1"/>
  <c r="BA289" i="3"/>
  <c r="G293" i="3"/>
  <c r="BA293" i="3"/>
  <c r="BL300" i="3"/>
  <c r="AZ300" i="3" s="1"/>
  <c r="BL301" i="3"/>
  <c r="G115" i="3"/>
  <c r="G119" i="3"/>
  <c r="BA120" i="3"/>
  <c r="AZ120" i="3" s="1"/>
  <c r="BA122" i="3"/>
  <c r="BA124" i="3"/>
  <c r="AZ124" i="3" s="1"/>
  <c r="G127" i="3"/>
  <c r="BL129" i="3"/>
  <c r="AZ129" i="3" s="1"/>
  <c r="G131" i="3"/>
  <c r="BA132" i="3"/>
  <c r="AZ132" i="3" s="1"/>
  <c r="BL134" i="3"/>
  <c r="BL135" i="3"/>
  <c r="AZ135" i="3" s="1"/>
  <c r="BA136" i="3"/>
  <c r="AZ136" i="3" s="1"/>
  <c r="G142" i="3"/>
  <c r="BA146" i="3"/>
  <c r="BA149" i="3"/>
  <c r="AZ149" i="3" s="1"/>
  <c r="BA150" i="3"/>
  <c r="AZ150" i="3" s="1"/>
  <c r="BA152" i="3"/>
  <c r="AZ152" i="3" s="1"/>
  <c r="G156" i="3"/>
  <c r="G159" i="3"/>
  <c r="BA162" i="3"/>
  <c r="BL227" i="3"/>
  <c r="AZ227" i="3" s="1"/>
  <c r="BL228" i="3"/>
  <c r="G229" i="3"/>
  <c r="BL229" i="3"/>
  <c r="G231" i="3"/>
  <c r="BL233" i="3"/>
  <c r="AZ233" i="3" s="1"/>
  <c r="BL235" i="3"/>
  <c r="AZ235" i="3" s="1"/>
  <c r="BA237" i="3"/>
  <c r="AZ237" i="3" s="1"/>
  <c r="G241" i="3"/>
  <c r="BA243" i="3"/>
  <c r="BL245" i="3"/>
  <c r="AZ245" i="3" s="1"/>
  <c r="G247" i="3"/>
  <c r="BL247" i="3"/>
  <c r="BA248" i="3"/>
  <c r="AZ248" i="3" s="1"/>
  <c r="BL253" i="3"/>
  <c r="AZ253" i="3" s="1"/>
  <c r="BL254" i="3"/>
  <c r="G256" i="3"/>
  <c r="BL256" i="3"/>
  <c r="BA257" i="3"/>
  <c r="AZ257" i="3" s="1"/>
  <c r="G260" i="3"/>
  <c r="BA260" i="3"/>
  <c r="AZ260" i="3" s="1"/>
  <c r="BA261" i="3"/>
  <c r="AZ261" i="3" s="1"/>
  <c r="BA262" i="3"/>
  <c r="G267" i="3"/>
  <c r="G268" i="3"/>
  <c r="BA269" i="3"/>
  <c r="G271" i="3"/>
  <c r="BL271" i="3"/>
  <c r="BA274" i="3"/>
  <c r="AZ274" i="3" s="1"/>
  <c r="BA275" i="3"/>
  <c r="AZ275" i="3" s="1"/>
  <c r="BA276" i="3"/>
  <c r="BA279" i="3"/>
  <c r="AZ279" i="3" s="1"/>
  <c r="BA281" i="3"/>
  <c r="G284" i="3"/>
  <c r="G285" i="3"/>
  <c r="BA285" i="3"/>
  <c r="AZ285" i="3" s="1"/>
  <c r="BA286" i="3"/>
  <c r="BL289" i="3"/>
  <c r="AZ289" i="3" s="1"/>
  <c r="G291" i="3"/>
  <c r="BL291" i="3"/>
  <c r="BA295" i="3"/>
  <c r="BA297" i="3"/>
  <c r="AZ297" i="3" s="1"/>
  <c r="G300" i="3"/>
  <c r="G301" i="3"/>
  <c r="BA301" i="3"/>
  <c r="BL117" i="3"/>
  <c r="BL123" i="3"/>
  <c r="AZ123" i="3" s="1"/>
  <c r="BL125" i="3"/>
  <c r="G130" i="3"/>
  <c r="G134" i="3"/>
  <c r="G135" i="3"/>
  <c r="BA138" i="3"/>
  <c r="G140" i="3"/>
  <c r="BA142" i="3"/>
  <c r="BL145" i="3"/>
  <c r="BL146" i="3"/>
  <c r="BL147" i="3"/>
  <c r="AZ147" i="3" s="1"/>
  <c r="BA148" i="3"/>
  <c r="AZ148" i="3" s="1"/>
  <c r="BL151" i="3"/>
  <c r="BL153" i="3"/>
  <c r="AZ153" i="3" s="1"/>
  <c r="BA154" i="3"/>
  <c r="AZ154" i="3" s="1"/>
  <c r="BL161" i="3"/>
  <c r="BL162" i="3"/>
  <c r="BL163" i="3"/>
  <c r="AZ163" i="3" s="1"/>
  <c r="BA164" i="3"/>
  <c r="AZ164" i="3" s="1"/>
  <c r="G167" i="3"/>
  <c r="BL170" i="3"/>
  <c r="AZ170" i="3" s="1"/>
  <c r="BA247" i="3"/>
  <c r="G252" i="3"/>
  <c r="BA255" i="3"/>
  <c r="AZ255" i="3" s="1"/>
  <c r="BA256" i="3"/>
  <c r="BL262" i="3"/>
  <c r="BL263" i="3"/>
  <c r="AZ263" i="3" s="1"/>
  <c r="G265" i="3"/>
  <c r="G266" i="3"/>
  <c r="BL266" i="3"/>
  <c r="AZ266" i="3" s="1"/>
  <c r="BA268" i="3"/>
  <c r="AZ268" i="3" s="1"/>
  <c r="BL269" i="3"/>
  <c r="BL270" i="3"/>
  <c r="BA271" i="3"/>
  <c r="AZ271" i="3" s="1"/>
  <c r="BA273" i="3"/>
  <c r="AZ273" i="3" s="1"/>
  <c r="BL276" i="3"/>
  <c r="G278" i="3"/>
  <c r="BL278" i="3"/>
  <c r="AZ278" i="3" s="1"/>
  <c r="BL279" i="3"/>
  <c r="BL280" i="3"/>
  <c r="AZ280" i="3" s="1"/>
  <c r="BL281" i="3"/>
  <c r="G282" i="3"/>
  <c r="G283" i="3"/>
  <c r="BL283" i="3"/>
  <c r="AZ283" i="3" s="1"/>
  <c r="G289" i="3"/>
  <c r="BA290" i="3"/>
  <c r="AZ290" i="3" s="1"/>
  <c r="BA291" i="3"/>
  <c r="BA292" i="3"/>
  <c r="AZ292" i="3" s="1"/>
  <c r="G294" i="3"/>
  <c r="BL294" i="3"/>
  <c r="AZ294" i="3" s="1"/>
  <c r="BL295" i="3"/>
  <c r="BL296" i="3"/>
  <c r="AZ296" i="3" s="1"/>
  <c r="BL297" i="3"/>
  <c r="G299" i="3"/>
  <c r="BL299" i="3"/>
  <c r="AZ299" i="3" s="1"/>
  <c r="BA114" i="3"/>
  <c r="AZ114" i="3" s="1"/>
  <c r="G116" i="3"/>
  <c r="BA117" i="3"/>
  <c r="BA118" i="3"/>
  <c r="BL121" i="3"/>
  <c r="AZ121" i="3" s="1"/>
  <c r="G123" i="3"/>
  <c r="BA125" i="3"/>
  <c r="AZ125" i="3" s="1"/>
  <c r="BA126" i="3"/>
  <c r="G128" i="3"/>
  <c r="BA130" i="3"/>
  <c r="AZ130" i="3" s="1"/>
  <c r="BL133" i="3"/>
  <c r="AZ133" i="3" s="1"/>
  <c r="BL137" i="3"/>
  <c r="AZ137" i="3" s="1"/>
  <c r="BL138" i="3"/>
  <c r="BL139" i="3"/>
  <c r="AZ139" i="3" s="1"/>
  <c r="BA140" i="3"/>
  <c r="AZ140" i="3" s="1"/>
  <c r="BA141" i="3"/>
  <c r="BL142" i="3"/>
  <c r="G144" i="3"/>
  <c r="G151" i="3"/>
  <c r="BA153" i="3"/>
  <c r="BA158" i="3"/>
  <c r="AZ158" i="3" s="1"/>
  <c r="G160" i="3"/>
  <c r="G166" i="3"/>
  <c r="BL166" i="3"/>
  <c r="AZ166" i="3" s="1"/>
  <c r="BA168" i="3"/>
  <c r="AZ168" i="3" s="1"/>
  <c r="AZ57" i="3"/>
  <c r="AZ185" i="3"/>
  <c r="AZ193" i="3"/>
  <c r="AZ46" i="3"/>
  <c r="AZ48" i="3"/>
  <c r="AZ49" i="3"/>
  <c r="BA56" i="3"/>
  <c r="AZ56" i="3" s="1"/>
  <c r="BA61" i="3"/>
  <c r="AZ61" i="3" s="1"/>
  <c r="AZ92" i="3"/>
  <c r="P62" i="71"/>
  <c r="P63" i="71"/>
  <c r="BA165" i="3"/>
  <c r="AZ165" i="3" s="1"/>
  <c r="BL167" i="3"/>
  <c r="AZ167" i="3" s="1"/>
  <c r="BA169" i="3"/>
  <c r="BL173" i="3"/>
  <c r="AZ173" i="3" s="1"/>
  <c r="G175" i="3"/>
  <c r="BA176" i="3"/>
  <c r="AZ176" i="3" s="1"/>
  <c r="G182" i="3"/>
  <c r="BL182" i="3"/>
  <c r="BL187" i="3"/>
  <c r="AZ187" i="3" s="1"/>
  <c r="BL189" i="3"/>
  <c r="AZ189" i="3" s="1"/>
  <c r="BL190" i="3"/>
  <c r="AZ190" i="3" s="1"/>
  <c r="BL191" i="3"/>
  <c r="AZ191" i="3" s="1"/>
  <c r="BA192" i="3"/>
  <c r="AZ192" i="3" s="1"/>
  <c r="BL197" i="3"/>
  <c r="BA198" i="3"/>
  <c r="AZ198" i="3" s="1"/>
  <c r="G203" i="3"/>
  <c r="BL203" i="3"/>
  <c r="AZ203" i="3" s="1"/>
  <c r="G207" i="3"/>
  <c r="BL18" i="3"/>
  <c r="BA19" i="3"/>
  <c r="AZ19" i="3" s="1"/>
  <c r="BA24" i="3"/>
  <c r="AZ24" i="3" s="1"/>
  <c r="BA25" i="3"/>
  <c r="AZ25" i="3" s="1"/>
  <c r="BA27" i="3"/>
  <c r="G30" i="3"/>
  <c r="BL34" i="3"/>
  <c r="G36" i="3"/>
  <c r="BL36" i="3"/>
  <c r="AZ36" i="3" s="1"/>
  <c r="BL37" i="3"/>
  <c r="G38" i="3"/>
  <c r="BA65" i="3"/>
  <c r="AZ65" i="3" s="1"/>
  <c r="BL67" i="3"/>
  <c r="AZ67" i="3" s="1"/>
  <c r="BL68" i="3"/>
  <c r="G78" i="3"/>
  <c r="BA79" i="3"/>
  <c r="AZ79" i="3" s="1"/>
  <c r="BL81" i="3"/>
  <c r="BA86" i="3"/>
  <c r="AZ86" i="3" s="1"/>
  <c r="BL89" i="3"/>
  <c r="G90" i="3"/>
  <c r="BA91" i="3"/>
  <c r="AZ91" i="3" s="1"/>
  <c r="BA97" i="3"/>
  <c r="BL99" i="3"/>
  <c r="BA102" i="3"/>
  <c r="AZ102" i="3" s="1"/>
  <c r="BL108" i="3"/>
  <c r="G109" i="3"/>
  <c r="BA110" i="3"/>
  <c r="AZ110" i="3" s="1"/>
  <c r="BL112" i="3"/>
  <c r="AZ112" i="3" s="1"/>
  <c r="BL171" i="3"/>
  <c r="AZ171" i="3" s="1"/>
  <c r="G174" i="3"/>
  <c r="BA178" i="3"/>
  <c r="BA181" i="3"/>
  <c r="AZ181" i="3" s="1"/>
  <c r="BA182" i="3"/>
  <c r="BA184" i="3"/>
  <c r="AZ184" i="3" s="1"/>
  <c r="G186" i="3"/>
  <c r="G187" i="3"/>
  <c r="G191" i="3"/>
  <c r="BA194" i="3"/>
  <c r="G196" i="3"/>
  <c r="BA197" i="3"/>
  <c r="AZ197" i="3" s="1"/>
  <c r="BL199" i="3"/>
  <c r="BA202" i="3"/>
  <c r="AZ202" i="3" s="1"/>
  <c r="G206" i="3"/>
  <c r="BL206" i="3"/>
  <c r="BA207" i="3"/>
  <c r="AZ207" i="3" s="1"/>
  <c r="G21" i="3"/>
  <c r="G22" i="3"/>
  <c r="BL23" i="3"/>
  <c r="BA30" i="3"/>
  <c r="BA32" i="3"/>
  <c r="BA39" i="3"/>
  <c r="AZ39" i="3" s="1"/>
  <c r="AZ78" i="3"/>
  <c r="F3" i="35"/>
  <c r="C56" i="71"/>
  <c r="D55" i="71"/>
  <c r="G170" i="3"/>
  <c r="G171" i="3"/>
  <c r="BA174" i="3"/>
  <c r="AZ174" i="3" s="1"/>
  <c r="BL177" i="3"/>
  <c r="AZ177" i="3" s="1"/>
  <c r="BL178" i="3"/>
  <c r="BL179" i="3"/>
  <c r="AZ179" i="3" s="1"/>
  <c r="BA180" i="3"/>
  <c r="BL183" i="3"/>
  <c r="AZ183" i="3" s="1"/>
  <c r="BL185" i="3"/>
  <c r="BA186" i="3"/>
  <c r="AZ186" i="3" s="1"/>
  <c r="BL193" i="3"/>
  <c r="BL194" i="3"/>
  <c r="BL195" i="3"/>
  <c r="AZ195" i="3" s="1"/>
  <c r="BA196" i="3"/>
  <c r="AZ196" i="3" s="1"/>
  <c r="G199" i="3"/>
  <c r="BA201" i="3"/>
  <c r="G204" i="3"/>
  <c r="BL205" i="3"/>
  <c r="BA206" i="3"/>
  <c r="G20" i="3"/>
  <c r="BA21" i="3"/>
  <c r="AZ21" i="3" s="1"/>
  <c r="BA22" i="3"/>
  <c r="BL26" i="3"/>
  <c r="AZ26" i="3" s="1"/>
  <c r="G28" i="3"/>
  <c r="BA29" i="3"/>
  <c r="BA31" i="3"/>
  <c r="AZ31" i="3" s="1"/>
  <c r="BL35" i="3"/>
  <c r="BA37" i="3"/>
  <c r="AZ37" i="3" s="1"/>
  <c r="BL41" i="3"/>
  <c r="AZ41" i="3" s="1"/>
  <c r="BL43" i="3"/>
  <c r="AZ43" i="3" s="1"/>
  <c r="G45" i="3"/>
  <c r="G46" i="3"/>
  <c r="BL46" i="3"/>
  <c r="G49" i="3"/>
  <c r="BL49" i="3"/>
  <c r="BL50" i="3"/>
  <c r="BL51" i="3"/>
  <c r="AZ51" i="3" s="1"/>
  <c r="BL52" i="3"/>
  <c r="G53" i="3"/>
  <c r="G54" i="3"/>
  <c r="BL54" i="3"/>
  <c r="AZ54" i="3" s="1"/>
  <c r="G57" i="3"/>
  <c r="BL57" i="3"/>
  <c r="BL58" i="3"/>
  <c r="BL59" i="3"/>
  <c r="AZ59" i="3" s="1"/>
  <c r="G61" i="3"/>
  <c r="G62" i="3"/>
  <c r="BL62" i="3"/>
  <c r="AZ62" i="3" s="1"/>
  <c r="BL63" i="3"/>
  <c r="BA70" i="3"/>
  <c r="AZ70" i="3" s="1"/>
  <c r="BL72" i="3"/>
  <c r="AZ72" i="3" s="1"/>
  <c r="BL73" i="3"/>
  <c r="AZ73" i="3" s="1"/>
  <c r="BA76" i="3"/>
  <c r="BA82" i="3"/>
  <c r="AZ82" i="3" s="1"/>
  <c r="BL84" i="3"/>
  <c r="AZ84" i="3" s="1"/>
  <c r="BL85" i="3"/>
  <c r="G93" i="3"/>
  <c r="BA95" i="3"/>
  <c r="AZ95" i="3" s="1"/>
  <c r="BL102" i="3"/>
  <c r="G103" i="3"/>
  <c r="BL103" i="3"/>
  <c r="BL104" i="3"/>
  <c r="G105" i="3"/>
  <c r="BA108" i="3"/>
  <c r="AZ108" i="3" s="1"/>
  <c r="B13" i="1"/>
  <c r="E13" i="1" s="1"/>
  <c r="G39" i="3"/>
  <c r="BA40" i="3"/>
  <c r="BA42" i="3"/>
  <c r="BA44" i="3"/>
  <c r="BA47" i="3"/>
  <c r="BA50" i="3"/>
  <c r="BA52" i="3"/>
  <c r="AZ52" i="3" s="1"/>
  <c r="BA55" i="3"/>
  <c r="BA60" i="3"/>
  <c r="AZ60" i="3" s="1"/>
  <c r="BA63" i="3"/>
  <c r="BA66" i="3"/>
  <c r="AZ66" i="3" s="1"/>
  <c r="BA68" i="3"/>
  <c r="BA71" i="3"/>
  <c r="AZ71" i="3" s="1"/>
  <c r="BA73" i="3"/>
  <c r="BL76" i="3"/>
  <c r="G77" i="3"/>
  <c r="BL77" i="3"/>
  <c r="AZ77" i="3" s="1"/>
  <c r="BL78" i="3"/>
  <c r="G79" i="3"/>
  <c r="G80" i="3"/>
  <c r="BA81" i="3"/>
  <c r="BA83" i="3"/>
  <c r="AZ83" i="3" s="1"/>
  <c r="BA85" i="3"/>
  <c r="AZ85" i="3" s="1"/>
  <c r="BA87" i="3"/>
  <c r="BL90" i="3"/>
  <c r="AZ90" i="3" s="1"/>
  <c r="G91" i="3"/>
  <c r="G92" i="3"/>
  <c r="BL92" i="3"/>
  <c r="BL93" i="3"/>
  <c r="AZ93" i="3" s="1"/>
  <c r="G94" i="3"/>
  <c r="BL94" i="3"/>
  <c r="AZ94" i="3" s="1"/>
  <c r="BL95" i="3"/>
  <c r="G96" i="3"/>
  <c r="BA99" i="3"/>
  <c r="BL109" i="3"/>
  <c r="AZ109" i="3" s="1"/>
  <c r="G110" i="3"/>
  <c r="G111" i="3"/>
  <c r="BA112" i="3"/>
  <c r="M47" i="84"/>
  <c r="J51" i="83"/>
  <c r="J51" i="15"/>
  <c r="N59" i="15" s="1"/>
  <c r="AA21" i="33"/>
  <c r="U29" i="39"/>
  <c r="B75" i="43"/>
  <c r="Y27" i="71"/>
  <c r="Z27" i="71" s="1"/>
  <c r="AA24" i="71"/>
  <c r="AB9" i="71"/>
  <c r="AA9" i="71"/>
  <c r="G100" i="43"/>
  <c r="C51" i="10"/>
  <c r="A2" i="84"/>
  <c r="A118" i="84"/>
  <c r="AB21" i="33"/>
  <c r="C75" i="71"/>
  <c r="D75" i="71" s="1"/>
  <c r="AA23" i="71"/>
  <c r="AB25" i="71"/>
  <c r="AB22" i="71"/>
  <c r="C40" i="71"/>
  <c r="Y24" i="71"/>
  <c r="Z24" i="71" s="1"/>
  <c r="AB34" i="71"/>
  <c r="AA22" i="71"/>
  <c r="F33" i="71"/>
  <c r="V33" i="71" s="1"/>
  <c r="F36" i="71"/>
  <c r="F37" i="71" s="1"/>
  <c r="V37" i="71" s="1"/>
  <c r="AI10" i="43"/>
  <c r="AA10" i="43"/>
  <c r="M56" i="9"/>
  <c r="J56" i="84"/>
  <c r="J57" i="84" s="1"/>
  <c r="J59" i="84" s="1"/>
  <c r="J61" i="84" s="1"/>
  <c r="K56" i="84"/>
  <c r="N56" i="84"/>
  <c r="M56" i="84"/>
  <c r="AB21" i="71"/>
  <c r="B20" i="71"/>
  <c r="B19" i="71" s="1"/>
  <c r="B18" i="71" s="1"/>
  <c r="B17" i="71" s="1"/>
  <c r="Y15" i="71"/>
  <c r="Z15" i="71" s="1"/>
  <c r="X14" i="71"/>
  <c r="V25" i="71"/>
  <c r="O64" i="71"/>
  <c r="AB23" i="71"/>
  <c r="E72" i="71"/>
  <c r="E71" i="71" s="1"/>
  <c r="D59" i="71"/>
  <c r="AA30" i="71"/>
  <c r="AB28" i="71"/>
  <c r="B64" i="71"/>
  <c r="F76" i="71"/>
  <c r="F75" i="71" s="1"/>
  <c r="K56" i="9"/>
  <c r="AA14" i="71"/>
  <c r="BA64" i="3"/>
  <c r="AZ64" i="3" s="1"/>
  <c r="BA69" i="3"/>
  <c r="AZ69" i="3" s="1"/>
  <c r="BA74" i="3"/>
  <c r="AZ74" i="3" s="1"/>
  <c r="BA75" i="3"/>
  <c r="AZ75" i="3" s="1"/>
  <c r="BL80" i="3"/>
  <c r="AZ80" i="3" s="1"/>
  <c r="BA88" i="3"/>
  <c r="AZ88" i="3" s="1"/>
  <c r="BA89" i="3"/>
  <c r="AZ89" i="3" s="1"/>
  <c r="BL96" i="3"/>
  <c r="BL97" i="3"/>
  <c r="BL98" i="3"/>
  <c r="BA100" i="3"/>
  <c r="AZ100" i="3" s="1"/>
  <c r="BA101" i="3"/>
  <c r="AZ101" i="3" s="1"/>
  <c r="BA104" i="3"/>
  <c r="AZ104" i="3" s="1"/>
  <c r="BA107" i="3"/>
  <c r="AZ107" i="3" s="1"/>
  <c r="BL111" i="3"/>
  <c r="AZ111" i="3" s="1"/>
  <c r="W21" i="37"/>
  <c r="S21" i="37"/>
  <c r="S18" i="36"/>
  <c r="AA18" i="35"/>
  <c r="D32" i="71"/>
  <c r="D52" i="71"/>
  <c r="D84" i="71"/>
  <c r="C63" i="71"/>
  <c r="F25" i="71"/>
  <c r="F24" i="71" s="1"/>
  <c r="F23" i="71" s="1"/>
  <c r="Q65" i="71"/>
  <c r="X25" i="71"/>
  <c r="Y26" i="71"/>
  <c r="Z26" i="71" s="1"/>
  <c r="X26" i="71"/>
  <c r="AB31" i="71"/>
  <c r="N56" i="9"/>
  <c r="H38" i="21"/>
  <c r="U38" i="21" s="1"/>
  <c r="F38" i="21"/>
  <c r="S38" i="21" s="1"/>
  <c r="J38" i="21"/>
  <c r="W38" i="21" s="1"/>
  <c r="U9" i="35"/>
  <c r="J10" i="35"/>
  <c r="AB10" i="35"/>
  <c r="S26" i="35"/>
  <c r="AB20" i="35"/>
  <c r="S20" i="35"/>
  <c r="AC18" i="35"/>
  <c r="S16" i="35"/>
  <c r="AB26" i="35"/>
  <c r="G10" i="1"/>
  <c r="C20" i="43"/>
  <c r="K7" i="1"/>
  <c r="AB9" i="21"/>
  <c r="U9" i="21"/>
  <c r="F9" i="21"/>
  <c r="J9" i="21"/>
  <c r="U10" i="21"/>
  <c r="W10" i="21"/>
  <c r="C18" i="9"/>
  <c r="D18" i="9" s="1"/>
  <c r="W42" i="21"/>
  <c r="S42" i="21"/>
  <c r="S33" i="21"/>
  <c r="W33" i="21"/>
  <c r="AB33" i="21"/>
  <c r="U33" i="21"/>
  <c r="AA27" i="21"/>
  <c r="U27" i="21"/>
  <c r="AC27" i="21"/>
  <c r="S23" i="21"/>
  <c r="AB23" i="21"/>
  <c r="AC19" i="21"/>
  <c r="AA19" i="21"/>
  <c r="W17" i="21"/>
  <c r="AA11" i="21"/>
  <c r="AB11" i="21"/>
  <c r="AC11" i="21"/>
  <c r="M20" i="67"/>
  <c r="F34" i="67"/>
  <c r="F62" i="67" s="1"/>
  <c r="F34" i="15"/>
  <c r="F62" i="15" s="1"/>
  <c r="C94" i="9"/>
  <c r="C92" i="9"/>
  <c r="F32" i="15"/>
  <c r="F60" i="15" s="1"/>
  <c r="M18" i="67"/>
  <c r="D68" i="9"/>
  <c r="F28" i="15"/>
  <c r="C28" i="15" s="1"/>
  <c r="F30" i="69"/>
  <c r="F31" i="12"/>
  <c r="C31" i="12" s="1"/>
  <c r="F30" i="68"/>
  <c r="F52" i="9"/>
  <c r="F30" i="11"/>
  <c r="F54" i="9"/>
  <c r="M18" i="15"/>
  <c r="F32" i="67"/>
  <c r="F60" i="67" s="1"/>
  <c r="F28" i="67"/>
  <c r="C28" i="67" s="1"/>
  <c r="E19" i="11"/>
  <c r="E19" i="68"/>
  <c r="D22" i="67"/>
  <c r="F11" i="12"/>
  <c r="C23" i="12" s="1"/>
  <c r="D23" i="15"/>
  <c r="G7" i="1"/>
  <c r="A4" i="52"/>
  <c r="B41" i="72" s="1"/>
  <c r="A2" i="9"/>
  <c r="A118" i="9"/>
  <c r="D67" i="39"/>
  <c r="D69" i="39" s="1"/>
  <c r="C24" i="12"/>
  <c r="K6" i="1"/>
  <c r="AQ9" i="1"/>
  <c r="C101" i="43"/>
  <c r="C109" i="43" s="1"/>
  <c r="M101" i="43"/>
  <c r="M105" i="43" s="1"/>
  <c r="Z11" i="43"/>
  <c r="F101" i="43"/>
  <c r="L101" i="43"/>
  <c r="L106" i="43" s="1"/>
  <c r="AF11" i="43"/>
  <c r="AC11" i="43"/>
  <c r="AC13" i="43" s="1"/>
  <c r="AJ11" i="43"/>
  <c r="AJ13" i="43" s="1"/>
  <c r="AG11" i="43"/>
  <c r="AG13" i="43" s="1"/>
  <c r="G101" i="43"/>
  <c r="G103" i="43" s="1"/>
  <c r="N101" i="43"/>
  <c r="N102" i="43" s="1"/>
  <c r="H101" i="43"/>
  <c r="H104" i="43" s="1"/>
  <c r="AD11" i="43"/>
  <c r="AD13" i="43" s="1"/>
  <c r="AA11" i="43"/>
  <c r="AA13" i="43" s="1"/>
  <c r="E22" i="43"/>
  <c r="K101" i="43"/>
  <c r="K105" i="43" s="1"/>
  <c r="D9" i="11"/>
  <c r="C9" i="11" s="1"/>
  <c r="D9" i="68"/>
  <c r="C9" i="68" s="1"/>
  <c r="T13" i="1"/>
  <c r="AQ13" i="1"/>
  <c r="T9" i="1"/>
  <c r="T8" i="1"/>
  <c r="T10" i="1"/>
  <c r="AR8" i="1"/>
  <c r="C104" i="43"/>
  <c r="O7" i="1"/>
  <c r="P7" i="1" s="1"/>
  <c r="T12" i="1"/>
  <c r="D19" i="12"/>
  <c r="C19" i="12" s="1"/>
  <c r="AQ12" i="1"/>
  <c r="AQ10" i="1"/>
  <c r="D9" i="69"/>
  <c r="C9" i="69" s="1"/>
  <c r="AR11" i="1"/>
  <c r="T11" i="1"/>
  <c r="L65" i="9"/>
  <c r="M65" i="9" s="1"/>
  <c r="L64" i="9"/>
  <c r="M64" i="9" s="1"/>
  <c r="L67" i="9"/>
  <c r="M67" i="9" s="1"/>
  <c r="B38" i="72"/>
  <c r="L63" i="9"/>
  <c r="M63" i="9" s="1"/>
  <c r="M69" i="9" s="1"/>
  <c r="N69" i="9" s="1"/>
  <c r="O12" i="1"/>
  <c r="P12" i="1" s="1"/>
  <c r="U19" i="33"/>
  <c r="O11" i="1"/>
  <c r="P11" i="1" s="1"/>
  <c r="W23" i="21"/>
  <c r="O9" i="1"/>
  <c r="P9" i="1" s="1"/>
  <c r="U44" i="34"/>
  <c r="AB27" i="36"/>
  <c r="AZ326" i="3"/>
  <c r="AZ329" i="3"/>
  <c r="AZ380" i="3"/>
  <c r="AB13" i="34"/>
  <c r="BQ5" i="3"/>
  <c r="F28" i="6" s="1"/>
  <c r="AZ497" i="3"/>
  <c r="AZ541" i="3"/>
  <c r="AZ571" i="3"/>
  <c r="AC35" i="40"/>
  <c r="W35" i="40"/>
  <c r="AA11" i="36"/>
  <c r="S11" i="36"/>
  <c r="AB31" i="33"/>
  <c r="U31" i="33"/>
  <c r="S15" i="34"/>
  <c r="W36" i="34"/>
  <c r="AC36" i="34"/>
  <c r="E8" i="6"/>
  <c r="AA40" i="21"/>
  <c r="S40" i="21"/>
  <c r="J27" i="34"/>
  <c r="F27" i="34"/>
  <c r="AB34" i="35"/>
  <c r="U34" i="35"/>
  <c r="W36" i="35"/>
  <c r="AC36" i="35"/>
  <c r="BL543" i="3"/>
  <c r="AZ543" i="3" s="1"/>
  <c r="BL535" i="3"/>
  <c r="AZ535" i="3" s="1"/>
  <c r="AZ534" i="3"/>
  <c r="BL527" i="3"/>
  <c r="AZ527" i="3" s="1"/>
  <c r="BL524" i="3"/>
  <c r="BA521" i="3"/>
  <c r="BA520" i="3"/>
  <c r="AZ520" i="3" s="1"/>
  <c r="BA519" i="3"/>
  <c r="AZ519" i="3" s="1"/>
  <c r="BL515" i="3"/>
  <c r="AZ515" i="3" s="1"/>
  <c r="G514" i="3"/>
  <c r="BA511" i="3"/>
  <c r="AZ511" i="3" s="1"/>
  <c r="BA510" i="3"/>
  <c r="AZ510" i="3" s="1"/>
  <c r="BL508" i="3"/>
  <c r="BL504" i="3"/>
  <c r="BA504" i="3"/>
  <c r="BL503" i="3"/>
  <c r="AZ503" i="3" s="1"/>
  <c r="BA501" i="3"/>
  <c r="AZ501" i="3" s="1"/>
  <c r="G500" i="3"/>
  <c r="BA498" i="3"/>
  <c r="AZ498" i="3" s="1"/>
  <c r="AB15" i="21"/>
  <c r="F53" i="9"/>
  <c r="S39" i="34"/>
  <c r="AZ533" i="3"/>
  <c r="S12" i="36"/>
  <c r="AA12" i="36"/>
  <c r="AB30" i="35"/>
  <c r="U30" i="35"/>
  <c r="B77" i="43"/>
  <c r="C25" i="39"/>
  <c r="S12" i="34"/>
  <c r="AA12" i="34"/>
  <c r="J9" i="37"/>
  <c r="F9" i="37"/>
  <c r="H13" i="37"/>
  <c r="J13" i="37"/>
  <c r="AC40" i="40"/>
  <c r="W40" i="40"/>
  <c r="BA582" i="3"/>
  <c r="AZ582" i="3" s="1"/>
  <c r="BL581" i="3"/>
  <c r="AZ581" i="3" s="1"/>
  <c r="BL580" i="3"/>
  <c r="AZ580" i="3" s="1"/>
  <c r="BA579" i="3"/>
  <c r="AZ579" i="3" s="1"/>
  <c r="BL578" i="3"/>
  <c r="BA578" i="3"/>
  <c r="BL576" i="3"/>
  <c r="AZ576" i="3" s="1"/>
  <c r="BL575" i="3"/>
  <c r="AZ575" i="3" s="1"/>
  <c r="BA574" i="3"/>
  <c r="AZ574" i="3" s="1"/>
  <c r="S25" i="21"/>
  <c r="AA25" i="21"/>
  <c r="AZ525" i="3"/>
  <c r="AZ559" i="3"/>
  <c r="W30" i="34"/>
  <c r="AC30" i="34"/>
  <c r="AA44" i="34"/>
  <c r="S44" i="34"/>
  <c r="AA28" i="34"/>
  <c r="AB26" i="21"/>
  <c r="BL586" i="3"/>
  <c r="AZ586" i="3" s="1"/>
  <c r="AA10" i="37"/>
  <c r="S10" i="37"/>
  <c r="S40" i="33"/>
  <c r="AA40" i="33"/>
  <c r="BA584" i="3"/>
  <c r="AZ584" i="3" s="1"/>
  <c r="BL582" i="3"/>
  <c r="AZ343" i="3"/>
  <c r="AZ513" i="3"/>
  <c r="AZ508" i="3"/>
  <c r="AB26" i="33"/>
  <c r="AC11" i="36"/>
  <c r="W11" i="36"/>
  <c r="AC40" i="33"/>
  <c r="W40" i="33"/>
  <c r="U34" i="34"/>
  <c r="AB34" i="34"/>
  <c r="AA34" i="35"/>
  <c r="S34" i="35"/>
  <c r="BA524" i="3"/>
  <c r="AZ524" i="3" s="1"/>
  <c r="BL522" i="3"/>
  <c r="AZ522" i="3" s="1"/>
  <c r="BL521" i="3"/>
  <c r="BL518" i="3"/>
  <c r="BA518" i="3"/>
  <c r="AZ518" i="3" s="1"/>
  <c r="BL517" i="3"/>
  <c r="BA517" i="3"/>
  <c r="AZ517" i="3" s="1"/>
  <c r="BA514" i="3"/>
  <c r="AZ514" i="3" s="1"/>
  <c r="BA509" i="3"/>
  <c r="AZ509" i="3" s="1"/>
  <c r="BA507" i="3"/>
  <c r="AZ507" i="3" s="1"/>
  <c r="BL506" i="3"/>
  <c r="AZ506" i="3" s="1"/>
  <c r="BL502" i="3"/>
  <c r="AZ502" i="3" s="1"/>
  <c r="BL500" i="3"/>
  <c r="AZ500" i="3" s="1"/>
  <c r="BL499" i="3"/>
  <c r="BA499" i="3"/>
  <c r="AZ499" i="3" s="1"/>
  <c r="BH5" i="3"/>
  <c r="BT5" i="3"/>
  <c r="G28" i="6" s="1"/>
  <c r="G30" i="6" s="1"/>
  <c r="G31" i="6" s="1"/>
  <c r="BL495" i="3"/>
  <c r="AZ495" i="3" s="1"/>
  <c r="BO5" i="3"/>
  <c r="F29" i="6" s="1"/>
  <c r="E29" i="6" s="1"/>
  <c r="K15" i="1" s="1"/>
  <c r="BA493" i="3"/>
  <c r="AZ493" i="3" s="1"/>
  <c r="BE5" i="3"/>
  <c r="BL585" i="3"/>
  <c r="AZ585" i="3" s="1"/>
  <c r="U12" i="35"/>
  <c r="AC28" i="35"/>
  <c r="W28" i="35"/>
  <c r="H9" i="36"/>
  <c r="F9" i="36"/>
  <c r="J23" i="36"/>
  <c r="H23" i="36"/>
  <c r="H38" i="40"/>
  <c r="F38" i="40"/>
  <c r="J38" i="40"/>
  <c r="J39" i="40"/>
  <c r="H39" i="40"/>
  <c r="G552" i="3"/>
  <c r="K5" i="4"/>
  <c r="B47" i="48" s="1"/>
  <c r="AA12" i="21"/>
  <c r="J30" i="21"/>
  <c r="H14" i="21"/>
  <c r="W30" i="36"/>
  <c r="C15" i="39"/>
  <c r="H44" i="39"/>
  <c r="F44" i="39"/>
  <c r="G566" i="3"/>
  <c r="AZ415" i="3"/>
  <c r="G582" i="3"/>
  <c r="O8" i="1"/>
  <c r="AZ410" i="3"/>
  <c r="AZ413" i="3"/>
  <c r="AZ421" i="3"/>
  <c r="AZ430" i="3"/>
  <c r="P13" i="1"/>
  <c r="BL405" i="3"/>
  <c r="AZ405" i="3" s="1"/>
  <c r="BL415" i="3"/>
  <c r="BL418" i="3"/>
  <c r="BA423" i="3"/>
  <c r="AZ423" i="3" s="1"/>
  <c r="BA427" i="3"/>
  <c r="AZ427" i="3" s="1"/>
  <c r="BA428" i="3"/>
  <c r="AZ428" i="3" s="1"/>
  <c r="BA432" i="3"/>
  <c r="AZ432" i="3" s="1"/>
  <c r="BA433" i="3"/>
  <c r="AZ433" i="3" s="1"/>
  <c r="BA434" i="3"/>
  <c r="BL439" i="3"/>
  <c r="BL444" i="3"/>
  <c r="AZ444" i="3" s="1"/>
  <c r="BA399" i="3"/>
  <c r="AZ399" i="3" s="1"/>
  <c r="BA409" i="3"/>
  <c r="AZ409" i="3" s="1"/>
  <c r="BA418" i="3"/>
  <c r="BL422" i="3"/>
  <c r="AZ422" i="3" s="1"/>
  <c r="BL426" i="3"/>
  <c r="BL431" i="3"/>
  <c r="AZ431" i="3" s="1"/>
  <c r="AZ435" i="3"/>
  <c r="AZ439" i="3"/>
  <c r="AZ463" i="3"/>
  <c r="AZ470" i="3"/>
  <c r="AZ475" i="3"/>
  <c r="AZ482" i="3"/>
  <c r="AZ483" i="3"/>
  <c r="AZ316" i="3"/>
  <c r="AZ225" i="3"/>
  <c r="AZ242" i="3"/>
  <c r="AZ247" i="3"/>
  <c r="AZ426" i="3"/>
  <c r="BL401" i="3"/>
  <c r="AZ401" i="3" s="1"/>
  <c r="G407" i="3"/>
  <c r="BA412" i="3"/>
  <c r="AZ412" i="3" s="1"/>
  <c r="BA416" i="3"/>
  <c r="G420" i="3"/>
  <c r="G424" i="3"/>
  <c r="BL429" i="3"/>
  <c r="AZ429" i="3" s="1"/>
  <c r="BL434" i="3"/>
  <c r="BA440" i="3"/>
  <c r="AZ440" i="3" s="1"/>
  <c r="BA441" i="3"/>
  <c r="AZ441" i="3" s="1"/>
  <c r="BA442" i="3"/>
  <c r="AZ442" i="3" s="1"/>
  <c r="BA445" i="3"/>
  <c r="AZ449" i="3"/>
  <c r="AZ453" i="3"/>
  <c r="AZ477" i="3"/>
  <c r="AZ479" i="3"/>
  <c r="AZ485" i="3"/>
  <c r="AZ487" i="3"/>
  <c r="AZ492" i="3"/>
  <c r="AZ385" i="3"/>
  <c r="AZ397" i="3"/>
  <c r="AZ210" i="3"/>
  <c r="BA232" i="3"/>
  <c r="AZ232" i="3" s="1"/>
  <c r="BL252" i="3"/>
  <c r="G230" i="3"/>
  <c r="G235" i="3"/>
  <c r="BA239" i="3"/>
  <c r="AZ239" i="3" s="1"/>
  <c r="BL243" i="3"/>
  <c r="BL246" i="3"/>
  <c r="AZ246" i="3" s="1"/>
  <c r="AZ118" i="3"/>
  <c r="AZ126" i="3"/>
  <c r="AZ141" i="3"/>
  <c r="AZ145" i="3"/>
  <c r="AZ161" i="3"/>
  <c r="BL226" i="3"/>
  <c r="AZ226" i="3" s="1"/>
  <c r="G233" i="3"/>
  <c r="BL236" i="3"/>
  <c r="AZ236" i="3" s="1"/>
  <c r="BA241" i="3"/>
  <c r="AZ241" i="3" s="1"/>
  <c r="G245" i="3"/>
  <c r="G248" i="3"/>
  <c r="AZ264" i="3"/>
  <c r="AZ293" i="3"/>
  <c r="AZ302" i="3"/>
  <c r="AZ113" i="3"/>
  <c r="AZ122" i="3"/>
  <c r="AZ169" i="3"/>
  <c r="G51" i="3"/>
  <c r="BL55" i="3"/>
  <c r="AZ55" i="3" s="1"/>
  <c r="G56" i="3"/>
  <c r="AZ96" i="3"/>
  <c r="AZ98" i="3"/>
  <c r="BL201" i="3"/>
  <c r="BA20" i="3"/>
  <c r="AZ20" i="3" s="1"/>
  <c r="BA23" i="3"/>
  <c r="BL27" i="3"/>
  <c r="AZ27" i="3" s="1"/>
  <c r="AZ40" i="3"/>
  <c r="G59" i="3"/>
  <c r="BL60" i="3"/>
  <c r="AZ103" i="3"/>
  <c r="AZ106" i="3"/>
  <c r="BL22" i="3"/>
  <c r="BL25" i="3"/>
  <c r="G29" i="3"/>
  <c r="BL29" i="3"/>
  <c r="AZ29" i="3" s="1"/>
  <c r="BL30" i="3"/>
  <c r="AZ30" i="3" s="1"/>
  <c r="AZ34" i="3"/>
  <c r="BA38" i="3"/>
  <c r="AZ38" i="3" s="1"/>
  <c r="BA205" i="3"/>
  <c r="BA18" i="3"/>
  <c r="AZ18" i="3" s="1"/>
  <c r="BA28" i="3"/>
  <c r="AZ28" i="3" s="1"/>
  <c r="BL32" i="3"/>
  <c r="AZ32" i="3" s="1"/>
  <c r="G33" i="3"/>
  <c r="BA35" i="3"/>
  <c r="AZ35" i="3" s="1"/>
  <c r="BL40" i="3"/>
  <c r="G41" i="3"/>
  <c r="BL42" i="3"/>
  <c r="G43" i="3"/>
  <c r="BL44" i="3"/>
  <c r="AZ44" i="3" s="1"/>
  <c r="BL47" i="3"/>
  <c r="AZ47" i="3" s="1"/>
  <c r="G48" i="3"/>
  <c r="BA58" i="3"/>
  <c r="AZ58" i="3" s="1"/>
  <c r="AZ68" i="3"/>
  <c r="AZ81" i="3"/>
  <c r="AZ87" i="3"/>
  <c r="AZ99" i="3"/>
  <c r="T33" i="71"/>
  <c r="D33" i="71"/>
  <c r="E59" i="43"/>
  <c r="B57" i="43" s="1"/>
  <c r="T53" i="71"/>
  <c r="D53" i="71"/>
  <c r="C61" i="71"/>
  <c r="D60" i="71"/>
  <c r="K100" i="43"/>
  <c r="AC21" i="21"/>
  <c r="U21" i="21"/>
  <c r="W21" i="34"/>
  <c r="U18" i="35"/>
  <c r="S25" i="71"/>
  <c r="X24" i="71"/>
  <c r="X29" i="71"/>
  <c r="C27" i="71"/>
  <c r="B31" i="71"/>
  <c r="B32" i="71" s="1"/>
  <c r="B33" i="71" s="1"/>
  <c r="S33" i="71" s="1"/>
  <c r="Y25" i="71"/>
  <c r="Z25" i="71" s="1"/>
  <c r="C25" i="71"/>
  <c r="E27" i="71"/>
  <c r="E28" i="71" s="1"/>
  <c r="E29" i="71" s="1"/>
  <c r="U29" i="71" s="1"/>
  <c r="AA26" i="71"/>
  <c r="Y28" i="71"/>
  <c r="Z28" i="71" s="1"/>
  <c r="X28" i="71"/>
  <c r="AB29" i="71"/>
  <c r="AB30" i="71"/>
  <c r="Y31" i="71"/>
  <c r="Z31" i="71" s="1"/>
  <c r="AB35" i="71"/>
  <c r="AB6" i="71"/>
  <c r="AB36" i="71"/>
  <c r="B40" i="71"/>
  <c r="B41" i="71" s="1"/>
  <c r="S41" i="71" s="1"/>
  <c r="E56" i="71"/>
  <c r="E57" i="71" s="1"/>
  <c r="U57" i="71" s="1"/>
  <c r="B72" i="71"/>
  <c r="B71" i="71" s="1"/>
  <c r="AJ10" i="43"/>
  <c r="Z12" i="43"/>
  <c r="AB12" i="43"/>
  <c r="AF12" i="43"/>
  <c r="AH12" i="43"/>
  <c r="X22" i="71"/>
  <c r="X21" i="71"/>
  <c r="C20" i="71"/>
  <c r="X19" i="71"/>
  <c r="X10" i="71"/>
  <c r="I100" i="43"/>
  <c r="D100" i="43"/>
  <c r="M108" i="43"/>
  <c r="E108" i="43"/>
  <c r="S21" i="21"/>
  <c r="AB27" i="71"/>
  <c r="AA20" i="71"/>
  <c r="Y18" i="71"/>
  <c r="Z18" i="71" s="1"/>
  <c r="Y19" i="71"/>
  <c r="Z19" i="71" s="1"/>
  <c r="AA18" i="71"/>
  <c r="AB18" i="71"/>
  <c r="Y14" i="71"/>
  <c r="Z14" i="71" s="1"/>
  <c r="AB14" i="71"/>
  <c r="Y8" i="71"/>
  <c r="Z8" i="71" s="1"/>
  <c r="Y11" i="71"/>
  <c r="Z11" i="71" s="1"/>
  <c r="Y10" i="71"/>
  <c r="Z10" i="71" s="1"/>
  <c r="Y9" i="71"/>
  <c r="Z9" i="71" s="1"/>
  <c r="AB5" i="71"/>
  <c r="X5" i="71"/>
  <c r="Y5" i="71"/>
  <c r="Z5" i="71" s="1"/>
  <c r="AA5" i="71"/>
  <c r="AB24" i="71"/>
  <c r="C48" i="71"/>
  <c r="X27" i="71"/>
  <c r="AA27" i="71"/>
  <c r="AA29" i="71"/>
  <c r="AA32" i="71"/>
  <c r="AB33" i="71"/>
  <c r="C35" i="71"/>
  <c r="Y32" i="71"/>
  <c r="Z32" i="71" s="1"/>
  <c r="Y34" i="71"/>
  <c r="Z34" i="71" s="1"/>
  <c r="E20" i="71"/>
  <c r="E19" i="71" s="1"/>
  <c r="E18" i="71" s="1"/>
  <c r="E17" i="71" s="1"/>
  <c r="V21" i="71"/>
  <c r="X18" i="71"/>
  <c r="AA15" i="71"/>
  <c r="Y7" i="71"/>
  <c r="Z7" i="71" s="1"/>
  <c r="C40" i="68"/>
  <c r="C21" i="68"/>
  <c r="E35" i="71"/>
  <c r="E36" i="71" s="1"/>
  <c r="E37" i="71" s="1"/>
  <c r="U37" i="71" s="1"/>
  <c r="AA34" i="71"/>
  <c r="AA6" i="71"/>
  <c r="AA7" i="71"/>
  <c r="AA36" i="71"/>
  <c r="AA35" i="71"/>
  <c r="F64" i="71"/>
  <c r="Y23" i="71"/>
  <c r="Z23" i="71" s="1"/>
  <c r="P74" i="15"/>
  <c r="P61" i="15"/>
  <c r="AA21" i="71"/>
  <c r="Y21" i="71"/>
  <c r="Z21" i="71" s="1"/>
  <c r="Y20" i="71"/>
  <c r="Z20" i="71" s="1"/>
  <c r="AB20" i="71"/>
  <c r="X15" i="71"/>
  <c r="AB11" i="71"/>
  <c r="AB15" i="71"/>
  <c r="X7" i="71"/>
  <c r="AA19" i="71"/>
  <c r="AA12" i="71"/>
  <c r="AB8" i="71"/>
  <c r="AA11" i="71"/>
  <c r="X8" i="71"/>
  <c r="Y6" i="71"/>
  <c r="Z6" i="71" s="1"/>
  <c r="AB12" i="71"/>
  <c r="AB7" i="71"/>
  <c r="AA8" i="71"/>
  <c r="X6" i="71"/>
  <c r="X12" i="71"/>
  <c r="AB10" i="71"/>
  <c r="AA10" i="71"/>
  <c r="X9" i="71"/>
  <c r="X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F66" i="67"/>
  <c r="B11" i="70"/>
  <c r="L59" i="15"/>
  <c r="L58" i="15"/>
  <c r="M59" i="15"/>
  <c r="B8" i="70"/>
  <c r="F66" i="15"/>
  <c r="Q71" i="67"/>
  <c r="F64" i="15"/>
  <c r="F70" i="67"/>
  <c r="C27" i="67"/>
  <c r="F71" i="67"/>
  <c r="C27" i="15"/>
  <c r="F65" i="15"/>
  <c r="B9" i="70"/>
  <c r="N59" i="67"/>
  <c r="L59" i="67"/>
  <c r="L58" i="67"/>
  <c r="M59" i="67"/>
  <c r="B13" i="70"/>
  <c r="M7" i="67"/>
  <c r="J6" i="67" s="1"/>
  <c r="F50" i="67"/>
  <c r="F63" i="67"/>
  <c r="C62" i="67" s="1"/>
  <c r="F68" i="67"/>
  <c r="F64" i="67"/>
  <c r="F68" i="15"/>
  <c r="M8" i="83"/>
  <c r="F7" i="15"/>
  <c r="M29" i="15"/>
  <c r="F9" i="83"/>
  <c r="M6" i="83"/>
  <c r="F38" i="83"/>
  <c r="M22" i="83"/>
  <c r="F43" i="83"/>
  <c r="J15" i="83"/>
  <c r="F40" i="83"/>
  <c r="C17" i="67"/>
  <c r="L47" i="83"/>
  <c r="M9" i="83"/>
  <c r="M24" i="83"/>
  <c r="C76" i="83"/>
  <c r="F37" i="83"/>
  <c r="C14" i="67"/>
  <c r="F13" i="83"/>
  <c r="M28" i="83"/>
  <c r="F36" i="83"/>
  <c r="F26" i="83"/>
  <c r="M29" i="83"/>
  <c r="M26" i="83"/>
  <c r="F6" i="83"/>
  <c r="F8" i="83"/>
  <c r="L48" i="83"/>
  <c r="M23" i="83"/>
  <c r="M27" i="83"/>
  <c r="F16" i="83"/>
  <c r="G1" i="73"/>
  <c r="F43" i="15"/>
  <c r="C16" i="67"/>
  <c r="F7" i="83"/>
  <c r="F42" i="83"/>
  <c r="AA38" i="21" l="1"/>
  <c r="E67" i="39"/>
  <c r="F50" i="15"/>
  <c r="C49" i="15" s="1"/>
  <c r="C6" i="15"/>
  <c r="C32" i="15" s="1"/>
  <c r="M7" i="15"/>
  <c r="J6" i="15" s="1"/>
  <c r="J18" i="15" s="1"/>
  <c r="F50" i="83"/>
  <c r="M7" i="83"/>
  <c r="J6" i="83" s="1"/>
  <c r="J18" i="83" s="1"/>
  <c r="L60" i="83"/>
  <c r="L56" i="83"/>
  <c r="Q71" i="83"/>
  <c r="F68" i="83"/>
  <c r="F64" i="83"/>
  <c r="F66" i="83"/>
  <c r="F71" i="83"/>
  <c r="L59" i="83"/>
  <c r="N59" i="83"/>
  <c r="L58" i="83"/>
  <c r="M59" i="83"/>
  <c r="F51" i="83"/>
  <c r="F65" i="83"/>
  <c r="C27" i="83"/>
  <c r="C6" i="83"/>
  <c r="J7" i="36"/>
  <c r="AC7" i="36" s="1"/>
  <c r="V36" i="36" s="1"/>
  <c r="I36" i="36" s="1"/>
  <c r="N64" i="71"/>
  <c r="B63" i="71"/>
  <c r="C41" i="71"/>
  <c r="D40" i="71"/>
  <c r="AZ142" i="3"/>
  <c r="AZ269" i="3"/>
  <c r="AZ228" i="3"/>
  <c r="W34" i="35"/>
  <c r="AC34" i="35"/>
  <c r="U45" i="39"/>
  <c r="AB45" i="39"/>
  <c r="U25" i="37"/>
  <c r="AB25" i="37"/>
  <c r="S44" i="21"/>
  <c r="AA44" i="21"/>
  <c r="AC20" i="35"/>
  <c r="W20" i="35"/>
  <c r="AZ42" i="3"/>
  <c r="AZ205" i="3"/>
  <c r="AZ201" i="3"/>
  <c r="AZ445" i="3"/>
  <c r="AZ416" i="3"/>
  <c r="C107" i="43"/>
  <c r="D101" i="43"/>
  <c r="D102" i="43" s="1"/>
  <c r="AI11" i="43"/>
  <c r="AI13" i="43" s="1"/>
  <c r="N104" i="46"/>
  <c r="Y11" i="43"/>
  <c r="Y13" i="43" s="1"/>
  <c r="G22" i="43"/>
  <c r="I101" i="43"/>
  <c r="I104" i="43" s="1"/>
  <c r="AE11" i="43"/>
  <c r="AE13" i="43" s="1"/>
  <c r="H22" i="43"/>
  <c r="L19" i="6"/>
  <c r="L27" i="6" s="1"/>
  <c r="M7" i="1"/>
  <c r="W16" i="35"/>
  <c r="AZ63" i="3"/>
  <c r="AZ50" i="3"/>
  <c r="AZ206" i="3"/>
  <c r="C57" i="71"/>
  <c r="D56" i="71"/>
  <c r="AZ178" i="3"/>
  <c r="AZ291" i="3"/>
  <c r="AZ301" i="3"/>
  <c r="AZ295" i="3"/>
  <c r="AZ286" i="3"/>
  <c r="AZ281" i="3"/>
  <c r="AZ146" i="3"/>
  <c r="AZ254" i="3"/>
  <c r="AZ258" i="3"/>
  <c r="AZ208" i="3"/>
  <c r="AB36" i="35"/>
  <c r="U36" i="35"/>
  <c r="AC26" i="37"/>
  <c r="W26" i="37"/>
  <c r="U16" i="35"/>
  <c r="AB16" i="35"/>
  <c r="AA14" i="35"/>
  <c r="S14" i="35"/>
  <c r="AC44" i="21"/>
  <c r="W44" i="21"/>
  <c r="AC29" i="35"/>
  <c r="W29" i="35"/>
  <c r="AA33" i="36"/>
  <c r="S33" i="36"/>
  <c r="AA23" i="35"/>
  <c r="S23" i="35"/>
  <c r="G5" i="3"/>
  <c r="B3" i="3" s="1"/>
  <c r="E125" i="3" s="1"/>
  <c r="H16" i="1"/>
  <c r="O62" i="71"/>
  <c r="D63" i="71"/>
  <c r="O63" i="71"/>
  <c r="B16" i="71"/>
  <c r="B15" i="71" s="1"/>
  <c r="B14" i="71" s="1"/>
  <c r="B13" i="71" s="1"/>
  <c r="S17" i="71"/>
  <c r="J53" i="83"/>
  <c r="I54" i="83"/>
  <c r="J57" i="83"/>
  <c r="J55" i="83" s="1"/>
  <c r="J58" i="83" s="1"/>
  <c r="Q50" i="83" s="1"/>
  <c r="AZ194" i="3"/>
  <c r="AZ97" i="3"/>
  <c r="AZ117" i="3"/>
  <c r="AZ138" i="3"/>
  <c r="AZ229" i="3"/>
  <c r="AZ411" i="3"/>
  <c r="AA9" i="34"/>
  <c r="S9" i="34"/>
  <c r="AA26" i="37"/>
  <c r="S26" i="37"/>
  <c r="AB14" i="35"/>
  <c r="U14" i="35"/>
  <c r="AA40" i="40"/>
  <c r="S40" i="40"/>
  <c r="AC12" i="35"/>
  <c r="W12" i="35"/>
  <c r="AB33" i="36"/>
  <c r="U33" i="36"/>
  <c r="C34" i="67"/>
  <c r="J7" i="34"/>
  <c r="AZ23" i="3"/>
  <c r="AZ243" i="3"/>
  <c r="W23" i="35"/>
  <c r="Q16" i="1"/>
  <c r="J22" i="43"/>
  <c r="B113" i="43"/>
  <c r="I117" i="43" s="1"/>
  <c r="J117" i="43" s="1"/>
  <c r="K117" i="43" s="1"/>
  <c r="L117" i="43" s="1"/>
  <c r="M117" i="43" s="1"/>
  <c r="E101" i="43"/>
  <c r="E103" i="43" s="1"/>
  <c r="F22" i="43"/>
  <c r="AB11" i="43"/>
  <c r="AB13" i="43" s="1"/>
  <c r="Z7" i="43"/>
  <c r="J101" i="43"/>
  <c r="U29" i="35"/>
  <c r="AZ76" i="3"/>
  <c r="AZ182" i="3"/>
  <c r="AZ256" i="3"/>
  <c r="AZ276" i="3"/>
  <c r="AZ262" i="3"/>
  <c r="AZ162" i="3"/>
  <c r="AZ490" i="3"/>
  <c r="AZ446" i="3"/>
  <c r="S45" i="39"/>
  <c r="AA45" i="39"/>
  <c r="AA25" i="37"/>
  <c r="S25" i="37"/>
  <c r="AB40" i="40"/>
  <c r="U40" i="40"/>
  <c r="S12" i="35"/>
  <c r="AA12" i="35"/>
  <c r="U23" i="35"/>
  <c r="AB23" i="35"/>
  <c r="AC38" i="21"/>
  <c r="AB38" i="21"/>
  <c r="W10" i="35"/>
  <c r="AC10" i="35"/>
  <c r="F11" i="83"/>
  <c r="M11" i="83"/>
  <c r="G16" i="1"/>
  <c r="F10" i="39" s="1"/>
  <c r="AA10" i="39" s="1"/>
  <c r="F71" i="15"/>
  <c r="Z13" i="43"/>
  <c r="N103" i="43"/>
  <c r="D107" i="43"/>
  <c r="I103" i="43"/>
  <c r="AH13" i="43"/>
  <c r="L107" i="43"/>
  <c r="L102" i="43"/>
  <c r="L103" i="43"/>
  <c r="M6" i="1"/>
  <c r="C36" i="11" s="1"/>
  <c r="AP6" i="1"/>
  <c r="C36" i="69" s="1"/>
  <c r="AA9" i="21"/>
  <c r="S9" i="21"/>
  <c r="W9" i="21"/>
  <c r="AC9" i="21"/>
  <c r="C30" i="11"/>
  <c r="C48" i="11"/>
  <c r="F48" i="69"/>
  <c r="C30" i="69"/>
  <c r="C48" i="69"/>
  <c r="F48" i="68"/>
  <c r="C30" i="68"/>
  <c r="C48" i="68"/>
  <c r="P6" i="1"/>
  <c r="C13" i="12" s="1"/>
  <c r="N109" i="43"/>
  <c r="N105" i="43"/>
  <c r="L104" i="43"/>
  <c r="C105" i="43"/>
  <c r="C106" i="43"/>
  <c r="C103" i="43"/>
  <c r="I102" i="43"/>
  <c r="M103" i="43"/>
  <c r="D105" i="43"/>
  <c r="K106" i="43"/>
  <c r="H109" i="43"/>
  <c r="K102" i="43"/>
  <c r="M109" i="43"/>
  <c r="G109" i="43"/>
  <c r="AF13" i="43"/>
  <c r="D109" i="43"/>
  <c r="M104" i="43"/>
  <c r="K107" i="43"/>
  <c r="G102" i="43"/>
  <c r="H102" i="43"/>
  <c r="N107" i="43"/>
  <c r="M102" i="43"/>
  <c r="N106" i="43"/>
  <c r="I105" i="43"/>
  <c r="C102" i="43"/>
  <c r="N104" i="43"/>
  <c r="H106" i="43"/>
  <c r="B115" i="43"/>
  <c r="C115" i="43" s="1"/>
  <c r="B116" i="43"/>
  <c r="C116" i="43" s="1"/>
  <c r="D118" i="43"/>
  <c r="E118" i="43" s="1"/>
  <c r="F118" i="43" s="1"/>
  <c r="I116" i="43"/>
  <c r="J116" i="43" s="1"/>
  <c r="K116" i="43" s="1"/>
  <c r="L116" i="43" s="1"/>
  <c r="M116" i="43" s="1"/>
  <c r="K103" i="43"/>
  <c r="K109" i="43"/>
  <c r="K104" i="43"/>
  <c r="H103" i="43"/>
  <c r="H107" i="43"/>
  <c r="H105" i="43"/>
  <c r="G105" i="43"/>
  <c r="G107" i="43"/>
  <c r="G106" i="43"/>
  <c r="G104" i="43"/>
  <c r="F104" i="43"/>
  <c r="F107" i="43"/>
  <c r="F102" i="43"/>
  <c r="F103" i="43"/>
  <c r="F106" i="43"/>
  <c r="F105" i="43"/>
  <c r="F109" i="43"/>
  <c r="M107" i="43"/>
  <c r="M106" i="43"/>
  <c r="I109" i="43"/>
  <c r="I107" i="43"/>
  <c r="D117" i="43"/>
  <c r="E117" i="43" s="1"/>
  <c r="F117" i="43" s="1"/>
  <c r="G117" i="43" s="1"/>
  <c r="H117" i="43" s="1"/>
  <c r="D106" i="43"/>
  <c r="D103" i="43"/>
  <c r="D104" i="43"/>
  <c r="I106" i="43"/>
  <c r="L109" i="43"/>
  <c r="L105" i="43"/>
  <c r="S6" i="43"/>
  <c r="T6" i="43" s="1"/>
  <c r="V6" i="43" s="1"/>
  <c r="S7" i="43"/>
  <c r="T7" i="43" s="1"/>
  <c r="V7" i="43" s="1"/>
  <c r="S3" i="43"/>
  <c r="T3" i="43" s="1"/>
  <c r="V3" i="43" s="1"/>
  <c r="C23" i="43"/>
  <c r="C21" i="43" s="1"/>
  <c r="S2" i="43"/>
  <c r="T2" i="43" s="1"/>
  <c r="V2" i="43" s="1"/>
  <c r="S5" i="43"/>
  <c r="T5" i="43" s="1"/>
  <c r="V5" i="43" s="1"/>
  <c r="S4" i="43"/>
  <c r="T4" i="43" s="1"/>
  <c r="V4" i="43" s="1"/>
  <c r="F27" i="11"/>
  <c r="F27" i="68"/>
  <c r="F27" i="69"/>
  <c r="F28" i="12"/>
  <c r="C29" i="12" s="1"/>
  <c r="D28" i="12" s="1"/>
  <c r="E282" i="3"/>
  <c r="E399" i="3"/>
  <c r="E533" i="3"/>
  <c r="E415" i="3"/>
  <c r="E239" i="3"/>
  <c r="E229" i="3"/>
  <c r="E16" i="3"/>
  <c r="E296" i="3"/>
  <c r="E269" i="3"/>
  <c r="E116" i="3"/>
  <c r="U6" i="3"/>
  <c r="E548" i="3"/>
  <c r="E367" i="3"/>
  <c r="E403" i="3"/>
  <c r="E71" i="3"/>
  <c r="E126" i="3"/>
  <c r="E291" i="3"/>
  <c r="AM6" i="3"/>
  <c r="E467" i="3"/>
  <c r="E249" i="3"/>
  <c r="E144" i="3"/>
  <c r="E264" i="3"/>
  <c r="E530" i="3"/>
  <c r="E237" i="3"/>
  <c r="E510" i="3"/>
  <c r="E418" i="3"/>
  <c r="E290" i="3"/>
  <c r="E330" i="3"/>
  <c r="E466" i="3"/>
  <c r="AP6" i="3"/>
  <c r="E479" i="3"/>
  <c r="E139" i="3"/>
  <c r="E394" i="3"/>
  <c r="E462" i="3"/>
  <c r="E307" i="3"/>
  <c r="E370" i="3"/>
  <c r="E304" i="3"/>
  <c r="E353" i="3"/>
  <c r="E301" i="3"/>
  <c r="E277" i="3"/>
  <c r="E564" i="3"/>
  <c r="E440" i="3"/>
  <c r="E460" i="3"/>
  <c r="E108" i="3"/>
  <c r="E257" i="3"/>
  <c r="E58" i="3"/>
  <c r="E195" i="3"/>
  <c r="E34" i="3"/>
  <c r="E218" i="3"/>
  <c r="E461" i="3"/>
  <c r="E423" i="3"/>
  <c r="E91" i="3"/>
  <c r="E107" i="3"/>
  <c r="E442" i="3"/>
  <c r="E360" i="3"/>
  <c r="E468" i="3"/>
  <c r="E198" i="3"/>
  <c r="E315" i="3"/>
  <c r="E409" i="3"/>
  <c r="E209" i="3"/>
  <c r="E284" i="3"/>
  <c r="E83" i="3"/>
  <c r="E458" i="3"/>
  <c r="E259" i="3"/>
  <c r="E158" i="3"/>
  <c r="E573" i="3"/>
  <c r="E240" i="3"/>
  <c r="AF6" i="3"/>
  <c r="E543" i="3"/>
  <c r="E279" i="3"/>
  <c r="E285" i="3"/>
  <c r="E421" i="3"/>
  <c r="E378" i="3"/>
  <c r="E22" i="3"/>
  <c r="E16" i="71"/>
  <c r="E15" i="71" s="1"/>
  <c r="E14" i="71" s="1"/>
  <c r="E13" i="71" s="1"/>
  <c r="V17" i="71"/>
  <c r="BL5" i="3"/>
  <c r="AB39" i="40"/>
  <c r="U39" i="40"/>
  <c r="AB38" i="40"/>
  <c r="U38" i="40"/>
  <c r="AB9" i="36"/>
  <c r="U9" i="36"/>
  <c r="AB13" i="37"/>
  <c r="U13" i="37"/>
  <c r="E500" i="3"/>
  <c r="AZ521" i="3"/>
  <c r="AA27" i="34"/>
  <c r="S27" i="34"/>
  <c r="E51" i="40"/>
  <c r="F27" i="6"/>
  <c r="E56" i="39"/>
  <c r="BA5" i="3"/>
  <c r="F7" i="36"/>
  <c r="AA7" i="36" s="1"/>
  <c r="R36" i="36" s="1"/>
  <c r="H7" i="36"/>
  <c r="AB7" i="36" s="1"/>
  <c r="T36" i="36" s="1"/>
  <c r="G36" i="36" s="1"/>
  <c r="F7" i="34"/>
  <c r="S7" i="34" s="1"/>
  <c r="C7" i="43"/>
  <c r="C49" i="71"/>
  <c r="D48" i="71"/>
  <c r="E33" i="3"/>
  <c r="AZ22" i="3"/>
  <c r="AZ418" i="3"/>
  <c r="AC39" i="40"/>
  <c r="W39" i="40"/>
  <c r="AB23" i="36"/>
  <c r="U23" i="36"/>
  <c r="S9" i="37"/>
  <c r="AA9" i="37"/>
  <c r="W27" i="34"/>
  <c r="AC27" i="34"/>
  <c r="D20" i="71"/>
  <c r="C19" i="71"/>
  <c r="C28" i="71"/>
  <c r="D27" i="71"/>
  <c r="E407" i="3"/>
  <c r="AZ434" i="3"/>
  <c r="AA44" i="39"/>
  <c r="S44" i="39"/>
  <c r="U14" i="21"/>
  <c r="AB14" i="21"/>
  <c r="AC38" i="40"/>
  <c r="W38" i="40"/>
  <c r="AC23" i="36"/>
  <c r="W23" i="36"/>
  <c r="E15" i="6"/>
  <c r="E11" i="6"/>
  <c r="E10" i="6"/>
  <c r="E14" i="6"/>
  <c r="E12" i="6"/>
  <c r="E13" i="6"/>
  <c r="W9" i="37"/>
  <c r="AC9" i="37"/>
  <c r="B12" i="71"/>
  <c r="B11" i="71" s="1"/>
  <c r="B10" i="71" s="1"/>
  <c r="B9" i="71" s="1"/>
  <c r="S13" i="71"/>
  <c r="J10" i="39"/>
  <c r="W10" i="39" s="1"/>
  <c r="J7" i="37"/>
  <c r="AC7" i="37" s="1"/>
  <c r="V42" i="37" s="1"/>
  <c r="I42" i="37" s="1"/>
  <c r="H7" i="34"/>
  <c r="AB7" i="34" s="1"/>
  <c r="T49" i="34" s="1"/>
  <c r="G49" i="34" s="1"/>
  <c r="F63" i="71"/>
  <c r="Q64" i="71"/>
  <c r="C36" i="71"/>
  <c r="D35" i="71"/>
  <c r="T25" i="71"/>
  <c r="C24" i="71"/>
  <c r="D25" i="71"/>
  <c r="U25" i="71" s="1"/>
  <c r="T61" i="71"/>
  <c r="D61" i="71"/>
  <c r="E51" i="3"/>
  <c r="E420" i="3"/>
  <c r="P8" i="1"/>
  <c r="AB44" i="39"/>
  <c r="U44" i="39"/>
  <c r="AC30" i="21"/>
  <c r="W30" i="21"/>
  <c r="AA38" i="40"/>
  <c r="S38" i="40"/>
  <c r="AA9" i="36"/>
  <c r="S9" i="36"/>
  <c r="AZ578" i="3"/>
  <c r="W13" i="37"/>
  <c r="AC13" i="37"/>
  <c r="AZ504" i="3"/>
  <c r="E28" i="6"/>
  <c r="F30" i="6"/>
  <c r="F67" i="39"/>
  <c r="E69" i="39"/>
  <c r="D5" i="43"/>
  <c r="C39" i="43" s="1"/>
  <c r="T11" i="43"/>
  <c r="V11" i="43" s="1"/>
  <c r="T12" i="43"/>
  <c r="V12" i="43" s="1"/>
  <c r="T9" i="43"/>
  <c r="V9" i="43" s="1"/>
  <c r="T10" i="43"/>
  <c r="V10" i="43" s="1"/>
  <c r="T13" i="43"/>
  <c r="V13" i="43" s="1"/>
  <c r="T14" i="43"/>
  <c r="V14" i="43" s="1"/>
  <c r="T8" i="43"/>
  <c r="V8" i="43" s="1"/>
  <c r="T16" i="43"/>
  <c r="V16" i="43" s="1"/>
  <c r="C29" i="43"/>
  <c r="C30" i="43" s="1"/>
  <c r="E30" i="43" s="1"/>
  <c r="T15" i="43"/>
  <c r="V15" i="43" s="1"/>
  <c r="F59" i="67"/>
  <c r="H7" i="37"/>
  <c r="AB7" i="37" s="1"/>
  <c r="T42" i="37" s="1"/>
  <c r="G42" i="37" s="1"/>
  <c r="B40" i="1"/>
  <c r="F24" i="83" s="1"/>
  <c r="H7" i="33"/>
  <c r="J7" i="33"/>
  <c r="D65" i="40"/>
  <c r="E63" i="40"/>
  <c r="F48" i="35"/>
  <c r="U7" i="34"/>
  <c r="F7" i="33"/>
  <c r="E58" i="21"/>
  <c r="F7" i="37"/>
  <c r="W7" i="34"/>
  <c r="AC7" i="34"/>
  <c r="V49" i="34" s="1"/>
  <c r="I49" i="34" s="1"/>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C16" i="83"/>
  <c r="AE6" i="1"/>
  <c r="S10" i="39" l="1"/>
  <c r="E41" i="3"/>
  <c r="E219" i="3"/>
  <c r="E463" i="3"/>
  <c r="E254" i="3"/>
  <c r="E96" i="3"/>
  <c r="E413" i="3"/>
  <c r="E303" i="3"/>
  <c r="E455" i="3"/>
  <c r="E498" i="3"/>
  <c r="E159" i="3"/>
  <c r="E170" i="3"/>
  <c r="E483" i="3"/>
  <c r="E439" i="3"/>
  <c r="E176" i="3"/>
  <c r="AQ6" i="3"/>
  <c r="E78" i="3"/>
  <c r="AL6" i="3"/>
  <c r="E258" i="3"/>
  <c r="E26" i="3"/>
  <c r="E554" i="3"/>
  <c r="E406" i="3"/>
  <c r="E534" i="3"/>
  <c r="E45" i="3"/>
  <c r="E298" i="3"/>
  <c r="E559" i="3"/>
  <c r="E528" i="3"/>
  <c r="E341" i="3"/>
  <c r="E339" i="3"/>
  <c r="E412" i="3"/>
  <c r="E333" i="3"/>
  <c r="E155" i="3"/>
  <c r="E475" i="3"/>
  <c r="W6" i="3"/>
  <c r="E474" i="3"/>
  <c r="E313" i="3"/>
  <c r="E135" i="3"/>
  <c r="E538" i="3"/>
  <c r="E555" i="3"/>
  <c r="E179" i="3"/>
  <c r="E36" i="3"/>
  <c r="E100" i="3"/>
  <c r="E42" i="3"/>
  <c r="E241" i="3"/>
  <c r="E73" i="3"/>
  <c r="E429" i="3"/>
  <c r="E451" i="3"/>
  <c r="T6" i="3"/>
  <c r="E224" i="3"/>
  <c r="E215" i="3"/>
  <c r="E311" i="3"/>
  <c r="E183" i="3"/>
  <c r="E305" i="3"/>
  <c r="E21" i="3"/>
  <c r="E68" i="3"/>
  <c r="E492" i="3"/>
  <c r="E160" i="3"/>
  <c r="E480" i="3"/>
  <c r="E317" i="3"/>
  <c r="E272" i="3"/>
  <c r="E92" i="3"/>
  <c r="E546" i="3"/>
  <c r="E547" i="3"/>
  <c r="E432" i="3"/>
  <c r="E411" i="3"/>
  <c r="E379" i="3"/>
  <c r="E85" i="3"/>
  <c r="E136" i="3"/>
  <c r="E434" i="3"/>
  <c r="E314" i="3"/>
  <c r="E569" i="3"/>
  <c r="E260" i="3"/>
  <c r="E561" i="3"/>
  <c r="E124" i="3"/>
  <c r="E347" i="3"/>
  <c r="E366" i="3"/>
  <c r="E107" i="43"/>
  <c r="E104" i="43"/>
  <c r="D22" i="43"/>
  <c r="J10" i="40"/>
  <c r="AC10" i="40" s="1"/>
  <c r="W7" i="37"/>
  <c r="AA7" i="34"/>
  <c r="R49" i="34" s="1"/>
  <c r="U7" i="36"/>
  <c r="F10" i="40"/>
  <c r="AA10" i="40" s="1"/>
  <c r="H10" i="40"/>
  <c r="U10" i="40" s="1"/>
  <c r="J10" i="83"/>
  <c r="J5" i="83" s="1"/>
  <c r="J26" i="83" s="1"/>
  <c r="J10" i="15"/>
  <c r="J5" i="15" s="1"/>
  <c r="J24" i="15" s="1"/>
  <c r="C49" i="83"/>
  <c r="J104" i="43"/>
  <c r="J102" i="43"/>
  <c r="J107" i="43"/>
  <c r="J109" i="43"/>
  <c r="T57" i="71"/>
  <c r="D57" i="71"/>
  <c r="T41" i="71"/>
  <c r="D41" i="71"/>
  <c r="E248" i="3"/>
  <c r="E29" i="3"/>
  <c r="E56" i="3"/>
  <c r="E514" i="3"/>
  <c r="E59" i="3"/>
  <c r="E35" i="3"/>
  <c r="E31" i="3"/>
  <c r="E57" i="3"/>
  <c r="E527" i="3"/>
  <c r="E120" i="3"/>
  <c r="E385" i="3"/>
  <c r="E392" i="3"/>
  <c r="E346" i="3"/>
  <c r="E433" i="3"/>
  <c r="E487" i="3"/>
  <c r="E185" i="3"/>
  <c r="E222" i="3"/>
  <c r="E174" i="3"/>
  <c r="E351" i="3"/>
  <c r="E520" i="3"/>
  <c r="E486" i="3"/>
  <c r="E161" i="3"/>
  <c r="E574" i="3"/>
  <c r="E324" i="3"/>
  <c r="E318" i="3"/>
  <c r="E39" i="3"/>
  <c r="E422" i="3"/>
  <c r="E228" i="3"/>
  <c r="O6" i="3"/>
  <c r="E287" i="3"/>
  <c r="E364" i="3"/>
  <c r="E86" i="3"/>
  <c r="E299" i="3"/>
  <c r="E138" i="3"/>
  <c r="E482" i="3"/>
  <c r="E544" i="3"/>
  <c r="E391" i="3"/>
  <c r="E214" i="3"/>
  <c r="E132" i="3"/>
  <c r="E106" i="3"/>
  <c r="E470" i="3"/>
  <c r="E577" i="3"/>
  <c r="I3" i="6"/>
  <c r="E408" i="3"/>
  <c r="E472" i="3"/>
  <c r="R6" i="3"/>
  <c r="E369" i="3"/>
  <c r="E271" i="3"/>
  <c r="E181" i="3"/>
  <c r="E189" i="3"/>
  <c r="E338" i="3"/>
  <c r="E551" i="3"/>
  <c r="E227" i="3"/>
  <c r="E361" i="3"/>
  <c r="E308" i="3"/>
  <c r="E50" i="3"/>
  <c r="E87" i="3"/>
  <c r="E342" i="3"/>
  <c r="E194" i="3"/>
  <c r="E47" i="3"/>
  <c r="E93" i="3"/>
  <c r="E375" i="3"/>
  <c r="E276" i="3"/>
  <c r="E208" i="3"/>
  <c r="E131" i="3"/>
  <c r="E40" i="3"/>
  <c r="E471" i="3"/>
  <c r="J6" i="3"/>
  <c r="E459" i="3"/>
  <c r="E507" i="3"/>
  <c r="E529" i="3"/>
  <c r="E393" i="3"/>
  <c r="E204" i="3"/>
  <c r="E221" i="3"/>
  <c r="E216" i="3"/>
  <c r="E350" i="3"/>
  <c r="E495" i="3"/>
  <c r="E410" i="3"/>
  <c r="E213" i="3"/>
  <c r="E265" i="3"/>
  <c r="Y6" i="3"/>
  <c r="E49" i="3"/>
  <c r="E325" i="3"/>
  <c r="E190" i="3"/>
  <c r="E15" i="3"/>
  <c r="E76" i="3"/>
  <c r="E356" i="3"/>
  <c r="E274" i="3"/>
  <c r="E192" i="3"/>
  <c r="E115" i="3"/>
  <c r="E55" i="3"/>
  <c r="E452" i="3"/>
  <c r="AE6" i="3"/>
  <c r="E255" i="3"/>
  <c r="E481" i="3"/>
  <c r="E502" i="3"/>
  <c r="E525" i="3"/>
  <c r="E145" i="3"/>
  <c r="E180" i="3"/>
  <c r="E169" i="3"/>
  <c r="E387" i="3"/>
  <c r="E570" i="3"/>
  <c r="E352" i="3"/>
  <c r="E503" i="3"/>
  <c r="E565" i="3"/>
  <c r="E426" i="3"/>
  <c r="E501" i="3"/>
  <c r="E53" i="3"/>
  <c r="E283" i="3"/>
  <c r="E63" i="3"/>
  <c r="E184" i="3"/>
  <c r="E23" i="3"/>
  <c r="E300" i="3"/>
  <c r="E142" i="3"/>
  <c r="E64" i="3"/>
  <c r="E441" i="3"/>
  <c r="E30" i="3"/>
  <c r="E334" i="3"/>
  <c r="E316" i="3"/>
  <c r="E295" i="3"/>
  <c r="E166" i="3"/>
  <c r="E121" i="3"/>
  <c r="E88" i="3"/>
  <c r="E404" i="3"/>
  <c r="E444" i="3"/>
  <c r="E581" i="3"/>
  <c r="E558" i="3"/>
  <c r="E443" i="3"/>
  <c r="P6" i="3"/>
  <c r="E448" i="3"/>
  <c r="AG6" i="3"/>
  <c r="E576" i="3"/>
  <c r="E173" i="3"/>
  <c r="E223" i="3"/>
  <c r="E122" i="3"/>
  <c r="E156" i="3"/>
  <c r="E244" i="3"/>
  <c r="E453" i="3"/>
  <c r="E536" i="3"/>
  <c r="E568" i="3"/>
  <c r="E201" i="3"/>
  <c r="E431" i="3"/>
  <c r="E509" i="3"/>
  <c r="E445" i="3"/>
  <c r="E563" i="3"/>
  <c r="E69" i="3"/>
  <c r="S6" i="3"/>
  <c r="E293" i="3"/>
  <c r="E336" i="3"/>
  <c r="E583" i="3"/>
  <c r="E322" i="3"/>
  <c r="E526" i="3"/>
  <c r="G118" i="43"/>
  <c r="H118" i="43" s="1"/>
  <c r="I118" i="43"/>
  <c r="J118" i="43" s="1"/>
  <c r="K118" i="43" s="1"/>
  <c r="L118" i="43" s="1"/>
  <c r="M118" i="43" s="1"/>
  <c r="J105" i="43"/>
  <c r="D116" i="43"/>
  <c r="E116" i="43" s="1"/>
  <c r="F116" i="43" s="1"/>
  <c r="G116" i="43" s="1"/>
  <c r="H116" i="43" s="1"/>
  <c r="B118" i="43"/>
  <c r="C118" i="43" s="1"/>
  <c r="J103" i="43"/>
  <c r="Q73" i="83"/>
  <c r="Q60" i="83"/>
  <c r="W7" i="36"/>
  <c r="E552" i="3"/>
  <c r="E230" i="3"/>
  <c r="E424" i="3"/>
  <c r="AZ5" i="3"/>
  <c r="AY6" i="3" s="1"/>
  <c r="E48" i="3"/>
  <c r="E582" i="3"/>
  <c r="E43" i="3"/>
  <c r="E62" i="3"/>
  <c r="E65" i="3"/>
  <c r="E226" i="3"/>
  <c r="E450" i="3"/>
  <c r="E493" i="3"/>
  <c r="E231" i="3"/>
  <c r="E365" i="3"/>
  <c r="E75" i="3"/>
  <c r="E187" i="3"/>
  <c r="AH6" i="3"/>
  <c r="E519" i="3"/>
  <c r="V6" i="3"/>
  <c r="E112" i="3"/>
  <c r="E110" i="3"/>
  <c r="E178" i="3"/>
  <c r="E562" i="3"/>
  <c r="E312" i="3"/>
  <c r="E320" i="3"/>
  <c r="E340" i="3"/>
  <c r="E521" i="3"/>
  <c r="E202" i="3"/>
  <c r="E571" i="3"/>
  <c r="E542" i="3"/>
  <c r="E518" i="3"/>
  <c r="E524" i="3"/>
  <c r="E19" i="3"/>
  <c r="E232" i="3"/>
  <c r="E354" i="3"/>
  <c r="E220" i="3"/>
  <c r="E79" i="3"/>
  <c r="E94" i="3"/>
  <c r="E362" i="3"/>
  <c r="E292" i="3"/>
  <c r="E225" i="3"/>
  <c r="E146" i="3"/>
  <c r="E454" i="3"/>
  <c r="E435" i="3"/>
  <c r="E497" i="3"/>
  <c r="E465" i="3"/>
  <c r="E541" i="3"/>
  <c r="E405" i="3"/>
  <c r="K6" i="3"/>
  <c r="E193" i="3"/>
  <c r="E149" i="3"/>
  <c r="E61" i="3"/>
  <c r="E263" i="3"/>
  <c r="AB6" i="3"/>
  <c r="E358" i="3"/>
  <c r="E567" i="3"/>
  <c r="E101" i="3"/>
  <c r="E154" i="3"/>
  <c r="E251" i="3"/>
  <c r="E52" i="3"/>
  <c r="E266" i="3"/>
  <c r="E129" i="3"/>
  <c r="E473" i="3"/>
  <c r="L6" i="3"/>
  <c r="E357" i="3"/>
  <c r="E297" i="3"/>
  <c r="E119" i="3"/>
  <c r="E54" i="3"/>
  <c r="E436" i="3"/>
  <c r="E419" i="3"/>
  <c r="E376" i="3"/>
  <c r="E438" i="3"/>
  <c r="E464" i="3"/>
  <c r="E532" i="3"/>
  <c r="E133" i="3"/>
  <c r="E77" i="3"/>
  <c r="E99" i="3"/>
  <c r="E294" i="3"/>
  <c r="E586" i="3"/>
  <c r="E143" i="3"/>
  <c r="E388" i="3"/>
  <c r="E82" i="3"/>
  <c r="E113" i="3"/>
  <c r="E289" i="3"/>
  <c r="E66" i="3"/>
  <c r="E234" i="3"/>
  <c r="E98" i="3"/>
  <c r="E488" i="3"/>
  <c r="E580" i="3"/>
  <c r="E363" i="3"/>
  <c r="E281" i="3"/>
  <c r="E203" i="3"/>
  <c r="E37" i="3"/>
  <c r="E496" i="3"/>
  <c r="E517" i="3"/>
  <c r="E556" i="3"/>
  <c r="E430" i="3"/>
  <c r="E456" i="3"/>
  <c r="Q6" i="3"/>
  <c r="E286" i="3"/>
  <c r="E212" i="3"/>
  <c r="E188" i="3"/>
  <c r="E321" i="3"/>
  <c r="E578" i="3"/>
  <c r="E128" i="3"/>
  <c r="E545" i="3"/>
  <c r="E261" i="3"/>
  <c r="E328" i="3"/>
  <c r="E153" i="3"/>
  <c r="E319" i="3"/>
  <c r="E513" i="3"/>
  <c r="E118" i="3"/>
  <c r="E381" i="3"/>
  <c r="E67" i="3"/>
  <c r="E310" i="3"/>
  <c r="E267" i="3"/>
  <c r="E103" i="3"/>
  <c r="E425" i="3"/>
  <c r="E109" i="3"/>
  <c r="E572" i="3"/>
  <c r="E377" i="3"/>
  <c r="E273" i="3"/>
  <c r="E211" i="3"/>
  <c r="E182" i="3"/>
  <c r="E70" i="3"/>
  <c r="E28" i="3"/>
  <c r="E489" i="3"/>
  <c r="E531" i="3"/>
  <c r="E557" i="3"/>
  <c r="E345" i="3"/>
  <c r="E400" i="3"/>
  <c r="E485" i="3"/>
  <c r="AO6" i="3"/>
  <c r="Z6" i="3"/>
  <c r="E327" i="3"/>
  <c r="E197" i="3"/>
  <c r="E140" i="3"/>
  <c r="E148" i="3"/>
  <c r="E196" i="3"/>
  <c r="E368" i="3"/>
  <c r="E549" i="3"/>
  <c r="I6" i="3"/>
  <c r="E397" i="3"/>
  <c r="E247" i="3"/>
  <c r="E579" i="3"/>
  <c r="E535" i="3"/>
  <c r="E172" i="3"/>
  <c r="E278" i="3"/>
  <c r="E523" i="3"/>
  <c r="E390" i="3"/>
  <c r="E246" i="3"/>
  <c r="X6" i="3"/>
  <c r="AJ6" i="3"/>
  <c r="E268" i="3"/>
  <c r="E217" i="3"/>
  <c r="E105" i="43"/>
  <c r="E106" i="43"/>
  <c r="F1" i="83"/>
  <c r="Q52" i="83"/>
  <c r="N63" i="71"/>
  <c r="N62" i="71"/>
  <c r="C33" i="83"/>
  <c r="C32" i="83"/>
  <c r="Q74" i="83"/>
  <c r="Q61" i="83"/>
  <c r="Q66" i="83"/>
  <c r="Q57" i="83"/>
  <c r="E566" i="3"/>
  <c r="E233" i="3"/>
  <c r="E235" i="3"/>
  <c r="E245" i="3"/>
  <c r="E250" i="3"/>
  <c r="E428" i="3"/>
  <c r="E150" i="3"/>
  <c r="E490" i="3"/>
  <c r="E164" i="3"/>
  <c r="E402" i="3"/>
  <c r="E206" i="3"/>
  <c r="E504" i="3"/>
  <c r="E25" i="3"/>
  <c r="E457" i="3"/>
  <c r="E177" i="3"/>
  <c r="E359" i="3"/>
  <c r="E386" i="3"/>
  <c r="E372" i="3"/>
  <c r="E72" i="3"/>
  <c r="E416" i="3"/>
  <c r="E253" i="3"/>
  <c r="AI6" i="3"/>
  <c r="E24" i="3"/>
  <c r="E60" i="3"/>
  <c r="E111" i="3"/>
  <c r="E374" i="3"/>
  <c r="E252" i="3"/>
  <c r="E97" i="3"/>
  <c r="E323" i="3"/>
  <c r="E102" i="3"/>
  <c r="E123" i="3"/>
  <c r="E383" i="3"/>
  <c r="E137" i="3"/>
  <c r="E446" i="3"/>
  <c r="E74" i="3"/>
  <c r="E349" i="3"/>
  <c r="E243" i="3"/>
  <c r="E171" i="3"/>
  <c r="E95" i="3"/>
  <c r="E417" i="3"/>
  <c r="E494" i="3"/>
  <c r="E587" i="3"/>
  <c r="E449" i="3"/>
  <c r="E469" i="3"/>
  <c r="E560" i="3"/>
  <c r="E575" i="3"/>
  <c r="E167" i="3"/>
  <c r="E117" i="3"/>
  <c r="E191" i="3"/>
  <c r="E335" i="3"/>
  <c r="E506" i="3"/>
  <c r="E165" i="3"/>
  <c r="E539" i="3"/>
  <c r="E373" i="3"/>
  <c r="E80" i="3"/>
  <c r="E147" i="3"/>
  <c r="E584" i="3"/>
  <c r="E275" i="3"/>
  <c r="E38" i="3"/>
  <c r="E540" i="3"/>
  <c r="E14" i="3"/>
  <c r="E348" i="3"/>
  <c r="E242" i="3"/>
  <c r="E168" i="3"/>
  <c r="E90" i="3"/>
  <c r="E401" i="3"/>
  <c r="E537" i="3"/>
  <c r="E288" i="3"/>
  <c r="E398" i="3"/>
  <c r="E427" i="3"/>
  <c r="AD6" i="3"/>
  <c r="E199" i="3"/>
  <c r="E157" i="3"/>
  <c r="E130" i="3"/>
  <c r="E380" i="3"/>
  <c r="AN6" i="3"/>
  <c r="E337" i="3"/>
  <c r="E302" i="3"/>
  <c r="E326" i="3"/>
  <c r="E20" i="3"/>
  <c r="E127" i="3"/>
  <c r="E522" i="3"/>
  <c r="E163" i="3"/>
  <c r="E18" i="3"/>
  <c r="E32" i="3"/>
  <c r="E389" i="3"/>
  <c r="E332" i="3"/>
  <c r="E256" i="3"/>
  <c r="E152" i="3"/>
  <c r="E104" i="3"/>
  <c r="E491" i="3"/>
  <c r="E13" i="3"/>
  <c r="E344" i="3"/>
  <c r="E512" i="3"/>
  <c r="E437" i="3"/>
  <c r="E499" i="3"/>
  <c r="E141" i="3"/>
  <c r="E207" i="3"/>
  <c r="E134" i="3"/>
  <c r="E382" i="3"/>
  <c r="M6" i="3"/>
  <c r="E205" i="3"/>
  <c r="E329" i="3"/>
  <c r="E17" i="3"/>
  <c r="E508" i="3"/>
  <c r="E343" i="3"/>
  <c r="E175" i="3"/>
  <c r="E309" i="3"/>
  <c r="E81" i="3"/>
  <c r="E355" i="3"/>
  <c r="E84" i="3"/>
  <c r="E371" i="3"/>
  <c r="E200" i="3"/>
  <c r="E46" i="3"/>
  <c r="E484" i="3"/>
  <c r="E44" i="3"/>
  <c r="E384" i="3"/>
  <c r="E331" i="3"/>
  <c r="E210" i="3"/>
  <c r="E186" i="3"/>
  <c r="E162" i="3"/>
  <c r="E27" i="3"/>
  <c r="E447" i="3"/>
  <c r="E476" i="3"/>
  <c r="AS6" i="3"/>
  <c r="E505" i="3"/>
  <c r="E477" i="3"/>
  <c r="E414" i="3"/>
  <c r="E478" i="3"/>
  <c r="E515" i="3"/>
  <c r="E585" i="3"/>
  <c r="E105" i="3"/>
  <c r="E238" i="3"/>
  <c r="E89" i="3"/>
  <c r="E236" i="3"/>
  <c r="E262" i="3"/>
  <c r="E306" i="3"/>
  <c r="AK6" i="3"/>
  <c r="E511" i="3"/>
  <c r="E151" i="3"/>
  <c r="E396" i="3"/>
  <c r="E516" i="3"/>
  <c r="E550" i="3"/>
  <c r="E395" i="3"/>
  <c r="E114" i="3"/>
  <c r="AR6" i="3"/>
  <c r="E270" i="3"/>
  <c r="E280" i="3"/>
  <c r="AA6" i="3"/>
  <c r="N6" i="3"/>
  <c r="E553" i="3"/>
  <c r="E102" i="43"/>
  <c r="E109" i="43"/>
  <c r="J106" i="43"/>
  <c r="D115" i="43"/>
  <c r="E115" i="43" s="1"/>
  <c r="F115" i="43" s="1"/>
  <c r="G115" i="43" s="1"/>
  <c r="H115" i="43" s="1"/>
  <c r="B117" i="43"/>
  <c r="C117" i="43" s="1"/>
  <c r="I115" i="43"/>
  <c r="J115" i="43" s="1"/>
  <c r="K115" i="43" s="1"/>
  <c r="L115" i="43" s="1"/>
  <c r="M115" i="43" s="1"/>
  <c r="H10" i="39"/>
  <c r="U10" i="39" s="1"/>
  <c r="C24" i="83"/>
  <c r="C53" i="83"/>
  <c r="C10" i="83"/>
  <c r="C5" i="83" s="1"/>
  <c r="O6" i="1"/>
  <c r="C36" i="68"/>
  <c r="W10" i="40"/>
  <c r="AB10" i="40"/>
  <c r="S10" i="40"/>
  <c r="U7" i="37"/>
  <c r="E27" i="6"/>
  <c r="K21" i="6" s="1"/>
  <c r="M21" i="6" s="1"/>
  <c r="I21" i="6" s="1"/>
  <c r="S21" i="6" s="1"/>
  <c r="E16" i="6"/>
  <c r="F31" i="6"/>
  <c r="C47" i="69"/>
  <c r="D45" i="69" s="1"/>
  <c r="C29" i="69"/>
  <c r="D27" i="69" s="1"/>
  <c r="F45" i="69"/>
  <c r="C29" i="68"/>
  <c r="D27" i="68" s="1"/>
  <c r="F45" i="68"/>
  <c r="C47" i="68"/>
  <c r="D45" i="68" s="1"/>
  <c r="C47" i="11"/>
  <c r="D45" i="11" s="1"/>
  <c r="C29" i="11"/>
  <c r="D27" i="11" s="1"/>
  <c r="E3" i="6"/>
  <c r="S7" i="36"/>
  <c r="T49" i="71"/>
  <c r="D49" i="71"/>
  <c r="Q63" i="71"/>
  <c r="Q62" i="71"/>
  <c r="E58" i="40"/>
  <c r="E62" i="39"/>
  <c r="E60" i="39"/>
  <c r="E56" i="40"/>
  <c r="E12" i="71"/>
  <c r="E11" i="71" s="1"/>
  <c r="E10" i="71" s="1"/>
  <c r="E9" i="71" s="1"/>
  <c r="V13" i="71"/>
  <c r="E30" i="6"/>
  <c r="K14" i="1"/>
  <c r="D24" i="71"/>
  <c r="C23" i="71"/>
  <c r="D23" i="71" s="1"/>
  <c r="AC10" i="39"/>
  <c r="B8" i="71"/>
  <c r="B7" i="71" s="1"/>
  <c r="B6" i="71" s="1"/>
  <c r="B5" i="71" s="1"/>
  <c r="S9" i="71"/>
  <c r="E57" i="40"/>
  <c r="E61" i="39"/>
  <c r="E60" i="40"/>
  <c r="E64" i="39"/>
  <c r="C29" i="71"/>
  <c r="D28" i="71"/>
  <c r="C37" i="71"/>
  <c r="D36" i="71"/>
  <c r="E63" i="39"/>
  <c r="E59" i="40"/>
  <c r="D19" i="71"/>
  <c r="C18"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AE7" i="1"/>
  <c r="AC6" i="3" l="1"/>
  <c r="H6" i="3"/>
  <c r="AB10" i="39"/>
  <c r="J24" i="83"/>
  <c r="J26" i="15"/>
  <c r="J29" i="15" s="1"/>
  <c r="C48" i="83"/>
  <c r="C60" i="83" s="1"/>
  <c r="D113" i="43"/>
  <c r="K19" i="6"/>
  <c r="S6" i="1" s="1"/>
  <c r="AQ6" i="1" s="1"/>
  <c r="C38" i="83"/>
  <c r="K20" i="6"/>
  <c r="M20" i="6" s="1"/>
  <c r="I20" i="6" s="1"/>
  <c r="K22" i="6"/>
  <c r="M22" i="6" s="1"/>
  <c r="I22" i="6" s="1"/>
  <c r="S22" i="6" s="1"/>
  <c r="K23" i="6"/>
  <c r="M23" i="6" s="1"/>
  <c r="I23" i="6" s="1"/>
  <c r="S23" i="6" s="1"/>
  <c r="K24" i="6"/>
  <c r="M24" i="6" s="1"/>
  <c r="I24" i="6" s="1"/>
  <c r="S24" i="6" s="1"/>
  <c r="E31" i="6"/>
  <c r="K26" i="6"/>
  <c r="M26" i="6" s="1"/>
  <c r="I26" i="6" s="1"/>
  <c r="S26" i="6" s="1"/>
  <c r="K25" i="6"/>
  <c r="M25" i="6" s="1"/>
  <c r="I25" i="6" s="1"/>
  <c r="S25" i="6" s="1"/>
  <c r="F69" i="15"/>
  <c r="AR6" i="1"/>
  <c r="E65" i="39"/>
  <c r="C17" i="71"/>
  <c r="D18" i="71"/>
  <c r="T37" i="71"/>
  <c r="D37" i="71"/>
  <c r="T29" i="71"/>
  <c r="D29" i="71"/>
  <c r="D3" i="33"/>
  <c r="C17" i="4"/>
  <c r="B4" i="52" s="1"/>
  <c r="B43" i="72" s="1"/>
  <c r="D19" i="11"/>
  <c r="C19" i="11" s="1"/>
  <c r="C24" i="11" s="1"/>
  <c r="D37" i="11"/>
  <c r="C37" i="11" s="1"/>
  <c r="D3" i="34"/>
  <c r="D14" i="12"/>
  <c r="D3" i="21"/>
  <c r="D3" i="37"/>
  <c r="M18" i="9"/>
  <c r="B118" i="9" s="1"/>
  <c r="B14" i="74" s="1"/>
  <c r="B1" i="74" s="1"/>
  <c r="E6" i="6"/>
  <c r="M14" i="1"/>
  <c r="K16" i="1"/>
  <c r="C34" i="69"/>
  <c r="E8" i="71"/>
  <c r="E7" i="71" s="1"/>
  <c r="E6" i="71" s="1"/>
  <c r="E5" i="71" s="1"/>
  <c r="V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87" i="3"/>
  <c r="AY82" i="3"/>
  <c r="AY23" i="3"/>
  <c r="AY144" i="3"/>
  <c r="AY132" i="3"/>
  <c r="AY98" i="3"/>
  <c r="AY66" i="3"/>
  <c r="AY207" i="3"/>
  <c r="AY171" i="3"/>
  <c r="AY115" i="3"/>
  <c r="AY42" i="3"/>
  <c r="AY163" i="3"/>
  <c r="AY276" i="3"/>
  <c r="AY168" i="3"/>
  <c r="AY237" i="3"/>
  <c r="AY225" i="3"/>
  <c r="AY366" i="3"/>
  <c r="AY334" i="3"/>
  <c r="AY470" i="3"/>
  <c r="AY441" i="3"/>
  <c r="AY526" i="3"/>
  <c r="AY180" i="3"/>
  <c r="AY260" i="3"/>
  <c r="AY390"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34" i="3"/>
  <c r="AY191" i="3"/>
  <c r="AY155" i="3"/>
  <c r="AY95" i="3"/>
  <c r="AY31" i="3"/>
  <c r="AY131" i="3"/>
  <c r="AY111" i="3"/>
  <c r="AY147" i="3"/>
  <c r="AY268" i="3"/>
  <c r="AY382" i="3"/>
  <c r="AY350" i="3"/>
  <c r="AY318" i="3"/>
  <c r="AY460" i="3"/>
  <c r="AY425" i="3"/>
  <c r="AY106" i="3"/>
  <c r="AY300" i="3"/>
  <c r="AY244" i="3"/>
  <c r="AY395"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176" i="3"/>
  <c r="AY188" i="3"/>
  <c r="AY75" i="3"/>
  <c r="AY236" i="3"/>
  <c r="AY335" i="3"/>
  <c r="AY444" i="3"/>
  <c r="AY26" i="3"/>
  <c r="AY228" i="3"/>
  <c r="AY327" i="3"/>
  <c r="AY463" i="3"/>
  <c r="AY401" i="3"/>
  <c r="AY544" i="3"/>
  <c r="BE6" i="3"/>
  <c r="AY92" i="3"/>
  <c r="AY76" i="3"/>
  <c r="AY33" i="3"/>
  <c r="AY185" i="3"/>
  <c r="AY165" i="3"/>
  <c r="AY125" i="3"/>
  <c r="AY278" i="3"/>
  <c r="AY262" i="3"/>
  <c r="AY219" i="3"/>
  <c r="AY374" i="3"/>
  <c r="BH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24" i="3"/>
  <c r="AY152" i="3"/>
  <c r="AY58" i="3"/>
  <c r="AY220" i="3"/>
  <c r="AY303" i="3"/>
  <c r="AY428" i="3"/>
  <c r="AY199" i="3"/>
  <c r="AY217" i="3"/>
  <c r="AY311" i="3"/>
  <c r="AY447" i="3"/>
  <c r="AY535" i="3"/>
  <c r="AY574" i="3"/>
  <c r="AY555" i="3"/>
  <c r="AY85" i="3"/>
  <c r="AY68" i="3"/>
  <c r="AY25" i="3"/>
  <c r="AY178" i="3"/>
  <c r="AY157" i="3"/>
  <c r="AY117" i="3"/>
  <c r="AY271" i="3"/>
  <c r="AY254" i="3"/>
  <c r="AY211" i="3"/>
  <c r="AY365" i="3"/>
  <c r="BI6"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51" i="3"/>
  <c r="AY90" i="3"/>
  <c r="AY281" i="3"/>
  <c r="AY297" i="3"/>
  <c r="AY387" i="3"/>
  <c r="AY473" i="3"/>
  <c r="AY409" i="3"/>
  <c r="AY269" i="3"/>
  <c r="AY372" i="3"/>
  <c r="AY310" i="3"/>
  <c r="AY420" i="3"/>
  <c r="AY549" i="3"/>
  <c r="AY533" i="3"/>
  <c r="AY97" i="3"/>
  <c r="AY61" i="3"/>
  <c r="AY44" i="3"/>
  <c r="AY190" i="3"/>
  <c r="AY154" i="3"/>
  <c r="AY133" i="3"/>
  <c r="AY283" i="3"/>
  <c r="AY247" i="3"/>
  <c r="AY230" i="3"/>
  <c r="AY397" i="3"/>
  <c r="AY360" i="3"/>
  <c r="AY109"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18" i="3"/>
  <c r="AY59" i="3"/>
  <c r="AY292" i="3"/>
  <c r="AY253" i="3"/>
  <c r="AY371" i="3"/>
  <c r="AY486" i="3"/>
  <c r="AY529" i="3"/>
  <c r="AY245" i="3"/>
  <c r="AY355" i="3"/>
  <c r="AY481" i="3"/>
  <c r="AY404" i="3"/>
  <c r="AY562" i="3"/>
  <c r="BO6" i="3"/>
  <c r="AY89" i="3"/>
  <c r="AY53" i="3"/>
  <c r="AY36" i="3"/>
  <c r="AY182" i="3"/>
  <c r="AY146" i="3"/>
  <c r="AY126" i="3"/>
  <c r="AY302" i="3"/>
  <c r="AY239" i="3"/>
  <c r="AY222" i="3"/>
  <c r="AY389" i="3"/>
  <c r="BS6" i="3"/>
  <c r="AY93"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51" i="3"/>
  <c r="AY437" i="3"/>
  <c r="AY13" i="3"/>
  <c r="AY568" i="3"/>
  <c r="AY91" i="3"/>
  <c r="AY39" i="3"/>
  <c r="AY200" i="3"/>
  <c r="AY148" i="3"/>
  <c r="AY136" i="3"/>
  <c r="AY257" i="3"/>
  <c r="AY224" i="3"/>
  <c r="AY375" i="3"/>
  <c r="AY307" i="3"/>
  <c r="AY490" i="3"/>
  <c r="AY432" i="3"/>
  <c r="AY521"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F41" i="83"/>
  <c r="E6" i="76"/>
  <c r="C17" i="15"/>
  <c r="B6" i="76"/>
  <c r="E6" i="3" l="1"/>
  <c r="M19" i="6"/>
  <c r="I19" i="6" s="1"/>
  <c r="S7" i="1"/>
  <c r="E7" i="70" s="1"/>
  <c r="E2" i="70" s="1"/>
  <c r="T6" i="1"/>
  <c r="E6" i="70"/>
  <c r="F69" i="83"/>
  <c r="J29" i="83"/>
  <c r="C66" i="83"/>
  <c r="S16" i="1"/>
  <c r="S20" i="6"/>
  <c r="L18" i="84"/>
  <c r="K27" i="6"/>
  <c r="T7" i="1"/>
  <c r="C35" i="69"/>
  <c r="C38" i="69"/>
  <c r="D17" i="12"/>
  <c r="C17" i="12" s="1"/>
  <c r="C14" i="12"/>
  <c r="M27" i="6"/>
  <c r="D25" i="6"/>
  <c r="D22" i="6"/>
  <c r="D24" i="6"/>
  <c r="D9" i="6"/>
  <c r="H25" i="6"/>
  <c r="H21" i="6"/>
  <c r="H20" i="6"/>
  <c r="D15" i="6"/>
  <c r="D23" i="6"/>
  <c r="D11" i="6"/>
  <c r="D29" i="6"/>
  <c r="H23" i="6"/>
  <c r="C18" i="4"/>
  <c r="D14" i="6"/>
  <c r="D5" i="6"/>
  <c r="D10" i="6"/>
  <c r="E61" i="40"/>
  <c r="H26" i="6"/>
  <c r="D19" i="6"/>
  <c r="D8" i="6"/>
  <c r="D20" i="6"/>
  <c r="D6" i="6"/>
  <c r="D13" i="6"/>
  <c r="H24" i="6"/>
  <c r="D26" i="6"/>
  <c r="D21" i="6"/>
  <c r="D12" i="6"/>
  <c r="D28" i="6"/>
  <c r="H22" i="6"/>
  <c r="C7" i="74"/>
  <c r="C8" i="74"/>
  <c r="O14" i="1"/>
  <c r="O16" i="1" s="1"/>
  <c r="M16" i="1"/>
  <c r="D20" i="12"/>
  <c r="C20" i="12" s="1"/>
  <c r="C18" i="12" s="1"/>
  <c r="D10" i="68"/>
  <c r="D10" i="11"/>
  <c r="C10" i="11" s="1"/>
  <c r="D10" i="69"/>
  <c r="C20" i="11"/>
  <c r="C25" i="11" s="1"/>
  <c r="C22" i="11" s="1"/>
  <c r="C16" i="71"/>
  <c r="D17" i="71"/>
  <c r="U17" i="71" s="1"/>
  <c r="T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7" i="83"/>
  <c r="C14" i="83"/>
  <c r="C14" i="15"/>
  <c r="AQ7" i="1" l="1"/>
  <c r="AR7" i="1"/>
  <c r="L18" i="9"/>
  <c r="H19" i="6"/>
  <c r="L19" i="9"/>
  <c r="C15" i="15"/>
  <c r="C18" i="15"/>
  <c r="M19" i="9"/>
  <c r="C118" i="9" s="1"/>
  <c r="C14" i="74" s="1"/>
  <c r="C15" i="83"/>
  <c r="C18" i="83"/>
  <c r="T16" i="1"/>
  <c r="R20" i="6"/>
  <c r="R7" i="1" s="1"/>
  <c r="M19" i="84"/>
  <c r="C118" i="84" s="1"/>
  <c r="C15" i="74" s="1"/>
  <c r="L19" i="84"/>
  <c r="C19" i="15"/>
  <c r="C20" i="15" s="1"/>
  <c r="C28" i="11"/>
  <c r="C27" i="11" s="1"/>
  <c r="C31" i="11" s="1"/>
  <c r="H27" i="6"/>
  <c r="R21" i="6"/>
  <c r="D30" i="6"/>
  <c r="D16" i="6"/>
  <c r="R22" i="6"/>
  <c r="R23" i="6"/>
  <c r="C15" i="71"/>
  <c r="D16" i="71"/>
  <c r="L16" i="1"/>
  <c r="N16" i="1"/>
  <c r="C34" i="11"/>
  <c r="C34" i="68"/>
  <c r="C10" i="68"/>
  <c r="D19" i="68"/>
  <c r="P14" i="1"/>
  <c r="P16" i="1" s="1"/>
  <c r="C11" i="12" s="1"/>
  <c r="R26" i="6"/>
  <c r="C4" i="52"/>
  <c r="B45" i="72" s="1"/>
  <c r="A10" i="51"/>
  <c r="B9" i="72" s="1"/>
  <c r="A7" i="51"/>
  <c r="B7" i="72" s="1"/>
  <c r="R25" i="6"/>
  <c r="C10" i="69"/>
  <c r="C8" i="69" s="1"/>
  <c r="C5" i="69" s="1"/>
  <c r="D19" i="69"/>
  <c r="D27" i="6"/>
  <c r="D31" i="6" s="1"/>
  <c r="R19" i="6"/>
  <c r="R24" i="6"/>
  <c r="I27" i="6"/>
  <c r="S19" i="6"/>
  <c r="S27" i="6" s="1"/>
  <c r="I69" i="39"/>
  <c r="J67" i="39"/>
  <c r="B3" i="76"/>
  <c r="I63" i="40"/>
  <c r="H65" i="40"/>
  <c r="I58" i="21"/>
  <c r="J58" i="21" s="1"/>
  <c r="K58" i="21" s="1"/>
  <c r="L58" i="21" s="1"/>
  <c r="M58" i="21" s="1"/>
  <c r="N58" i="21" s="1"/>
  <c r="O58" i="21" s="1"/>
  <c r="H7" i="21" s="1"/>
  <c r="J7" i="21"/>
  <c r="J48" i="35"/>
  <c r="Q48" i="15"/>
  <c r="L46" i="15"/>
  <c r="J13" i="67"/>
  <c r="J23" i="67" s="1"/>
  <c r="J22" i="67"/>
  <c r="C59" i="67"/>
  <c r="C64" i="67"/>
  <c r="Q48" i="67"/>
  <c r="L46" i="67"/>
  <c r="C56" i="67"/>
  <c r="C65" i="67" s="1"/>
  <c r="C75" i="67"/>
  <c r="Q70" i="67"/>
  <c r="C37" i="67"/>
  <c r="C30" i="67" s="1"/>
  <c r="C39" i="67" s="1"/>
  <c r="L51" i="67"/>
  <c r="B2" i="74" l="1"/>
  <c r="D8" i="74" s="1"/>
  <c r="C19" i="83"/>
  <c r="C20" i="83" s="1"/>
  <c r="C23" i="83" s="1"/>
  <c r="C26" i="15"/>
  <c r="C23" i="15"/>
  <c r="F7" i="21"/>
  <c r="S7" i="21" s="1"/>
  <c r="R27" i="6"/>
  <c r="R6" i="1"/>
  <c r="C15" i="12"/>
  <c r="C12" i="12"/>
  <c r="I6" i="6"/>
  <c r="I5" i="6"/>
  <c r="C19" i="68"/>
  <c r="D37" i="68"/>
  <c r="C37" i="68" s="1"/>
  <c r="C35" i="68"/>
  <c r="C38" i="68"/>
  <c r="C23" i="69"/>
  <c r="F50" i="69"/>
  <c r="F50" i="68"/>
  <c r="F50" i="11"/>
  <c r="C19" i="69"/>
  <c r="C24" i="69" s="1"/>
  <c r="D37" i="69"/>
  <c r="C37" i="69" s="1"/>
  <c r="C33" i="69" s="1"/>
  <c r="C38" i="11"/>
  <c r="C35" i="11"/>
  <c r="C14" i="71"/>
  <c r="D15" i="71"/>
  <c r="J69" i="39"/>
  <c r="K67" i="39"/>
  <c r="U7" i="21"/>
  <c r="AB7" i="21"/>
  <c r="T48" i="21" s="1"/>
  <c r="G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83"/>
  <c r="M21" i="15"/>
  <c r="F35" i="83"/>
  <c r="F35" i="15"/>
  <c r="D7" i="74" l="1"/>
  <c r="C26" i="83"/>
  <c r="C29" i="83" s="1"/>
  <c r="C34" i="83"/>
  <c r="C31" i="83" s="1"/>
  <c r="F63" i="83"/>
  <c r="C62" i="83" s="1"/>
  <c r="J20" i="83"/>
  <c r="C29" i="15"/>
  <c r="J14" i="15" s="1"/>
  <c r="J13" i="15" s="1"/>
  <c r="J23" i="15" s="1"/>
  <c r="AA7" i="21"/>
  <c r="R48" i="21" s="1"/>
  <c r="R49" i="21" s="1"/>
  <c r="J20" i="15"/>
  <c r="C34" i="15"/>
  <c r="C31" i="15" s="1"/>
  <c r="F63" i="15"/>
  <c r="C62" i="15" s="1"/>
  <c r="R16" i="1"/>
  <c r="C33" i="11"/>
  <c r="C42" i="11" s="1"/>
  <c r="C16" i="12"/>
  <c r="C21" i="12" s="1"/>
  <c r="C22" i="12" s="1"/>
  <c r="C30" i="12" s="1"/>
  <c r="C28" i="12" s="1"/>
  <c r="C20" i="69"/>
  <c r="C25" i="69" s="1"/>
  <c r="C22" i="69" s="1"/>
  <c r="C39" i="69"/>
  <c r="C43" i="69" s="1"/>
  <c r="C42" i="69"/>
  <c r="C13" i="71"/>
  <c r="D14" i="71"/>
  <c r="C33" i="68"/>
  <c r="C39" i="11"/>
  <c r="C20" i="68"/>
  <c r="C25" i="68" s="1"/>
  <c r="C24" i="68"/>
  <c r="L67" i="39"/>
  <c r="K69" i="39"/>
  <c r="W7" i="35"/>
  <c r="AC7" i="35"/>
  <c r="V38" i="35" s="1"/>
  <c r="I38" i="35" s="1"/>
  <c r="J65" i="40"/>
  <c r="K63" i="40"/>
  <c r="I52" i="21"/>
  <c r="J52" i="21" s="1"/>
  <c r="U7" i="35"/>
  <c r="AB7" i="35"/>
  <c r="T38" i="35" s="1"/>
  <c r="G38" i="35" s="1"/>
  <c r="G52" i="21"/>
  <c r="H52" i="21" s="1"/>
  <c r="G53" i="21"/>
  <c r="H53" i="21" s="1"/>
  <c r="F7" i="35"/>
  <c r="Q67" i="67"/>
  <c r="L57" i="67"/>
  <c r="L60" i="67" s="1"/>
  <c r="C45" i="67"/>
  <c r="C46" i="67" s="1"/>
  <c r="C71" i="67"/>
  <c r="C43" i="67"/>
  <c r="D2" i="67"/>
  <c r="Q47" i="67"/>
  <c r="Q53" i="67" s="1"/>
  <c r="Q56" i="67"/>
  <c r="Q65" i="67"/>
  <c r="C83" i="67"/>
  <c r="C82" i="67" s="1"/>
  <c r="J59" i="83" l="1"/>
  <c r="J60" i="83" s="1"/>
  <c r="J19" i="83"/>
  <c r="J17" i="83" s="1"/>
  <c r="C57" i="83"/>
  <c r="Q49" i="83"/>
  <c r="C13" i="83"/>
  <c r="C36" i="83"/>
  <c r="J14" i="83"/>
  <c r="J19" i="15"/>
  <c r="J17" i="15" s="1"/>
  <c r="Q49" i="15"/>
  <c r="C13" i="15"/>
  <c r="Q70" i="15" s="1"/>
  <c r="C36" i="15"/>
  <c r="C57" i="15"/>
  <c r="J22" i="15"/>
  <c r="E48" i="21"/>
  <c r="E52" i="21" s="1"/>
  <c r="F52" i="21" s="1"/>
  <c r="C28" i="69"/>
  <c r="C27" i="69" s="1"/>
  <c r="C31" i="69" s="1"/>
  <c r="C41" i="69"/>
  <c r="C46" i="69"/>
  <c r="C45" i="69" s="1"/>
  <c r="C27" i="12"/>
  <c r="C25" i="12" s="1"/>
  <c r="C32" i="12" s="1"/>
  <c r="B2" i="12" s="1"/>
  <c r="B3" i="12" s="1"/>
  <c r="C22" i="68"/>
  <c r="C46" i="11"/>
  <c r="C45" i="11" s="1"/>
  <c r="C43" i="11"/>
  <c r="C41" i="11" s="1"/>
  <c r="C12" i="71"/>
  <c r="T13" i="71"/>
  <c r="D13" i="71"/>
  <c r="U13" i="71" s="1"/>
  <c r="C39" i="68"/>
  <c r="C42" i="68"/>
  <c r="C28" i="68"/>
  <c r="C27" i="68" s="1"/>
  <c r="L69" i="39"/>
  <c r="M67" i="39"/>
  <c r="S7" i="35"/>
  <c r="AA7" i="35"/>
  <c r="R38" i="35" s="1"/>
  <c r="C49" i="21"/>
  <c r="C48" i="21"/>
  <c r="G42" i="35"/>
  <c r="H42" i="35" s="1"/>
  <c r="G43" i="35"/>
  <c r="H43" i="35" s="1"/>
  <c r="K65" i="40"/>
  <c r="L63" i="40"/>
  <c r="I42" i="35"/>
  <c r="J42" i="35" s="1"/>
  <c r="Q66" i="67"/>
  <c r="Q75" i="67" s="1"/>
  <c r="Q57" i="67"/>
  <c r="Q62" i="67" s="1"/>
  <c r="B2" i="67"/>
  <c r="B3" i="67"/>
  <c r="Q70" i="83" l="1"/>
  <c r="C37" i="83"/>
  <c r="I35" i="83" s="1"/>
  <c r="I36" i="83" s="1"/>
  <c r="C75" i="83"/>
  <c r="C56" i="83"/>
  <c r="C65" i="83" s="1"/>
  <c r="Q48" i="83"/>
  <c r="L46" i="83"/>
  <c r="J13" i="83"/>
  <c r="J23" i="83" s="1"/>
  <c r="J22" i="83"/>
  <c r="C64" i="83"/>
  <c r="C61" i="83"/>
  <c r="C59" i="83" s="1"/>
  <c r="C75" i="15"/>
  <c r="C56" i="15"/>
  <c r="C65" i="15" s="1"/>
  <c r="C37" i="15"/>
  <c r="C30" i="15" s="1"/>
  <c r="C39" i="15" s="1"/>
  <c r="I39" i="15" s="1"/>
  <c r="L57" i="83"/>
  <c r="J16" i="15"/>
  <c r="J25" i="15" s="1"/>
  <c r="C61" i="15"/>
  <c r="C59" i="15" s="1"/>
  <c r="C64" i="15"/>
  <c r="B2" i="21"/>
  <c r="B3" i="21" s="1"/>
  <c r="R24" i="31"/>
  <c r="E53" i="21"/>
  <c r="F53" i="21" s="1"/>
  <c r="I53" i="21"/>
  <c r="J53" i="21" s="1"/>
  <c r="C49" i="11"/>
  <c r="C51" i="11" s="1"/>
  <c r="C52" i="11" s="1"/>
  <c r="B2" i="11" s="1"/>
  <c r="B3" i="11" s="1"/>
  <c r="C49" i="69"/>
  <c r="C51" i="69" s="1"/>
  <c r="C52" i="69" s="1"/>
  <c r="B2" i="69" s="1"/>
  <c r="B3" i="69" s="1"/>
  <c r="C31" i="68"/>
  <c r="C11" i="71"/>
  <c r="D12" i="71"/>
  <c r="C46" i="68"/>
  <c r="C45" i="68" s="1"/>
  <c r="C43" i="68"/>
  <c r="C41" i="68" s="1"/>
  <c r="M69" i="39"/>
  <c r="N67" i="39"/>
  <c r="R39" i="35"/>
  <c r="E38" i="35"/>
  <c r="M63" i="40"/>
  <c r="L65" i="40"/>
  <c r="J16" i="83" l="1"/>
  <c r="J25" i="83" s="1"/>
  <c r="C58" i="83"/>
  <c r="C67" i="83" s="1"/>
  <c r="C68" i="83" s="1"/>
  <c r="C71" i="83" s="1"/>
  <c r="C30" i="83"/>
  <c r="C39" i="83" s="1"/>
  <c r="C80" i="83" s="1"/>
  <c r="C79" i="83" s="1"/>
  <c r="I36" i="15"/>
  <c r="I37" i="15" s="1"/>
  <c r="C80" i="15"/>
  <c r="C79" i="15" s="1"/>
  <c r="Q69" i="15"/>
  <c r="Q68" i="15" s="1"/>
  <c r="C40" i="15"/>
  <c r="Q47" i="15" s="1"/>
  <c r="Q53" i="15" s="1"/>
  <c r="C58" i="15"/>
  <c r="C67" i="15" s="1"/>
  <c r="C68" i="15" s="1"/>
  <c r="R35" i="31"/>
  <c r="S35" i="31" s="1"/>
  <c r="R51" i="31"/>
  <c r="S51" i="31" s="1"/>
  <c r="R67" i="31"/>
  <c r="S67" i="31" s="1"/>
  <c r="R83" i="31"/>
  <c r="S83" i="31" s="1"/>
  <c r="R99" i="31"/>
  <c r="S99" i="31" s="1"/>
  <c r="R111" i="31"/>
  <c r="S111" i="31" s="1"/>
  <c r="R122" i="31"/>
  <c r="S122" i="31" s="1"/>
  <c r="R131" i="31"/>
  <c r="S131" i="31" s="1"/>
  <c r="R143" i="31"/>
  <c r="S143" i="31" s="1"/>
  <c r="R154" i="31"/>
  <c r="S154" i="31" s="1"/>
  <c r="R163" i="31"/>
  <c r="S163" i="31" s="1"/>
  <c r="R175" i="31"/>
  <c r="S175" i="31" s="1"/>
  <c r="R186" i="31"/>
  <c r="S186" i="31" s="1"/>
  <c r="R195" i="31"/>
  <c r="S195" i="31" s="1"/>
  <c r="R207" i="31"/>
  <c r="S207" i="31" s="1"/>
  <c r="R218" i="31"/>
  <c r="S218" i="31" s="1"/>
  <c r="R39" i="31"/>
  <c r="S39" i="31" s="1"/>
  <c r="R55" i="31"/>
  <c r="S55" i="31" s="1"/>
  <c r="R71" i="31"/>
  <c r="S71" i="31" s="1"/>
  <c r="R87" i="31"/>
  <c r="S87" i="31" s="1"/>
  <c r="R103" i="31"/>
  <c r="S103" i="31" s="1"/>
  <c r="R114" i="31"/>
  <c r="S114" i="31" s="1"/>
  <c r="R123" i="31"/>
  <c r="S123" i="31" s="1"/>
  <c r="R135" i="31"/>
  <c r="S135" i="31" s="1"/>
  <c r="R31" i="31"/>
  <c r="S31" i="31" s="1"/>
  <c r="R47" i="31"/>
  <c r="S47" i="31" s="1"/>
  <c r="R63" i="31"/>
  <c r="S63" i="31" s="1"/>
  <c r="R79" i="31"/>
  <c r="S79" i="31" s="1"/>
  <c r="R95" i="31"/>
  <c r="S95" i="31" s="1"/>
  <c r="R107" i="31"/>
  <c r="S107" i="31" s="1"/>
  <c r="R119" i="31"/>
  <c r="S119" i="31" s="1"/>
  <c r="R139" i="31"/>
  <c r="S139" i="31" s="1"/>
  <c r="R151" i="31"/>
  <c r="S151" i="31" s="1"/>
  <c r="R162" i="31"/>
  <c r="S162" i="31" s="1"/>
  <c r="R171" i="31"/>
  <c r="S171" i="31" s="1"/>
  <c r="R183" i="31"/>
  <c r="S183" i="31" s="1"/>
  <c r="R194" i="31"/>
  <c r="S194" i="31" s="1"/>
  <c r="R203" i="31"/>
  <c r="S203" i="31" s="1"/>
  <c r="R215" i="31"/>
  <c r="S215" i="31" s="1"/>
  <c r="R59" i="31"/>
  <c r="S59" i="31" s="1"/>
  <c r="R115" i="31"/>
  <c r="S115" i="31" s="1"/>
  <c r="R146" i="31"/>
  <c r="S146" i="31" s="1"/>
  <c r="R167" i="31"/>
  <c r="S167" i="31" s="1"/>
  <c r="R187" i="31"/>
  <c r="S187" i="31" s="1"/>
  <c r="R210" i="31"/>
  <c r="S210" i="31" s="1"/>
  <c r="R75" i="31"/>
  <c r="S75" i="31" s="1"/>
  <c r="R127" i="31"/>
  <c r="S127" i="31" s="1"/>
  <c r="R147" i="31"/>
  <c r="S147" i="31" s="1"/>
  <c r="R170" i="31"/>
  <c r="S170" i="31" s="1"/>
  <c r="R191" i="31"/>
  <c r="S191" i="31" s="1"/>
  <c r="R211" i="31"/>
  <c r="S211" i="31" s="1"/>
  <c r="S24" i="31"/>
  <c r="R91" i="31"/>
  <c r="S91" i="31" s="1"/>
  <c r="R178" i="31"/>
  <c r="S178" i="31" s="1"/>
  <c r="R43" i="31"/>
  <c r="S43" i="31" s="1"/>
  <c r="R106" i="31"/>
  <c r="S106" i="31" s="1"/>
  <c r="R138" i="31"/>
  <c r="S138" i="31" s="1"/>
  <c r="R159" i="31"/>
  <c r="S159" i="31" s="1"/>
  <c r="R179" i="31"/>
  <c r="S179" i="31" s="1"/>
  <c r="R202" i="31"/>
  <c r="S202" i="31" s="1"/>
  <c r="R27" i="31"/>
  <c r="S27" i="31" s="1"/>
  <c r="R155" i="31"/>
  <c r="S155" i="31" s="1"/>
  <c r="R199" i="31"/>
  <c r="S199" i="31" s="1"/>
  <c r="R206" i="31"/>
  <c r="S206" i="31" s="1"/>
  <c r="R134" i="31"/>
  <c r="S134" i="31" s="1"/>
  <c r="R78" i="31"/>
  <c r="S78" i="31" s="1"/>
  <c r="R50" i="31"/>
  <c r="S50" i="31" s="1"/>
  <c r="R198" i="31"/>
  <c r="S198" i="31" s="1"/>
  <c r="R142" i="31"/>
  <c r="S142" i="31" s="1"/>
  <c r="R94" i="31"/>
  <c r="S94" i="31" s="1"/>
  <c r="R66" i="31"/>
  <c r="S66" i="31" s="1"/>
  <c r="R30" i="31"/>
  <c r="S3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05" i="31"/>
  <c r="S205" i="31" s="1"/>
  <c r="R189" i="31"/>
  <c r="S189" i="31" s="1"/>
  <c r="R173" i="31"/>
  <c r="S173" i="31" s="1"/>
  <c r="R157" i="31"/>
  <c r="S157" i="31" s="1"/>
  <c r="R141" i="31"/>
  <c r="S141" i="31" s="1"/>
  <c r="R125" i="31"/>
  <c r="S125" i="31" s="1"/>
  <c r="R109" i="31"/>
  <c r="S109" i="31" s="1"/>
  <c r="R93" i="31"/>
  <c r="S93" i="31" s="1"/>
  <c r="R77" i="31"/>
  <c r="S77" i="31" s="1"/>
  <c r="R57" i="31"/>
  <c r="S57" i="31" s="1"/>
  <c r="R41" i="31"/>
  <c r="S41" i="31" s="1"/>
  <c r="R25" i="31"/>
  <c r="S25" i="31" s="1"/>
  <c r="R150" i="31"/>
  <c r="S150" i="31" s="1"/>
  <c r="R192" i="31"/>
  <c r="S192" i="31" s="1"/>
  <c r="R160" i="31"/>
  <c r="S160" i="31" s="1"/>
  <c r="R128" i="31"/>
  <c r="S128" i="31" s="1"/>
  <c r="R96" i="31"/>
  <c r="S96" i="31" s="1"/>
  <c r="R64" i="31"/>
  <c r="S64" i="31" s="1"/>
  <c r="R48" i="31"/>
  <c r="S48" i="31" s="1"/>
  <c r="R193" i="31"/>
  <c r="S193" i="31" s="1"/>
  <c r="R145" i="31"/>
  <c r="S145" i="31" s="1"/>
  <c r="R113" i="31"/>
  <c r="S113" i="31" s="1"/>
  <c r="R61" i="31"/>
  <c r="S61" i="31" s="1"/>
  <c r="R182" i="31"/>
  <c r="S182" i="31" s="1"/>
  <c r="R110" i="31"/>
  <c r="S110" i="31" s="1"/>
  <c r="R70" i="31"/>
  <c r="S70" i="31" s="1"/>
  <c r="R42" i="31"/>
  <c r="S42" i="31" s="1"/>
  <c r="R190" i="31"/>
  <c r="S190" i="31" s="1"/>
  <c r="R126" i="31"/>
  <c r="S126" i="31" s="1"/>
  <c r="R90" i="31"/>
  <c r="S90" i="31" s="1"/>
  <c r="R58" i="31"/>
  <c r="S58"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7" i="31"/>
  <c r="S217" i="31" s="1"/>
  <c r="R201" i="31"/>
  <c r="S201" i="31" s="1"/>
  <c r="R185" i="31"/>
  <c r="S185" i="31" s="1"/>
  <c r="R169" i="31"/>
  <c r="S169" i="31" s="1"/>
  <c r="R153" i="31"/>
  <c r="S153" i="31" s="1"/>
  <c r="R137" i="31"/>
  <c r="S137" i="31" s="1"/>
  <c r="R121" i="31"/>
  <c r="S121" i="31" s="1"/>
  <c r="R105" i="31"/>
  <c r="S105" i="31" s="1"/>
  <c r="R89" i="31"/>
  <c r="S89" i="31" s="1"/>
  <c r="R73" i="31"/>
  <c r="S73" i="31" s="1"/>
  <c r="R53" i="31"/>
  <c r="S53" i="31" s="1"/>
  <c r="R37" i="31"/>
  <c r="S37" i="31" s="1"/>
  <c r="R166" i="31"/>
  <c r="S166" i="31" s="1"/>
  <c r="R98" i="31"/>
  <c r="S98" i="31" s="1"/>
  <c r="R62" i="31"/>
  <c r="S62" i="31" s="1"/>
  <c r="R34" i="31"/>
  <c r="S34" i="31" s="1"/>
  <c r="R174" i="31"/>
  <c r="S174" i="31" s="1"/>
  <c r="R118" i="31"/>
  <c r="S118" i="31" s="1"/>
  <c r="R82" i="31"/>
  <c r="S82" i="31" s="1"/>
  <c r="R46" i="31"/>
  <c r="S46"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13" i="31"/>
  <c r="S213" i="31" s="1"/>
  <c r="R197" i="31"/>
  <c r="S197" i="31" s="1"/>
  <c r="R181" i="31"/>
  <c r="S181" i="31" s="1"/>
  <c r="R165" i="31"/>
  <c r="S165" i="31" s="1"/>
  <c r="R149" i="31"/>
  <c r="S149" i="31" s="1"/>
  <c r="R133" i="31"/>
  <c r="S133" i="31" s="1"/>
  <c r="R117" i="31"/>
  <c r="S117" i="31" s="1"/>
  <c r="R101" i="31"/>
  <c r="S101" i="31" s="1"/>
  <c r="R85" i="31"/>
  <c r="S85" i="31" s="1"/>
  <c r="R69" i="31"/>
  <c r="S69" i="31" s="1"/>
  <c r="R49" i="31"/>
  <c r="S49" i="31" s="1"/>
  <c r="R33" i="31"/>
  <c r="S33" i="31" s="1"/>
  <c r="R86" i="31"/>
  <c r="S86" i="31" s="1"/>
  <c r="R54" i="31"/>
  <c r="S54" i="31" s="1"/>
  <c r="R26" i="31"/>
  <c r="S26" i="31" s="1"/>
  <c r="R214" i="31"/>
  <c r="S214" i="31" s="1"/>
  <c r="R158" i="31"/>
  <c r="S158" i="31" s="1"/>
  <c r="R102" i="31"/>
  <c r="S102" i="31" s="1"/>
  <c r="R74" i="31"/>
  <c r="S74" i="31" s="1"/>
  <c r="R38" i="31"/>
  <c r="S38" i="31" s="1"/>
  <c r="R208" i="31"/>
  <c r="S208" i="31" s="1"/>
  <c r="R176" i="31"/>
  <c r="S176" i="31" s="1"/>
  <c r="R144" i="31"/>
  <c r="S144" i="31" s="1"/>
  <c r="R112" i="31"/>
  <c r="S112" i="31" s="1"/>
  <c r="R80" i="31"/>
  <c r="S80" i="31" s="1"/>
  <c r="R32" i="31"/>
  <c r="S32" i="31" s="1"/>
  <c r="R209" i="31"/>
  <c r="S209" i="31" s="1"/>
  <c r="R177" i="31"/>
  <c r="S177" i="31" s="1"/>
  <c r="R161" i="31"/>
  <c r="S161" i="31" s="1"/>
  <c r="R129" i="31"/>
  <c r="S129" i="31" s="1"/>
  <c r="R97" i="31"/>
  <c r="S97" i="31" s="1"/>
  <c r="R81" i="31"/>
  <c r="S81" i="31" s="1"/>
  <c r="R29" i="31"/>
  <c r="S29" i="31" s="1"/>
  <c r="R45" i="31"/>
  <c r="S45" i="31" s="1"/>
  <c r="C49" i="68"/>
  <c r="C51" i="68" s="1"/>
  <c r="C52" i="68" s="1"/>
  <c r="B2" i="68" s="1"/>
  <c r="C56" i="11"/>
  <c r="C57" i="11" s="1"/>
  <c r="C10" i="71"/>
  <c r="D11" i="71"/>
  <c r="C57" i="69"/>
  <c r="C56" i="69" s="1"/>
  <c r="O67" i="39"/>
  <c r="O69" i="39" s="1"/>
  <c r="N69" i="39"/>
  <c r="F7" i="39" s="1"/>
  <c r="C39" i="35"/>
  <c r="B2" i="35" s="1"/>
  <c r="C38" i="35"/>
  <c r="N63" i="40"/>
  <c r="M65" i="40"/>
  <c r="E43" i="35"/>
  <c r="F43" i="35" s="1"/>
  <c r="E42" i="35"/>
  <c r="F42" i="35" s="1"/>
  <c r="I43" i="35"/>
  <c r="J43" i="35" s="1"/>
  <c r="L51" i="15"/>
  <c r="C19" i="84"/>
  <c r="L57" i="15" l="1"/>
  <c r="L60" i="15" s="1"/>
  <c r="Q57" i="15" s="1"/>
  <c r="Q67" i="15"/>
  <c r="C40" i="83"/>
  <c r="Q69" i="83"/>
  <c r="Q68" i="83" s="1"/>
  <c r="C102" i="84"/>
  <c r="C21" i="84"/>
  <c r="B3" i="35"/>
  <c r="B3" i="68"/>
  <c r="C43" i="15"/>
  <c r="Q56" i="15"/>
  <c r="Q65" i="15"/>
  <c r="B2" i="15"/>
  <c r="C83" i="15"/>
  <c r="C82" i="15" s="1"/>
  <c r="C71" i="15"/>
  <c r="C46" i="15"/>
  <c r="S22" i="31"/>
  <c r="R22" i="31" s="1"/>
  <c r="D10" i="71"/>
  <c r="C9" i="71"/>
  <c r="C57" i="68"/>
  <c r="C56" i="68" s="1"/>
  <c r="H7" i="39"/>
  <c r="J7" i="39"/>
  <c r="S7" i="39"/>
  <c r="AA7" i="39"/>
  <c r="R47" i="39" s="1"/>
  <c r="O63" i="40"/>
  <c r="O65" i="40" s="1"/>
  <c r="N65" i="40"/>
  <c r="D19" i="9"/>
  <c r="L51" i="83"/>
  <c r="AO6" i="1"/>
  <c r="C20" i="84"/>
  <c r="Q66" i="15" l="1"/>
  <c r="Q62" i="15"/>
  <c r="Q67" i="83"/>
  <c r="C46" i="83"/>
  <c r="Q65" i="83"/>
  <c r="Q75" i="83" s="1"/>
  <c r="Q47" i="83"/>
  <c r="Q53" i="83" s="1"/>
  <c r="Q56" i="83"/>
  <c r="Q62" i="83" s="1"/>
  <c r="B2" i="83"/>
  <c r="C83" i="83"/>
  <c r="C82" i="83" s="1"/>
  <c r="C43" i="83"/>
  <c r="C103" i="84"/>
  <c r="B3" i="15"/>
  <c r="Q75" i="15"/>
  <c r="B6" i="70"/>
  <c r="D21" i="9"/>
  <c r="D102" i="9"/>
  <c r="B20" i="31"/>
  <c r="C8" i="71"/>
  <c r="T9" i="71"/>
  <c r="D9" i="71"/>
  <c r="U9" i="71" s="1"/>
  <c r="W7" i="39"/>
  <c r="AC7" i="39"/>
  <c r="V47" i="39" s="1"/>
  <c r="I47" i="39" s="1"/>
  <c r="E47" i="39"/>
  <c r="R48" i="39"/>
  <c r="U7" i="39"/>
  <c r="AB7" i="39"/>
  <c r="T47" i="39" s="1"/>
  <c r="G47" i="39" s="1"/>
  <c r="J7" i="40"/>
  <c r="F7" i="40"/>
  <c r="H7" i="40"/>
  <c r="D20" i="9"/>
  <c r="C19" i="9"/>
  <c r="D19" i="84"/>
  <c r="D34" i="9"/>
  <c r="D35" i="9"/>
  <c r="AO7" i="1"/>
  <c r="G19" i="84" l="1"/>
  <c r="D21" i="84"/>
  <c r="D102" i="84"/>
  <c r="D22" i="84"/>
  <c r="B7" i="70"/>
  <c r="B2" i="70" s="1"/>
  <c r="B3" i="70" s="1"/>
  <c r="B3" i="83"/>
  <c r="D103" i="9"/>
  <c r="C102" i="9"/>
  <c r="C21" i="9"/>
  <c r="D22" i="9"/>
  <c r="G19" i="9"/>
  <c r="G21" i="9" s="1"/>
  <c r="B21" i="31"/>
  <c r="D8" i="71"/>
  <c r="C7"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84"/>
  <c r="D35" i="84"/>
  <c r="D34" i="84"/>
  <c r="J20" i="84" l="1"/>
  <c r="G21" i="84"/>
  <c r="C32" i="84"/>
  <c r="H118" i="84" s="1"/>
  <c r="D15" i="74" s="1"/>
  <c r="G15" i="74" s="1"/>
  <c r="D103" i="84"/>
  <c r="G20" i="84"/>
  <c r="C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4" l="1"/>
  <c r="F118" i="84" s="1"/>
  <c r="G118" i="84" s="1"/>
  <c r="E15" i="74"/>
  <c r="F15" i="74"/>
  <c r="I118" i="84"/>
  <c r="H119" i="84"/>
  <c r="H101" i="84"/>
  <c r="C104" i="84"/>
  <c r="C5" i="71"/>
  <c r="D6" i="71"/>
  <c r="C42" i="40"/>
  <c r="C43" i="40"/>
  <c r="E47" i="40"/>
  <c r="F47" i="40" s="1"/>
  <c r="E46" i="40"/>
  <c r="F46" i="40" s="1"/>
  <c r="I47" i="40"/>
  <c r="J47" i="40" s="1"/>
  <c r="F119" i="84" l="1"/>
  <c r="C34" i="84"/>
  <c r="D118" i="84" s="1"/>
  <c r="D119" i="84" s="1"/>
  <c r="E118" i="84"/>
  <c r="C105" i="84"/>
  <c r="H102" i="84"/>
  <c r="D45" i="84"/>
  <c r="M48" i="84"/>
  <c r="H107" i="84"/>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H101" i="9" s="1"/>
  <c r="F118" i="9"/>
  <c r="F4" i="52" s="1"/>
  <c r="B51" i="72" s="1"/>
  <c r="D122" i="84" l="1"/>
  <c r="D123" i="84" s="1"/>
  <c r="H108" i="84"/>
  <c r="C72" i="84"/>
  <c r="C78" i="84"/>
  <c r="C73" i="84" s="1"/>
  <c r="D52" i="84"/>
  <c r="C64" i="84"/>
  <c r="C63" i="84" s="1"/>
  <c r="C67" i="84" s="1"/>
  <c r="C93" i="84"/>
  <c r="C86" i="84" s="1"/>
  <c r="C85" i="84"/>
  <c r="D55" i="84"/>
  <c r="M53" i="84" s="1"/>
  <c r="D53" i="84"/>
  <c r="F119" i="9"/>
  <c r="F5" i="52" s="1"/>
  <c r="B53" i="72" s="1"/>
  <c r="D119" i="9"/>
  <c r="D5" i="52" s="1"/>
  <c r="B49" i="72" s="1"/>
  <c r="G118" i="9"/>
  <c r="G4" i="52" s="1"/>
  <c r="B52" i="72" s="1"/>
  <c r="H119" i="9"/>
  <c r="H5" i="52" s="1"/>
  <c r="M48" i="9"/>
  <c r="D5" i="53"/>
  <c r="D45" i="9"/>
  <c r="H107" i="9"/>
  <c r="H4" i="52"/>
  <c r="I118" i="9"/>
  <c r="D14" i="74"/>
  <c r="C104" i="9"/>
  <c r="C79" i="84" l="1"/>
  <c r="C80" i="84" s="1"/>
  <c r="E80" i="84" s="1"/>
  <c r="E81" i="84" s="1"/>
  <c r="C95" i="84"/>
  <c r="D59" i="84"/>
  <c r="M55" i="84" s="1"/>
  <c r="C68" i="84"/>
  <c r="D54" i="84" s="1"/>
  <c r="D13" i="53"/>
  <c r="D122" i="9"/>
  <c r="H108" i="9"/>
  <c r="D15" i="53" s="1"/>
  <c r="B31" i="72" s="1"/>
  <c r="C105" i="9"/>
  <c r="I4" i="52"/>
  <c r="E118" i="9"/>
  <c r="H102" i="9"/>
  <c r="D7" i="53" s="1"/>
  <c r="B21" i="72" s="1"/>
  <c r="D6" i="53"/>
  <c r="B22" i="72" s="1"/>
  <c r="B20" i="72"/>
  <c r="B5" i="74"/>
  <c r="E14" i="74"/>
  <c r="F14" i="74"/>
  <c r="D52" i="9"/>
  <c r="D53" i="9"/>
  <c r="C78" i="9"/>
  <c r="C73" i="9" s="1"/>
  <c r="C93" i="9"/>
  <c r="C86" i="9" s="1"/>
  <c r="D55" i="9"/>
  <c r="M53" i="9" s="1"/>
  <c r="C85" i="9"/>
  <c r="C72" i="9"/>
  <c r="C64" i="9"/>
  <c r="C63" i="9" s="1"/>
  <c r="C67" i="9" s="1"/>
  <c r="E4" i="52" l="1"/>
  <c r="B48" i="72" s="1"/>
  <c r="C96" i="84"/>
  <c r="E96" i="84" s="1"/>
  <c r="E97" i="84" s="1"/>
  <c r="C81" i="84"/>
  <c r="C79" i="9"/>
  <c r="C80" i="9" s="1"/>
  <c r="E80" i="9" s="1"/>
  <c r="E81" i="9" s="1"/>
  <c r="D59" i="9"/>
  <c r="M55" i="9" s="1"/>
  <c r="C68" i="9"/>
  <c r="D54" i="9" s="1"/>
  <c r="C95" i="9"/>
  <c r="D5" i="74"/>
  <c r="C5" i="74"/>
  <c r="D123" i="9"/>
  <c r="D9" i="52" s="1"/>
  <c r="D8" i="52"/>
  <c r="G14" i="74"/>
  <c r="B6" i="74" s="1"/>
  <c r="B30" i="72"/>
  <c r="D14" i="53"/>
  <c r="B32" i="72" s="1"/>
  <c r="C97" i="84" l="1"/>
  <c r="D58" i="84" s="1"/>
  <c r="D56" i="84" s="1"/>
  <c r="M54" i="84" s="1"/>
  <c r="N57" i="84" s="1"/>
  <c r="C81" i="9"/>
  <c r="C6" i="74"/>
  <c r="D6" i="74"/>
  <c r="C96" i="9"/>
  <c r="E96" i="9" s="1"/>
  <c r="E97" i="9" s="1"/>
  <c r="N59" i="84" l="1"/>
  <c r="N58" i="84"/>
  <c r="P57" i="84"/>
  <c r="C97" i="9"/>
  <c r="D58" i="9" s="1"/>
  <c r="D56" i="9" s="1"/>
  <c r="M54" i="9" s="1"/>
  <c r="N57" i="9" s="1"/>
  <c r="N61" i="84" l="1"/>
  <c r="N60" i="84"/>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<sst xmlns="http://schemas.openxmlformats.org/spreadsheetml/2006/main" count="11408" uniqueCount="4031">
  <si>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</si>
  <si>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</si>
  <si>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</si>
  <si>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</si>
  <si>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</si>
  <si>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</si>
  <si>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</si>
  <si>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</si>
  <si>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</si>
  <si>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</si>
  <si>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</si>
  <si>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</si>
  <si>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</si>
  <si>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</si>
  <si>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</si>
  <si>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</si>
  <si>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</si>
  <si>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</si>
  <si>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</si>
  <si>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</si>
  <si>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</si>
  <si>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</si>
  <si>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</si>
  <si>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</si>
  <si>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</si>
  <si>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</si>
  <si>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</si>
  <si>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</si>
  <si>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</si>
  <si>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</si>
  <si>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</si>
  <si>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</si>
  <si>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</si>
  <si>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</si>
  <si>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</si>
  <si>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</si>
  <si>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</si>
  <si>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</si>
  <si>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</si>
  <si>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</si>
  <si>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</si>
  <si>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</si>
  <si>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</si>
  <si>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</si>
  <si>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</si>
  <si>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</si>
  <si>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</si>
  <si>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</si>
  <si>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</si>
  <si>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</si>
  <si>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</si>
  <si>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</si>
  <si>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</si>
  <si>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</si>
  <si>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</si>
  <si>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</si>
  <si>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</si>
  <si>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</si>
  <si>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</si>
  <si>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</si>
  <si>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</si>
  <si>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</si>
  <si>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</si>
  <si>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</si>
  <si>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</si>
  <si>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</si>
  <si>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</si>
  <si>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</si>
  <si>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</si>
  <si>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</si>
  <si>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</si>
  <si>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</si>
  <si>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</si>
  <si>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</si>
  <si>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</si>
  <si>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</si>
  <si>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</si>
  <si>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</si>
  <si>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</si>
  <si>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</si>
  <si>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</si>
  <si>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</si>
  <si>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</si>
  <si>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</si>
  <si>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</si>
  <si>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</si>
  <si>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</si>
  <si>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</si>
  <si>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</si>
  <si>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</si>
  <si>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</si>
  <si>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</si>
  <si>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</si>
  <si>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</si>
  <si>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</si>
  <si>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</si>
  <si>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</si>
  <si>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</si>
  <si>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</si>
  <si>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</si>
  <si>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</si>
  <si>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</si>
  <si>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</si>
  <si>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</si>
  <si>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</si>
  <si>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</si>
  <si>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</si>
  <si>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</si>
  <si>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</si>
  <si>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</si>
  <si>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</si>
  <si>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</si>
  <si>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</si>
  <si>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</si>
  <si>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</si>
  <si>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</si>
  <si>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</si>
  <si>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</si>
  <si>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</si>
  <si>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</si>
  <si>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</si>
  <si>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</si>
  <si>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</si>
  <si>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</si>
  <si>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</si>
  <si>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</si>
  <si>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</si>
  <si>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</si>
  <si>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</si>
  <si>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</si>
  <si>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</si>
  <si>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</si>
  <si>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</si>
  <si>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</si>
  <si>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</si>
  <si>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</si>
  <si>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</si>
  <si>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</si>
  <si>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</si>
  <si>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</si>
  <si>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</si>
  <si>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</si>
  <si>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</si>
  <si>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</si>
  <si>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</si>
  <si>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</si>
  <si>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</si>
  <si>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</si>
  <si>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</si>
  <si>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</si>
  <si>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</si>
  <si>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</si>
  <si>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</si>
  <si>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</si>
  <si>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</si>
  <si>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</si>
  <si>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</si>
  <si>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</si>
  <si>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</si>
  <si>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</si>
  <si>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</si>
  <si>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</si>
  <si>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</si>
  <si>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</si>
  <si>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</si>
  <si>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</si>
  <si>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</si>
  <si>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</si>
  <si>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</si>
  <si>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</si>
  <si>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</si>
  <si>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</si>
  <si>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</si>
  <si>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</si>
  <si>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</si>
  <si>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</si>
  <si>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</si>
  <si>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</si>
  <si>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</si>
  <si>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</si>
  <si>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</si>
  <si>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</si>
  <si>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</si>
  <si>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</si>
  <si>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</si>
  <si>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</si>
  <si>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</si>
  <si>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</si>
  <si>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</si>
  <si>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</si>
  <si>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</si>
  <si>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</si>
  <si>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</si>
  <si>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</si>
  <si>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</si>
  <si>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</si>
  <si>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</si>
  <si>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</si>
  <si>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</si>
  <si>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</si>
  <si>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</si>
  <si>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</si>
  <si>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</si>
  <si>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</si>
  <si>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</si>
  <si>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</si>
  <si>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</si>
  <si>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</si>
  <si>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</si>
  <si>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</si>
  <si>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</si>
  <si>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</si>
  <si>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</si>
  <si>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</si>
  <si>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</si>
  <si>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</si>
  <si>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</si>
  <si>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</si>
  <si>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</si>
  <si>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</si>
  <si>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</si>
  <si>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</si>
  <si>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</si>
  <si>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</si>
  <si>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</si>
  <si>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</si>
  <si>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</si>
  <si>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</si>
  <si>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</si>
  <si>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</si>
  <si>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</si>
  <si>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</si>
  <si>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</si>
  <si>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</si>
  <si>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</si>
  <si>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</si>
  <si>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</si>
  <si>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</si>
  <si>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</si>
  <si>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</si>
  <si>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</si>
  <si>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</si>
  <si>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</si>
  <si>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</si>
  <si>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</si>
  <si>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</si>
  <si>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</si>
  <si>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</si>
  <si>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</si>
  <si>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</si>
  <si>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</si>
  <si>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</si>
  <si>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</si>
  <si>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</si>
  <si>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</si>
  <si>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</si>
  <si>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</si>
  <si>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</si>
  <si>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</si>
  <si>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</si>
  <si>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</si>
  <si>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</si>
  <si>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</si>
  <si>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</si>
  <si>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</si>
  <si>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</si>
  <si>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</si>
  <si>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</si>
  <si>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</si>
  <si>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</si>
  <si>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</si>
  <si>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</si>
  <si>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</si>
  <si>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</si>
  <si>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</si>
  <si>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</si>
  <si>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</si>
  <si>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</si>
  <si>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</si>
  <si>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</si>
  <si>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</si>
  <si>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</si>
  <si>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</si>
  <si>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</si>
  <si>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</si>
  <si>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</si>
  <si>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</si>
  <si>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</si>
  <si>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</si>
  <si>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</si>
  <si>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</si>
  <si>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</si>
  <si>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</si>
  <si>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</si>
  <si>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</si>
  <si>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</si>
  <si>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</si>
  <si>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</si>
  <si>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</si>
  <si>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</si>
  <si>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</si>
  <si>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</si>
  <si>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</si>
  <si>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</si>
  <si>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</si>
  <si>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</si>
  <si>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</si>
  <si>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</si>
  <si>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</si>
  <si>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</si>
  <si>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</si>
  <si>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</si>
  <si>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</si>
  <si>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</si>
  <si>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</si>
  <si>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</si>
  <si>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</si>
  <si>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</si>
  <si>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</si>
  <si>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</si>
  <si>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</si>
  <si>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</si>
  <si>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</si>
  <si>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</si>
  <si>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</si>
  <si>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</si>
  <si>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</si>
  <si>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</si>
  <si>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</si>
  <si>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</si>
  <si>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</si>
  <si>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</si>
  <si>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</si>
  <si>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</si>
  <si>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</si>
  <si>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</si>
  <si>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</si>
  <si>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</si>
  <si>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</si>
  <si>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</si>
  <si>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</si>
  <si>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</si>
  <si>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</si>
  <si>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</si>
  <si>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</si>
  <si>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</si>
  <si>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</si>
  <si>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</si>
  <si>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</si>
  <si>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</si>
  <si>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</si>
  <si>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</si>
  <si>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</si>
  <si>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</si>
  <si>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</si>
  <si>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</si>
  <si>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</si>
  <si>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</si>
  <si>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</si>
  <si>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</si>
  <si>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</si>
  <si>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</si>
  <si>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</si>
  <si>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</si>
  <si>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</si>
  <si>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</si>
  <si>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</si>
  <si>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</si>
  <si>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</si>
  <si>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</si>
  <si>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</si>
  <si>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</si>
  <si>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</si>
  <si>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</si>
  <si>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</si>
  <si>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</si>
  <si>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</si>
  <si>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</si>
  <si>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</si>
  <si>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</si>
  <si>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</si>
  <si>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</si>
  <si>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</si>
  <si>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</si>
  <si>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</si>
  <si>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</si>
  <si>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</si>
  <si>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</si>
  <si>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</si>
  <si>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</si>
  <si>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</si>
  <si>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</si>
  <si>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</si>
  <si>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</si>
  <si>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</si>
  <si>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</si>
  <si>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</si>
  <si>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</si>
  <si>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</si>
  <si>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</si>
  <si>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</si>
  <si>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</si>
  <si>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</si>
  <si>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</si>
  <si>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</si>
  <si>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</si>
  <si>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</si>
  <si>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</si>
  <si>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</si>
  <si>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</si>
  <si>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</si>
  <si>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</si>
  <si>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</si>
  <si>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</si>
  <si>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</si>
  <si>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</si>
  <si>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</si>
  <si>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</si>
  <si>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</si>
  <si>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</si>
  <si>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</si>
  <si>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</si>
  <si>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</si>
  <si>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</si>
  <si>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</si>
  <si>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</si>
  <si>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</si>
  <si>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</si>
  <si>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</si>
  <si>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</si>
  <si>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</si>
  <si>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</si>
  <si>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</si>
  <si>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</si>
  <si>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</si>
  <si>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</si>
  <si>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</si>
  <si>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</si>
  <si>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</si>
  <si>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</si>
  <si>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</si>
  <si>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</si>
  <si>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</si>
  <si>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</si>
  <si>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</si>
  <si>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</si>
  <si>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</si>
  <si>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</si>
  <si>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</si>
  <si>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</si>
  <si>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</si>
  <si>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</si>
  <si>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</si>
  <si>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</si>
  <si>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</si>
  <si>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</si>
  <si>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</si>
  <si>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</si>
  <si>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</si>
  <si>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</si>
  <si>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</si>
  <si>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</si>
  <si>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</si>
  <si>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</si>
  <si>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</si>
  <si>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</si>
  <si>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</si>
  <si>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</si>
  <si>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</si>
  <si>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</si>
  <si>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</si>
  <si>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</si>
  <si>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</si>
  <si>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</si>
  <si>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</si>
  <si>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</si>
  <si>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</si>
  <si>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</si>
  <si>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</si>
  <si>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</si>
  <si>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</si>
  <si>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</si>
  <si>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</si>
  <si>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</si>
  <si>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</si>
  <si>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</si>
  <si>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</si>
  <si>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</si>
  <si>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</si>
  <si>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</si>
  <si>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</si>
  <si>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</si>
  <si>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</si>
  <si>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</si>
  <si>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</si>
  <si>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</si>
  <si>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</si>
  <si>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</si>
  <si>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</si>
  <si>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</si>
  <si>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</si>
  <si>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</si>
  <si>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</si>
  <si>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</si>
  <si>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</si>
  <si>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</si>
  <si>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</si>
  <si>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</si>
  <si>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</si>
  <si>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</si>
  <si>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</si>
  <si>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</si>
  <si>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</si>
  <si>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</si>
  <si>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</si>
  <si>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</si>
  <si>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</si>
  <si>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</si>
  <si>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</si>
  <si>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</si>
  <si>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</si>
  <si>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</si>
  <si>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</si>
  <si>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</si>
  <si>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</si>
  <si>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</si>
  <si>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</si>
  <si>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</si>
  <si>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</si>
  <si>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</si>
  <si>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</si>
  <si>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</si>
  <si>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</si>
  <si>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</si>
  <si>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</si>
  <si>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</si>
  <si>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</si>
  <si>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</si>
  <si>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</si>
  <si>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</si>
  <si>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</si>
  <si>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</si>
  <si>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</si>
  <si>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</si>
  <si>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</si>
  <si>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</si>
  <si>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</si>
  <si>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</si>
  <si>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</si>
  <si>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</si>
  <si>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</si>
  <si>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</si>
  <si>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</si>
  <si>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</si>
  <si>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</si>
  <si>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</si>
  <si>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</si>
  <si>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</si>
  <si>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</si>
  <si>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</si>
  <si>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</si>
  <si>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</si>
  <si>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</si>
  <si>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</si>
  <si>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</si>
  <si>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</si>
  <si>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</si>
  <si>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</si>
  <si>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</si>
  <si>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</si>
  <si>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</si>
  <si>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</si>
  <si>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</si>
  <si>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</si>
  <si>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</si>
  <si>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</si>
  <si>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</si>
  <si>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</si>
  <si>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</si>
  <si>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</si>
  <si>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</si>
  <si>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</si>
  <si>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</si>
  <si>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</si>
  <si>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</si>
  <si>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</si>
  <si>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</si>
  <si>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</si>
  <si>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</si>
  <si>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</si>
  <si>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</si>
  <si>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</si>
  <si>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</si>
  <si>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</si>
  <si>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</si>
  <si>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</si>
  <si>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</si>
  <si>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</si>
  <si>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</si>
  <si>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</si>
  <si>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</si>
  <si>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</si>
  <si>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</si>
  <si>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</si>
  <si>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</si>
  <si>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</si>
  <si>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</si>
  <si>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</si>
  <si>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</si>
  <si>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</si>
  <si>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</si>
  <si>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</si>
  <si>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</si>
  <si>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</si>
  <si>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</si>
  <si>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</si>
  <si>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</si>
  <si>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</si>
  <si>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</si>
  <si>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</si>
  <si>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</si>
  <si>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</si>
  <si>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</si>
  <si>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</si>
  <si>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</si>
  <si>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</si>
  <si>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</si>
  <si>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</si>
  <si>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</si>
  <si>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</si>
  <si>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</si>
  <si>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</si>
  <si>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</si>
  <si>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</si>
  <si>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</si>
  <si>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</si>
  <si>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</si>
  <si>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</si>
  <si>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</si>
  <si>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</si>
  <si>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</si>
  <si>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</si>
  <si>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</si>
  <si>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</si>
  <si>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</si>
  <si>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</si>
  <si>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</si>
  <si>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</si>
  <si>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</si>
  <si>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</si>
  <si>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</si>
  <si>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</si>
  <si>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</si>
  <si>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</si>
  <si>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</si>
  <si>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</si>
  <si>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</si>
  <si>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</si>
  <si>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</si>
  <si>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</si>
  <si>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</si>
  <si>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</si>
  <si>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</si>
  <si>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</si>
  <si>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</si>
  <si>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</si>
  <si>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</si>
  <si>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</si>
  <si>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</si>
  <si>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</si>
  <si>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</si>
  <si>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</si>
  <si>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</si>
  <si>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</si>
  <si>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</si>
  <si>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</si>
  <si>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</si>
  <si>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</si>
  <si>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</si>
  <si>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</si>
  <si>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</si>
  <si>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</si>
  <si>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</si>
  <si>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</si>
  <si>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</si>
  <si>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</si>
  <si>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</si>
  <si>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</si>
  <si>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</si>
  <si>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</si>
  <si>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</si>
  <si>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</si>
  <si>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</si>
  <si>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</si>
  <si>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</si>
  <si>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</si>
  <si>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</si>
  <si>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</si>
  <si>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</si>
  <si>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</si>
  <si>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</si>
  <si>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</si>
  <si>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</si>
  <si>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</si>
  <si>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</si>
  <si>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</si>
  <si>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</si>
  <si>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</si>
  <si>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</si>
  <si>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</si>
  <si>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</si>
  <si>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</si>
  <si>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</si>
  <si>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</si>
  <si>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</si>
  <si>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</si>
  <si>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</si>
  <si>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</si>
  <si>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</si>
  <si>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</si>
  <si>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</si>
  <si>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</si>
  <si>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</si>
  <si>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</si>
  <si>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</si>
  <si>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</si>
  <si>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</si>
  <si>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</si>
  <si>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</si>
  <si>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</si>
  <si>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</si>
  <si>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</si>
  <si>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</si>
  <si>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</si>
  <si>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</si>
  <si>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</si>
  <si>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</si>
  <si>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</si>
  <si>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</si>
  <si>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</si>
  <si>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</si>
  <si>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</si>
  <si>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</si>
  <si>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</si>
  <si>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</si>
  <si>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</si>
  <si>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</si>
  <si>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</si>
  <si>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</si>
  <si>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</si>
  <si>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</si>
  <si>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</si>
  <si>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</si>
  <si>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</si>
  <si>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</si>
  <si>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</si>
  <si>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</si>
  <si>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</si>
  <si>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</si>
  <si>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</si>
  <si>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</si>
  <si>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</si>
  <si>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</si>
  <si>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</si>
  <si>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</si>
  <si>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</si>
  <si>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</si>
  <si>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</si>
  <si>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</si>
  <si>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</si>
  <si>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</si>
  <si>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</si>
  <si>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</si>
  <si>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</si>
  <si>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</si>
  <si>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</si>
  <si>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</si>
  <si>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</si>
  <si>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</si>
  <si>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</si>
  <si>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</si>
  <si>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</si>
  <si>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</si>
  <si>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</si>
  <si>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</si>
  <si>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</si>
  <si>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</si>
  <si>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</si>
  <si>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</si>
  <si>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</si>
  <si>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</si>
  <si>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</si>
  <si>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</si>
  <si>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</si>
  <si>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</si>
  <si>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</si>
  <si>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</si>
  <si>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</si>
  <si>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</si>
  <si>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</si>
  <si>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</si>
  <si>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</si>
  <si>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</si>
  <si>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</si>
  <si>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</si>
  <si>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</si>
  <si>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</si>
  <si>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</si>
  <si>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</si>
  <si>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</si>
  <si>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</si>
  <si>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</si>
  <si>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</si>
  <si>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</si>
  <si>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</si>
  <si>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</si>
  <si>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</si>
  <si>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</si>
  <si>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</si>
  <si>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</si>
  <si>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</si>
  <si>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</si>
  <si>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</si>
  <si>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</si>
  <si>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</si>
  <si>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</si>
  <si>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</si>
  <si>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</si>
  <si>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</si>
  <si>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</si>
  <si>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</si>
  <si>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</si>
  <si>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</si>
  <si>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</si>
  <si>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</si>
  <si>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</si>
  <si>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</si>
  <si>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</si>
  <si>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</si>
  <si>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</si>
  <si>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</si>
  <si>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</si>
  <si>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</si>
  <si>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</si>
  <si>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</si>
  <si>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</si>
  <si>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</si>
  <si>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</si>
  <si>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</si>
  <si>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</si>
  <si>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</si>
  <si>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</si>
  <si>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</si>
  <si>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</si>
  <si>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</si>
  <si>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</si>
  <si>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</si>
  <si>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</si>
  <si>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</si>
  <si>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</si>
  <si>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</si>
  <si>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</si>
  <si>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</si>
  <si>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</si>
  <si>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</si>
  <si>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</si>
  <si>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</si>
  <si>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</si>
  <si>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</si>
  <si>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</si>
  <si>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</si>
  <si>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</si>
  <si>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</si>
  <si>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</si>
  <si>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</si>
  <si>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</si>
  <si>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</si>
  <si>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</si>
  <si>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</si>
  <si>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</si>
  <si>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</si>
  <si>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</si>
  <si>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</si>
  <si>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</si>
  <si>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</si>
  <si>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</si>
  <si>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</si>
  <si>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</si>
  <si>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</si>
  <si>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</si>
  <si>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</si>
  <si>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</si>
  <si>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</si>
  <si>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</si>
  <si>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</si>
  <si>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</si>
  <si>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</si>
  <si>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</si>
  <si>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</si>
  <si>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</si>
  <si>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</si>
  <si>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</si>
  <si>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</si>
  <si>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</si>
  <si>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</si>
  <si>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</si>
  <si>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</si>
  <si>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</si>
  <si>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</si>
  <si>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</si>
  <si>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</si>
  <si>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</si>
  <si>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</si>
  <si>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</si>
  <si>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</si>
  <si>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</si>
  <si>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</si>
  <si>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</si>
  <si>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</si>
  <si>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</si>
  <si>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</si>
  <si>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</si>
  <si>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</si>
  <si>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</si>
  <si>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</si>
  <si>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</si>
  <si>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</si>
  <si>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</si>
  <si>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</si>
  <si>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</si>
  <si>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</si>
  <si>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</si>
  <si>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</si>
  <si>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</si>
  <si>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</si>
  <si>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</si>
  <si>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</si>
  <si>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</si>
  <si>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</si>
  <si>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</si>
  <si>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</si>
  <si>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</si>
  <si>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</si>
  <si>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</si>
  <si>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</si>
  <si>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</si>
  <si>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</si>
  <si>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</si>
  <si>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</si>
  <si>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</si>
  <si>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</si>
  <si>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</si>
  <si>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</si>
  <si>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</si>
  <si>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</si>
  <si>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</si>
  <si>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</si>
  <si>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</si>
  <si>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</si>
  <si>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</si>
  <si>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</si>
  <si>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</si>
  <si>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</si>
  <si>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</si>
  <si>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</si>
  <si>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</si>
  <si>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</si>
  <si>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</si>
  <si>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</si>
  <si>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</si>
  <si>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</si>
  <si>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</si>
  <si>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</si>
  <si>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</si>
  <si>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</si>
  <si>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</si>
  <si>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</si>
  <si>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</si>
  <si>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</si>
  <si>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</si>
  <si>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</si>
  <si>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</si>
  <si>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</si>
  <si>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</si>
  <si>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</si>
  <si>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</si>
  <si>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</si>
  <si>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</si>
  <si>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</si>
  <si>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</si>
  <si>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</si>
  <si>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</si>
  <si>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</si>
  <si>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</si>
  <si>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</si>
  <si>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</si>
  <si>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</si>
  <si>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</si>
  <si>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</si>
  <si>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</si>
  <si>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</si>
  <si>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</si>
  <si>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</si>
  <si>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</si>
  <si>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</si>
  <si>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</si>
  <si>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</si>
  <si>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</si>
  <si>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</si>
  <si>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</si>
  <si>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</si>
  <si>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</si>
  <si>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</si>
  <si>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</si>
  <si>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</si>
  <si>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</si>
  <si>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</si>
  <si>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</si>
  <si>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</si>
  <si>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</si>
  <si>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</si>
  <si>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</si>
  <si>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</si>
  <si>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</si>
  <si>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</si>
  <si>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</si>
  <si>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</si>
  <si>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</si>
  <si>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</si>
  <si>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</si>
  <si>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</si>
  <si>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</si>
  <si>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</si>
  <si>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</si>
  <si>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</si>
  <si>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</si>
  <si>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</si>
  <si>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</si>
  <si>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</si>
  <si>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</si>
  <si>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</si>
  <si>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</si>
  <si>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</si>
  <si>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</si>
  <si>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</si>
  <si>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</si>
  <si>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</si>
  <si>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</si>
  <si>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</si>
  <si>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</si>
  <si>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</si>
  <si>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</si>
  <si>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</si>
  <si>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</si>
  <si>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</si>
  <si>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</si>
  <si>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</si>
  <si>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</si>
  <si>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</si>
  <si>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</si>
  <si>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</si>
  <si>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</si>
  <si>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</si>
  <si>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</si>
  <si>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</si>
  <si>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</si>
  <si>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</si>
  <si>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</si>
  <si>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</si>
  <si>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</si>
  <si>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</si>
  <si>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</si>
  <si>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</si>
  <si>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</si>
  <si>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</si>
  <si>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</si>
  <si>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</si>
  <si>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</si>
  <si>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</si>
  <si>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</si>
  <si>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</si>
  <si>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</si>
  <si>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</si>
  <si>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</si>
  <si>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</si>
  <si>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</si>
  <si>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</si>
  <si>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</si>
  <si>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</si>
  <si>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</si>
  <si>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</si>
  <si>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</si>
  <si>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</si>
  <si>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</si>
  <si>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</si>
  <si>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</si>
  <si>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</si>
  <si>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</si>
  <si>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</si>
  <si>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</si>
  <si>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</si>
  <si>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</si>
  <si>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</si>
  <si>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</si>
  <si>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</si>
  <si>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</si>
  <si>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</si>
  <si>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</si>
  <si>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</si>
  <si>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</si>
  <si>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</si>
  <si>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</si>
  <si>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</si>
  <si>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</si>
  <si>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</si>
  <si>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</si>
  <si>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</si>
  <si>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</si>
  <si>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</si>
  <si>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</si>
  <si>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</si>
  <si>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</si>
  <si>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</si>
  <si>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</si>
  <si>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</si>
  <si>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</si>
  <si>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</si>
  <si>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</si>
  <si>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</si>
  <si>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</si>
  <si>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</si>
  <si>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</si>
  <si>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</si>
  <si>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</si>
  <si>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</si>
  <si>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</si>
  <si>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</si>
  <si>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</si>
  <si>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</si>
  <si>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</si>
  <si>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</si>
  <si>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</si>
  <si>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</si>
  <si>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</si>
  <si>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</si>
  <si>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</si>
  <si>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</si>
  <si>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</si>
  <si>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</si>
  <si>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</si>
  <si>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</si>
  <si>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</si>
  <si>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</si>
  <si>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</si>
  <si>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</si>
  <si>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</si>
  <si>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</si>
  <si>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</si>
  <si>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</si>
  <si>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</si>
  <si>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</si>
  <si>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</si>
  <si>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</si>
  <si>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</si>
  <si>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</si>
  <si>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</si>
  <si>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</si>
  <si>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</si>
  <si>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</si>
  <si>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</si>
  <si>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</si>
  <si>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</si>
  <si>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</si>
  <si>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</si>
  <si>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</si>
  <si>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</si>
  <si>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</si>
  <si>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</si>
  <si>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</si>
  <si>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</si>
  <si>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</si>
  <si>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</si>
  <si>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</si>
  <si>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</si>
  <si>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</si>
  <si>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</si>
  <si>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</si>
  <si>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</si>
  <si>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</si>
  <si>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</si>
  <si>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</si>
  <si>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</si>
  <si>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</si>
  <si>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</si>
  <si>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</si>
  <si>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</si>
  <si>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</si>
  <si>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</si>
  <si>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</si>
  <si>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</si>
  <si>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</si>
  <si>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</si>
  <si>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</si>
  <si>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</si>
  <si>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</si>
  <si>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</si>
  <si>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</si>
  <si>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</si>
  <si>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</si>
  <si>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</si>
  <si>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</si>
  <si>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</si>
  <si>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</si>
  <si>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</si>
  <si>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</si>
  <si>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</si>
  <si>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</si>
  <si>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</si>
  <si>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</si>
  <si>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</si>
  <si>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</si>
  <si>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</si>
  <si>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</si>
  <si>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</si>
  <si>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</si>
  <si>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</si>
  <si>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</si>
  <si>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</si>
  <si>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</si>
  <si>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</si>
  <si>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</si>
  <si>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</si>
  <si>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</si>
  <si>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</si>
  <si>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</si>
  <si>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</si>
  <si>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</si>
  <si>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</si>
  <si>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</si>
  <si>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</si>
  <si>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</si>
  <si>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</si>
  <si>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</si>
  <si>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</si>
  <si>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</si>
  <si>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</si>
  <si>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</si>
  <si>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</si>
  <si>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</si>
  <si>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</si>
  <si>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</si>
  <si>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</si>
  <si>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</si>
  <si>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</si>
  <si>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</si>
  <si>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</si>
  <si>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</si>
  <si>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</si>
  <si>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</si>
  <si>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</si>
  <si>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</si>
  <si>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</si>
  <si>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</si>
  <si>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</si>
  <si>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</si>
  <si>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</si>
  <si>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</si>
  <si>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</si>
  <si>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</si>
  <si>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</si>
  <si>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</si>
  <si>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</si>
  <si>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</si>
  <si>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</si>
  <si>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</si>
  <si>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</si>
  <si>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</si>
  <si>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</si>
  <si>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</si>
  <si>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</si>
  <si>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</si>
  <si>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</si>
  <si>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</si>
  <si>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</si>
  <si>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</si>
  <si>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</si>
  <si>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</si>
  <si>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</si>
  <si>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</si>
  <si>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</si>
  <si>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</si>
  <si>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</si>
  <si>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</si>
  <si>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</si>
  <si>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</si>
  <si>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</si>
  <si>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</si>
  <si>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</si>
  <si>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</si>
  <si>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</si>
  <si>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</si>
  <si>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</si>
  <si>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</si>
  <si>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</si>
  <si>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</si>
  <si>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</si>
  <si>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</si>
  <si>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</si>
  <si>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</si>
  <si>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</si>
  <si>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</si>
  <si>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</si>
  <si>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</si>
  <si>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</si>
  <si>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</si>
  <si>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</si>
  <si>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</si>
  <si>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</si>
  <si>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</si>
  <si>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</si>
  <si>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</si>
  <si>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</si>
  <si>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</si>
  <si>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</si>
  <si>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</si>
  <si>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</si>
  <si>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</si>
  <si>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</si>
  <si>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</si>
  <si>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</si>
  <si>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</si>
  <si>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</si>
  <si>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</si>
  <si>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</si>
  <si>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</si>
  <si>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</si>
  <si>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</si>
  <si>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</si>
  <si>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</si>
  <si>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</si>
  <si>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</si>
  <si>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</si>
  <si>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</si>
  <si>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</si>
  <si>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</si>
  <si>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</si>
  <si>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</si>
  <si>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</si>
  <si>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</si>
  <si>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</si>
  <si>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</si>
  <si>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</si>
  <si>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</si>
  <si>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</si>
  <si>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</si>
  <si>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</si>
  <si>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</si>
  <si>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</si>
  <si>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</si>
  <si>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</si>
  <si>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</si>
  <si>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</si>
  <si>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</si>
  <si>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</si>
  <si>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</si>
  <si>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</si>
  <si>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</si>
  <si>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</si>
  <si>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</si>
  <si>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</si>
  <si>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</si>
  <si>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</si>
  <si>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</si>
  <si>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</si>
  <si>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</si>
  <si>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</si>
  <si>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</si>
  <si>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</si>
  <si>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</si>
  <si>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</si>
  <si>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</si>
  <si>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</si>
  <si>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</si>
  <si>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</si>
  <si>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</si>
  <si>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</si>
  <si>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</si>
  <si>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</si>
  <si>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</si>
  <si>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</si>
  <si>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</si>
  <si>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</si>
  <si>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</si>
  <si>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</si>
  <si>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</si>
  <si>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</si>
  <si>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</si>
  <si>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</si>
  <si>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</si>
  <si>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</si>
  <si>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</si>
  <si>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</si>
  <si>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</si>
  <si>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</si>
  <si>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</si>
  <si>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</si>
  <si>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</si>
  <si>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</si>
  <si>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</si>
  <si>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</si>
  <si>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</si>
  <si>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</si>
  <si>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</si>
  <si>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</si>
  <si>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</si>
  <si>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</si>
  <si>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</si>
  <si>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</si>
  <si>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</si>
  <si>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</si>
  <si>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</si>
  <si>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</si>
  <si>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</si>
  <si>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</si>
  <si>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</si>
  <si>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</si>
  <si>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</si>
  <si>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</si>
  <si>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</si>
  <si>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</si>
  <si>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</si>
  <si>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</si>
  <si>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</si>
  <si>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</si>
  <si>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</si>
  <si>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</si>
  <si>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</si>
  <si>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</si>
  <si>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</si>
  <si>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</si>
  <si>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</si>
  <si>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</si>
  <si>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</si>
  <si>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</si>
  <si>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</si>
  <si>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</si>
  <si>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</si>
  <si>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</si>
  <si>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</si>
  <si>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</si>
  <si>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</si>
  <si>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</si>
  <si>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</si>
  <si>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</si>
  <si>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</si>
  <si>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</si>
  <si>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</si>
  <si>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</si>
  <si>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</si>
  <si>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</si>
  <si>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</si>
  <si>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</si>
  <si>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</si>
  <si>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</si>
  <si>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</si>
  <si>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</si>
  <si>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</si>
  <si>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</si>
  <si>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</si>
  <si>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</si>
  <si>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</si>
  <si>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</si>
  <si>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</si>
  <si>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</si>
  <si>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</si>
  <si>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</si>
  <si>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</si>
  <si>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</si>
  <si>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</si>
  <si>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</si>
  <si>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</si>
  <si>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</si>
  <si>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</si>
  <si>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</si>
  <si>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</si>
  <si>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</si>
  <si>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</si>
  <si>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</si>
  <si>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</si>
  <si>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</si>
  <si>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</si>
  <si>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</si>
  <si>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</si>
  <si>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</si>
  <si>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</si>
  <si>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</si>
  <si>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</si>
  <si>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</si>
  <si>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</si>
  <si>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</si>
  <si>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</si>
  <si>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</si>
  <si>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</si>
  <si>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</si>
  <si>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</si>
  <si>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</si>
  <si>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</si>
  <si>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</si>
  <si>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</si>
  <si>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</si>
  <si>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</si>
  <si>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</si>
  <si>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</si>
  <si>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</si>
  <si>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</si>
  <si>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</si>
  <si>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</si>
  <si>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</si>
  <si>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</si>
  <si>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</si>
  <si>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</si>
  <si>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</si>
  <si>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</si>
  <si>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</si>
  <si>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</si>
  <si>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</si>
  <si>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</si>
  <si>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</si>
  <si>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</si>
  <si>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</si>
  <si>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</si>
  <si>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</si>
  <si>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</si>
  <si>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</si>
  <si>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</si>
  <si>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</si>
  <si>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</si>
  <si>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</si>
  <si>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</si>
  <si>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</si>
  <si>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</si>
  <si>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</si>
  <si>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</si>
  <si>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</si>
  <si>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</si>
  <si>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</si>
  <si>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</si>
  <si>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</si>
  <si>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</si>
  <si>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</si>
  <si>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</si>
  <si>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</si>
  <si>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</si>
  <si>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</si>
  <si>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</si>
  <si>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</si>
  <si>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</si>
  <si>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</si>
  <si>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</si>
  <si>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</si>
  <si>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</si>
  <si>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</si>
  <si>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</si>
  <si>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</si>
  <si>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</si>
  <si>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</si>
  <si>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</si>
  <si>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</si>
  <si>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</si>
  <si>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</si>
  <si>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</si>
  <si>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</si>
  <si>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</si>
  <si>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</si>
  <si>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</si>
  <si>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</si>
  <si>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</si>
  <si>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</si>
  <si>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</si>
  <si>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</si>
  <si>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</si>
  <si>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</si>
  <si>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</si>
  <si>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</si>
  <si>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</si>
  <si>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</si>
  <si>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</si>
  <si>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</si>
  <si>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</si>
  <si>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</si>
  <si>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</si>
  <si>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</si>
  <si>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</si>
  <si>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</si>
  <si>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</si>
  <si>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</si>
  <si>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</si>
  <si>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</si>
  <si>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</si>
  <si>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</si>
  <si>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</si>
  <si>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</si>
  <si>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</si>
  <si>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</si>
  <si>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</si>
  <si>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</si>
  <si>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</si>
  <si>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</si>
  <si>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</si>
  <si>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</si>
  <si>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</si>
  <si>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</si>
  <si>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</si>
  <si>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</si>
  <si>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</si>
  <si>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</si>
  <si>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</si>
  <si>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</si>
  <si>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</si>
  <si>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</si>
  <si>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</si>
  <si>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</si>
  <si>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</si>
  <si>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</si>
  <si>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</si>
  <si>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</si>
  <si>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</si>
  <si>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</si>
  <si>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</si>
  <si>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</si>
  <si>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</si>
  <si>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</si>
  <si>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</si>
  <si>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</si>
  <si>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</si>
  <si>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</si>
  <si>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</si>
  <si>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</si>
  <si>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</si>
  <si>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</si>
  <si>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</si>
  <si>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</si>
  <si>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</si>
  <si>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</si>
  <si>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</si>
  <si>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</si>
  <si>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</si>
  <si>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</si>
  <si>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</si>
  <si>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</si>
  <si>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</si>
  <si>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</si>
  <si>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</si>
  <si>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</si>
  <si>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</si>
  <si>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</si>
  <si>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</si>
  <si>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</si>
  <si>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</si>
  <si>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</si>
  <si>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</si>
  <si>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</si>
  <si>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</si>
  <si>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</si>
  <si>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</si>
  <si>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</si>
  <si>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</si>
  <si>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</si>
  <si>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</si>
  <si>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</si>
  <si>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</si>
  <si>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</si>
  <si>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</si>
  <si>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</si>
  <si>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</si>
  <si>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</si>
  <si>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</si>
  <si>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</si>
  <si>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</si>
  <si>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</si>
  <si>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</si>
  <si>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</si>
  <si>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</si>
  <si>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</si>
  <si>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</si>
  <si>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</si>
  <si>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</si>
  <si>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</si>
  <si>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</si>
  <si>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</si>
  <si>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</si>
  <si>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</si>
  <si>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</si>
  <si>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</si>
  <si>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</si>
  <si>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</si>
  <si>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</si>
  <si>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</si>
  <si>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</si>
  <si>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</si>
  <si>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</si>
  <si>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</si>
  <si>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</si>
  <si>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</si>
  <si>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</si>
  <si>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</si>
  <si>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</si>
  <si>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</si>
  <si>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</si>
  <si>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</si>
  <si>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</si>
  <si>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</si>
  <si>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</si>
  <si>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</si>
  <si>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</si>
  <si>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</si>
  <si>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</si>
  <si>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</si>
  <si>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</si>
  <si>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</si>
  <si>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</si>
  <si>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</si>
  <si>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</si>
  <si>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</si>
  <si>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</si>
  <si>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</si>
  <si>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</si>
  <si>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</si>
  <si>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</si>
  <si>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</si>
  <si>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</si>
  <si>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</si>
  <si>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</si>
  <si>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</si>
  <si>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</si>
  <si>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</si>
  <si>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</si>
  <si>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</si>
  <si>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</si>
  <si>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</si>
  <si>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</si>
  <si>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</si>
  <si>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</si>
  <si>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</si>
  <si>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</si>
  <si>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</si>
  <si>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</si>
  <si>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</si>
  <si>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</si>
  <si>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</si>
  <si>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</si>
  <si>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</si>
  <si>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</si>
  <si>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</si>
  <si>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</si>
  <si>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</si>
  <si>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</si>
  <si>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</si>
  <si>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</si>
  <si>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</si>
  <si>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</si>
  <si>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</si>
  <si>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</si>
  <si>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</si>
  <si>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</si>
  <si>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</si>
  <si>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</si>
  <si>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</si>
  <si>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</si>
  <si>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</si>
  <si>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</si>
  <si>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</si>
  <si>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</si>
  <si>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</si>
  <si>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</si>
  <si>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</si>
  <si>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</si>
  <si>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</si>
  <si>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</si>
  <si>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</si>
  <si>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</si>
  <si>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</si>
  <si>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</si>
  <si>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</si>
  <si>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</si>
  <si>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</si>
  <si>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</si>
  <si>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</si>
  <si>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</si>
  <si>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</si>
  <si>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</si>
  <si>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</si>
  <si>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</si>
  <si>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</si>
  <si>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</si>
  <si>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</si>
  <si>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</si>
  <si>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</si>
  <si>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</si>
  <si>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</si>
  <si>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</si>
  <si>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</si>
  <si>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</si>
  <si>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</si>
  <si>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</si>
  <si>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</si>
  <si>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</si>
  <si>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</si>
  <si>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</si>
  <si>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</si>
  <si>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</si>
  <si>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</si>
  <si>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</si>
  <si>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</si>
  <si>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</si>
  <si>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</si>
  <si>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</si>
  <si>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</si>
  <si>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</si>
  <si>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</si>
  <si>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</si>
  <si>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</si>
  <si>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</si>
  <si>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</si>
  <si>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</si>
  <si>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</si>
  <si>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</si>
  <si>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</si>
  <si>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</si>
  <si>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</si>
  <si>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</si>
  <si>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</si>
  <si>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</si>
  <si>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</si>
  <si>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</si>
  <si>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</si>
  <si>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</si>
  <si>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</si>
  <si>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</si>
  <si>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</si>
  <si>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</si>
  <si>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</si>
  <si>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</si>
  <si>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</si>
  <si>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</si>
  <si>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</si>
  <si>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</si>
  <si>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</si>
  <si>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</si>
  <si>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</si>
  <si>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</si>
  <si>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</si>
  <si>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</si>
  <si>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</si>
  <si>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</si>
  <si>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</si>
  <si>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</si>
  <si>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</si>
  <si>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</si>
  <si>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</si>
  <si>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</si>
  <si>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</si>
  <si>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</si>
  <si>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</si>
  <si>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</si>
  <si>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</si>
  <si>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</si>
  <si>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</si>
  <si>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</si>
  <si>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</si>
  <si>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</si>
  <si>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</si>
  <si>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</si>
  <si>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</si>
  <si>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</si>
  <si>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</si>
  <si>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</si>
  <si>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</si>
  <si>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</si>
  <si>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</si>
  <si>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</si>
  <si>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</si>
  <si>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</si>
  <si>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</si>
  <si>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</si>
  <si>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</si>
  <si>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</si>
  <si>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</si>
  <si>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</si>
  <si>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</si>
  <si>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</si>
  <si>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</si>
  <si>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</si>
  <si>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</si>
  <si>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</si>
  <si>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</si>
  <si>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</si>
  <si>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</si>
  <si>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</si>
  <si>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</si>
  <si>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</si>
  <si>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</si>
  <si>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</si>
  <si>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</si>
  <si>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</si>
  <si>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</si>
  <si>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</si>
  <si>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</si>
  <si>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</si>
  <si>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</si>
  <si>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</si>
  <si>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</si>
  <si>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</si>
  <si>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</si>
  <si>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</si>
  <si>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</si>
  <si>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</si>
  <si>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</si>
  <si>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</si>
  <si>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</si>
  <si>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</si>
  <si>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</si>
  <si>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</si>
  <si>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</si>
  <si>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</si>
  <si>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</si>
  <si>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</si>
  <si>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</si>
  <si>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</si>
  <si>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</si>
  <si>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</si>
  <si>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</si>
  <si>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</si>
  <si>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</si>
  <si>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</si>
  <si>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</si>
  <si>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</si>
  <si>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</si>
  <si>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</si>
  <si>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</si>
  <si>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</si>
  <si>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</si>
  <si>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</si>
  <si>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</si>
  <si>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</si>
  <si>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</si>
  <si>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</si>
  <si>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</si>
  <si>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</si>
  <si>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</si>
  <si>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</si>
  <si>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</si>
  <si>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</si>
  <si>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</si>
  <si>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</si>
  <si>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</si>
  <si>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</si>
  <si>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</si>
  <si>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</si>
  <si>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</si>
  <si>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</si>
  <si>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</si>
  <si>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</si>
  <si>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</si>
  <si>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</si>
  <si>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</si>
  <si>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</si>
  <si>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</si>
  <si>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</si>
  <si>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</si>
  <si>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</si>
  <si>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</si>
  <si>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</si>
  <si>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</si>
  <si>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</si>
  <si>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</si>
  <si>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</si>
  <si>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</si>
  <si>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</si>
  <si>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</si>
  <si>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</si>
  <si>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</si>
  <si>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</si>
  <si>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</si>
  <si>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</si>
  <si>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</si>
  <si>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</si>
  <si>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</si>
  <si>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</si>
  <si>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</si>
  <si>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</si>
  <si>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</si>
  <si>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</si>
  <si>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</si>
  <si>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</si>
  <si>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</si>
  <si>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</si>
  <si>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</si>
  <si>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</si>
  <si>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</si>
  <si>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</si>
  <si>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</si>
  <si>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</si>
  <si>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</si>
  <si>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</si>
  <si>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</si>
  <si>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</si>
  <si>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</si>
  <si>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</si>
  <si>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</si>
  <si>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</si>
  <si>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</si>
  <si>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</si>
  <si>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</si>
  <si>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</si>
  <si>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</si>
  <si>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</si>
  <si>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</si>
  <si>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</si>
  <si>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</si>
  <si>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</si>
  <si>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</si>
  <si>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</si>
  <si>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</si>
  <si>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</si>
  <si>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</si>
  <si>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</si>
  <si>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</si>
  <si>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</si>
  <si>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</si>
  <si>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</si>
  <si>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</si>
  <si>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</si>
  <si>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</si>
  <si>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</si>
  <si>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</si>
  <si>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</si>
  <si>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</si>
  <si>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</si>
  <si>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</si>
  <si>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</si>
  <si>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</si>
  <si>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</si>
  <si>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</si>
  <si>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</si>
  <si>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</si>
  <si>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</si>
  <si>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</si>
  <si>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</si>
  <si>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</si>
  <si>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</si>
  <si>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</si>
  <si>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</si>
  <si>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</si>
  <si>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</si>
  <si>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</si>
  <si>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</si>
  <si>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</si>
  <si>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</si>
  <si>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</si>
  <si>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</si>
  <si>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</si>
  <si>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</si>
  <si>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</si>
  <si>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</si>
  <si>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</si>
  <si>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</si>
  <si>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</si>
  <si>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</si>
  <si>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</si>
  <si>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</si>
  <si>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</si>
  <si>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</si>
  <si>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</si>
  <si>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</si>
  <si>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</si>
  <si>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</si>
  <si>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</si>
  <si>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</si>
  <si>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</si>
  <si>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</si>
  <si>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</si>
  <si>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</si>
  <si>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</si>
  <si>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</si>
  <si>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</si>
  <si>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</si>
  <si>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</si>
  <si>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</si>
  <si>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</si>
  <si>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</si>
  <si>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</si>
  <si>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</si>
  <si>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</si>
  <si>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</si>
  <si>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</si>
  <si>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</si>
  <si>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</si>
  <si>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</si>
  <si>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</si>
  <si>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</si>
  <si>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</si>
  <si>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</si>
  <si>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</si>
  <si>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</si>
  <si>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</si>
  <si>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</si>
  <si>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</si>
  <si>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</si>
  <si>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</si>
  <si>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</si>
  <si>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</si>
  <si>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</si>
  <si>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</si>
  <si>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</si>
  <si>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</si>
  <si>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</si>
  <si>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</si>
  <si>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</si>
  <si>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</si>
  <si>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</si>
  <si>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</si>
  <si>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</si>
  <si>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</si>
  <si>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</si>
  <si>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</si>
  <si>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</si>
  <si>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</si>
  <si>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</si>
  <si>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</si>
  <si>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</si>
  <si>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</si>
  <si>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</si>
  <si>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</si>
  <si>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</si>
  <si>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</si>
  <si>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</si>
  <si>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</si>
  <si>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</si>
  <si>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</si>
  <si>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</si>
  <si>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</si>
  <si>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</si>
  <si>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</si>
  <si>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</si>
  <si>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</si>
  <si>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</si>
  <si>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</si>
  <si>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</si>
  <si>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</si>
  <si>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</si>
  <si>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</si>
  <si>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</si>
  <si>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</si>
  <si>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</si>
  <si>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</si>
  <si>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</si>
  <si>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</si>
  <si>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</si>
  <si>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</si>
  <si>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</si>
  <si>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</si>
  <si>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</si>
  <si>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</si>
  <si>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</si>
  <si>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</si>
  <si>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</si>
  <si>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</si>
  <si>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</si>
  <si>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</si>
  <si>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</si>
  <si>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</si>
  <si>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</si>
  <si>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</si>
  <si>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</si>
  <si>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</si>
  <si>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</si>
  <si>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</si>
  <si>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</si>
  <si>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</si>
  <si>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</si>
  <si>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</si>
  <si>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</si>
  <si>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</si>
  <si>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</si>
  <si>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</si>
  <si>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</si>
  <si>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</si>
  <si>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</si>
  <si>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</si>
  <si>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</si>
  <si>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</si>
  <si>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</si>
  <si>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</si>
  <si>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</si>
  <si>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</si>
  <si>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</si>
  <si>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</si>
  <si>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</si>
  <si>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</si>
  <si>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</si>
  <si>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</si>
  <si>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</si>
  <si>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</si>
  <si>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</si>
  <si>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</si>
  <si>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</si>
  <si>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</si>
  <si>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</si>
  <si>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</si>
  <si>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</si>
  <si>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</si>
  <si>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</si>
  <si>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</si>
  <si>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</si>
  <si>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</si>
  <si>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</si>
  <si>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</si>
  <si>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</si>
  <si>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</si>
  <si>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</si>
  <si>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</si>
  <si>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</si>
  <si>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</si>
  <si>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</si>
  <si>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</si>
  <si>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</si>
  <si>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</si>
  <si>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</si>
  <si>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</si>
  <si>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</si>
  <si>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</si>
  <si>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</si>
  <si>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</si>
  <si>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</si>
  <si>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</si>
  <si>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</si>
  <si>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</si>
  <si>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</si>
  <si>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</si>
  <si>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</si>
  <si>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</si>
  <si>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</si>
  <si>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</si>
  <si>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</si>
  <si>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</si>
  <si>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</si>
  <si>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</si>
  <si>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</si>
  <si>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</si>
  <si>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</si>
  <si>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</si>
  <si>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</si>
  <si>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</si>
  <si>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</si>
  <si>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</si>
  <si>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</si>
  <si>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</si>
  <si>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</si>
  <si>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</si>
  <si>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</si>
  <si>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</si>
  <si>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</si>
  <si>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</si>
  <si>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</si>
  <si>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</si>
  <si>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</si>
  <si>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</si>
  <si>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</si>
  <si>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</si>
  <si>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</si>
  <si>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</si>
  <si>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</si>
  <si>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</si>
  <si>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</si>
  <si>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</si>
  <si>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</si>
  <si>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</si>
  <si>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</si>
  <si>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</si>
  <si>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</si>
  <si>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</si>
  <si>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</si>
  <si>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</si>
  <si>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</si>
  <si>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</si>
  <si>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</si>
  <si>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</si>
  <si>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</si>
  <si>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</si>
  <si>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</si>
  <si>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</si>
  <si>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</si>
  <si>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</si>
  <si>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</si>
  <si>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</si>
  <si>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</si>
  <si>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</si>
  <si>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</si>
  <si>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</si>
  <si>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</si>
  <si>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</si>
  <si>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</si>
  <si>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</si>
  <si>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</si>
  <si>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</si>
  <si>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</si>
  <si>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</si>
  <si>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</si>
  <si>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</si>
  <si>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</si>
  <si>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</si>
  <si>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</si>
  <si>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</si>
  <si>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</si>
  <si>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</si>
  <si>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</si>
  <si>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</si>
  <si>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</si>
  <si>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</si>
  <si>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</si>
  <si>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</si>
  <si>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</si>
  <si>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</si>
  <si>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</si>
  <si>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</si>
  <si>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</si>
  <si>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</si>
  <si>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</si>
  <si>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</si>
  <si>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</si>
  <si>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</si>
  <si>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</si>
  <si>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</si>
  <si>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</si>
  <si>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</si>
  <si>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</si>
  <si>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</si>
  <si>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</si>
  <si>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</si>
  <si>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</si>
  <si>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</si>
  <si>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</si>
  <si>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</si>
  <si>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</si>
  <si>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</si>
  <si>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</si>
  <si>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</si>
  <si>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</si>
  <si>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</si>
  <si>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</si>
  <si>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</si>
  <si>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</si>
  <si>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</si>
  <si>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</si>
  <si>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</si>
  <si>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</si>
  <si>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</si>
  <si>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</si>
  <si>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</si>
  <si>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</si>
  <si>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</si>
  <si>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</si>
  <si>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</si>
  <si>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</si>
  <si>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</si>
  <si>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</si>
  <si>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</si>
  <si>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</si>
  <si>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</si>
  <si>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</si>
  <si>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</si>
  <si>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</si>
  <si>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</si>
  <si>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</si>
  <si>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</si>
  <si>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</si>
  <si>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</si>
  <si>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</si>
  <si>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</si>
  <si>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</si>
  <si>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</si>
  <si>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</si>
  <si>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</si>
  <si>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</si>
  <si>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</si>
  <si>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</si>
  <si>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</si>
  <si>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</si>
  <si>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</si>
  <si>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</si>
  <si>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</si>
  <si>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</si>
  <si>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</si>
  <si>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</si>
  <si>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</si>
  <si>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</si>
  <si>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</si>
  <si>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</si>
  <si>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</si>
  <si>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</si>
  <si>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</si>
  <si>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</si>
  <si>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</si>
  <si>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</si>
  <si>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</si>
  <si>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</si>
  <si>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</si>
  <si>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</si>
  <si>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</si>
  <si>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</si>
  <si>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</si>
  <si>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</si>
  <si>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</si>
  <si>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</si>
  <si>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</si>
  <si>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</si>
  <si>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</si>
  <si>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</si>
  <si>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</si>
  <si>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</si>
  <si>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</si>
  <si>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</si>
  <si>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</si>
  <si>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</si>
  <si>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</si>
  <si>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</si>
  <si>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</si>
  <si>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</si>
  <si>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</si>
  <si>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</si>
  <si>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</si>
  <si>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</si>
  <si>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</si>
  <si>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</si>
  <si>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</si>
  <si>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</si>
  <si>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</si>
  <si>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</si>
  <si>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</si>
  <si>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</si>
  <si>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</si>
  <si>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</si>
  <si>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</si>
  <si>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</si>
  <si>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</si>
  <si>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</si>
  <si>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</si>
  <si>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</si>
  <si>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</si>
  <si>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</si>
  <si>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</si>
  <si>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</si>
  <si>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</si>
  <si>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</si>
  <si>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</si>
  <si>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</si>
  <si>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</si>
  <si>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</si>
  <si>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</si>
  <si>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</si>
  <si>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</si>
  <si>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</si>
  <si>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</si>
  <si>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</si>
  <si>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</si>
  <si>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</si>
  <si>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</si>
  <si>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</si>
  <si>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</si>
  <si>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</si>
  <si>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</si>
  <si>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</si>
  <si>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</si>
  <si>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</si>
  <si>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</si>
  <si>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</si>
  <si>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</si>
  <si>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</si>
  <si>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</si>
  <si>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</si>
  <si>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</si>
  <si>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</si>
  <si>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</si>
  <si>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</si>
  <si>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</si>
  <si>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</si>
  <si>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</si>
  <si>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</si>
  <si>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</si>
  <si>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</si>
  <si>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</si>
  <si>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</si>
  <si>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</si>
  <si>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</si>
  <si>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</si>
  <si>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</si>
  <si>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</si>
  <si>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</si>
  <si>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</si>
  <si>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</si>
  <si>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</si>
  <si>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</si>
  <si>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</si>
  <si>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</si>
  <si>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</si>
  <si>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</si>
  <si>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</si>
  <si>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</si>
  <si>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</si>
  <si>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</si>
  <si>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</si>
  <si>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</si>
  <si>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</si>
  <si>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</si>
  <si>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</si>
  <si>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</si>
  <si>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</si>
  <si>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</si>
  <si>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</si>
  <si>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</si>
  <si>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</si>
  <si>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</si>
  <si>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</si>
  <si>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</si>
  <si>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</si>
  <si>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</si>
  <si>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</si>
  <si>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</si>
  <si>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</si>
  <si>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</si>
  <si>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</si>
  <si>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</si>
  <si>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</si>
  <si>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</si>
  <si>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</si>
  <si>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</si>
  <si>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</si>
  <si>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</si>
  <si>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</si>
  <si>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</si>
  <si>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</si>
  <si>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</si>
  <si>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</si>
  <si>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</si>
  <si>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</si>
  <si>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</si>
  <si>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</si>
  <si>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</si>
  <si>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</si>
  <si>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</si>
  <si>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</si>
  <si>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</si>
  <si>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</si>
  <si>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</si>
  <si>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</si>
  <si>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</si>
  <si>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</si>
  <si>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</si>
  <si>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</si>
  <si>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</si>
  <si>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</si>
  <si>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</si>
  <si>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</si>
  <si>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</si>
  <si>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</si>
  <si>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</si>
  <si>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</si>
  <si>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</si>
  <si>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</si>
  <si>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</si>
  <si>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</si>
  <si>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</si>
  <si>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</si>
  <si>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</si>
  <si>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</si>
  <si>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</si>
  <si>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</si>
  <si>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</si>
  <si>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</si>
  <si>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</si>
  <si>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</si>
  <si>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</si>
  <si>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</si>
  <si>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</si>
  <si>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</si>
  <si>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</si>
  <si>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</si>
  <si>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</si>
  <si>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</si>
  <si>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</si>
  <si>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</si>
  <si>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</si>
  <si>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</si>
  <si>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</si>
  <si>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</si>
  <si>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</si>
  <si>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</si>
  <si>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</si>
  <si>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</si>
  <si>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</si>
  <si>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</si>
  <si>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</si>
  <si>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</si>
  <si>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</si>
  <si>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</si>
  <si>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</si>
  <si>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</si>
  <si>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</si>
  <si>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</si>
  <si>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</si>
  <si>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</si>
  <si>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</si>
  <si>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</si>
  <si>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</si>
  <si>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</si>
  <si>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</si>
  <si>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</si>
  <si>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</si>
  <si>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</si>
  <si>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</si>
  <si>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</si>
  <si>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</si>
  <si>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</si>
  <si>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</si>
  <si>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</si>
  <si>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</si>
  <si>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</si>
  <si>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</si>
  <si>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</si>
  <si>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</si>
  <si>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</si>
  <si>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</si>
  <si>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</si>
  <si>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</si>
  <si>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</si>
  <si>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</si>
  <si>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</si>
  <si>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</si>
  <si>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</si>
  <si>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</si>
  <si>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</si>
  <si>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</si>
  <si>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</si>
  <si>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</si>
  <si>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</si>
  <si>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</si>
  <si>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</si>
  <si>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</si>
  <si>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</si>
  <si>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</si>
  <si>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</si>
  <si>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</si>
  <si>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</si>
  <si>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</si>
  <si>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</si>
  <si>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</si>
  <si>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</si>
  <si>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</si>
  <si>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</si>
  <si>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</si>
  <si>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</si>
  <si>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</si>
  <si>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</si>
  <si>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</si>
  <si>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</si>
  <si>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</si>
  <si>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</si>
  <si>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</si>
  <si>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</si>
  <si>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</si>
  <si>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</si>
  <si>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</si>
  <si>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</si>
  <si>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</si>
  <si>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</si>
  <si>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</si>
  <si>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</si>
  <si>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</si>
  <si>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</si>
  <si>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</si>
  <si>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</si>
  <si>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</si>
  <si>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</si>
  <si>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</si>
  <si>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</si>
  <si>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</si>
  <si>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</si>
  <si>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</si>
  <si>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</si>
  <si>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</si>
  <si>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</si>
  <si>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</si>
  <si>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</si>
  <si>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</si>
  <si>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</si>
  <si>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</si>
  <si>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</si>
  <si>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</si>
  <si>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</si>
  <si>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</si>
  <si>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</si>
  <si>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</si>
  <si>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</si>
  <si>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</si>
  <si>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</si>
  <si>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</si>
  <si>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</si>
  <si>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</si>
  <si>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</si>
  <si>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</si>
  <si>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</si>
  <si>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</si>
  <si>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</si>
  <si>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</si>
  <si>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</si>
  <si>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</si>
  <si>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</si>
  <si>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</si>
  <si>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</si>
  <si>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</si>
  <si>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</si>
  <si>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</si>
  <si>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</si>
  <si>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</si>
  <si>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</si>
  <si>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</si>
  <si>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</si>
  <si>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</si>
  <si>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</si>
  <si>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</si>
  <si>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</si>
  <si>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</si>
  <si>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</si>
  <si>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</si>
  <si>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</si>
  <si>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</si>
  <si>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</si>
  <si>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</si>
  <si>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</si>
  <si>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</si>
  <si>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</si>
  <si>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</si>
  <si>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</si>
  <si>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</si>
  <si>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</si>
  <si>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</si>
  <si>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</si>
  <si>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</si>
  <si>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</si>
  <si>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</si>
  <si>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</si>
  <si>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</si>
  <si>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</si>
  <si>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</si>
  <si>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</si>
  <si>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</si>
  <si>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</si>
  <si>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</si>
  <si>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</si>
  <si>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</si>
  <si>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</si>
  <si>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</si>
  <si>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</si>
  <si>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</si>
  <si>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</si>
  <si>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</si>
  <si>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</si>
  <si>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</si>
  <si>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</si>
  <si>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</si>
  <si>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</si>
  <si>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</si>
  <si>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</si>
  <si>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</si>
  <si>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</si>
  <si>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</si>
  <si>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</si>
  <si>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</si>
  <si>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</si>
  <si>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</si>
  <si>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</si>
  <si>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</si>
  <si>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</si>
  <si>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</si>
  <si>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</si>
  <si>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</si>
  <si>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</si>
  <si>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</si>
  <si>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</si>
  <si>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</si>
  <si>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</si>
  <si>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</si>
  <si>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</si>
  <si>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</si>
  <si>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</si>
  <si>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</si>
  <si>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</si>
  <si>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</si>
  <si>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</si>
  <si>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</si>
  <si>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</si>
  <si>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</si>
  <si>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</si>
  <si>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</si>
  <si>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</si>
  <si>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</si>
  <si>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</si>
  <si>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</si>
  <si>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</si>
  <si>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</si>
  <si>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</si>
  <si>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</si>
  <si>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</si>
  <si>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</si>
  <si>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</si>
  <si>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</si>
  <si>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</si>
  <si>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</si>
  <si>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</si>
  <si>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</si>
  <si>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</si>
  <si>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</si>
  <si>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</si>
  <si>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</si>
  <si>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</si>
  <si>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</si>
  <si>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</si>
  <si>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</si>
  <si>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</si>
  <si>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</si>
  <si>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</si>
  <si>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</si>
  <si>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</si>
  <si>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</si>
  <si>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</si>
  <si>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</si>
  <si>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</si>
  <si>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</si>
  <si>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</si>
  <si>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</si>
  <si>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</si>
  <si>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</si>
  <si>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</si>
  <si>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</si>
  <si>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</si>
  <si>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</si>
  <si>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</si>
  <si>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</si>
  <si>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</si>
  <si>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</si>
  <si>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</si>
  <si>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</si>
  <si>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</si>
  <si>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</si>
  <si>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</si>
  <si>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</si>
  <si>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</si>
  <si>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</si>
  <si>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</si>
  <si>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</si>
  <si>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</si>
  <si>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</si>
  <si>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</si>
  <si>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</si>
  <si>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</si>
  <si>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</si>
  <si>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</si>
  <si>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</si>
  <si>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</si>
  <si>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</si>
  <si>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</si>
  <si>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</si>
  <si>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</si>
  <si>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</si>
  <si>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</si>
  <si>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</si>
  <si>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</si>
  <si>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</si>
  <si>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</si>
  <si>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</si>
  <si>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</si>
  <si>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</si>
  <si>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</si>
  <si>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</si>
  <si>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</si>
  <si>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</si>
  <si>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</si>
  <si>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</si>
  <si>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</si>
  <si>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</si>
  <si>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</si>
  <si>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</si>
  <si>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</si>
  <si>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</si>
  <si>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</si>
  <si>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</si>
  <si>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</si>
  <si>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</si>
  <si>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</si>
  <si>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</si>
  <si>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</si>
  <si>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</si>
  <si>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</si>
  <si>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</si>
  <si>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</si>
  <si>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</si>
  <si>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</si>
  <si>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</si>
  <si>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</si>
  <si>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</si>
  <si>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</si>
  <si>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</si>
  <si>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</si>
  <si>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</si>
  <si>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</si>
  <si>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</si>
  <si>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</si>
  <si>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</si>
  <si>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</si>
  <si>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</si>
  <si>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</si>
  <si>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</si>
  <si>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</si>
  <si>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</si>
  <si>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</si>
  <si>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</si>
  <si>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</si>
  <si>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</si>
  <si>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</si>
  <si>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</si>
  <si>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</si>
  <si>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</si>
  <si>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</si>
  <si>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</si>
  <si>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</si>
  <si>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</si>
  <si>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</si>
  <si>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</si>
  <si>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</si>
  <si>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</si>
  <si>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</si>
  <si>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</si>
  <si>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</si>
  <si>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</si>
  <si>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</si>
  <si>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</si>
  <si>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</si>
  <si>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</si>
  <si>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</si>
  <si>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</si>
  <si>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</si>
  <si>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</si>
  <si>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</si>
  <si>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</si>
  <si>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</si>
  <si>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</si>
  <si>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</si>
  <si>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</si>
  <si>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</si>
  <si>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</si>
  <si>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</si>
  <si>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</si>
  <si>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</si>
  <si>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</si>
  <si>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</si>
  <si>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</si>
  <si>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</si>
  <si>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</si>
  <si>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</si>
  <si>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</si>
  <si>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</si>
  <si>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</si>
  <si>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</si>
  <si>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</si>
  <si>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</si>
  <si>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</si>
  <si>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</si>
  <si>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</si>
  <si>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</si>
  <si>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</si>
  <si>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</si>
  <si>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</si>
  <si>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</si>
  <si>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</si>
  <si>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</si>
  <si>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</si>
  <si>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</si>
  <si>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</si>
  <si>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</si>
  <si>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</si>
  <si>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</si>
  <si>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</si>
  <si>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</si>
  <si>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</si>
  <si>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</si>
  <si>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</si>
  <si>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</si>
  <si>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</si>
  <si>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</si>
  <si>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</si>
  <si>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</si>
  <si>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</si>
  <si>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</si>
  <si>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</si>
  <si>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</si>
  <si>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</si>
  <si>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</si>
  <si>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</si>
  <si>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</si>
  <si>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</si>
  <si>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</si>
  <si>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</si>
  <si>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</si>
  <si>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</si>
  <si>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</si>
  <si>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</si>
  <si>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</si>
  <si>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</si>
  <si>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</si>
  <si>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</si>
  <si>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</si>
  <si>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</si>
  <si>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</si>
  <si>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</si>
  <si>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</si>
  <si>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</si>
  <si>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</si>
  <si>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</si>
  <si>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</si>
  <si>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</si>
  <si>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</si>
  <si>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</si>
  <si>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</si>
  <si>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</si>
  <si>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</si>
  <si>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</si>
  <si>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</si>
  <si>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</si>
  <si>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</si>
  <si>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</si>
  <si>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</si>
  <si>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</si>
  <si>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</si>
  <si>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</si>
  <si>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</si>
  <si>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</si>
  <si>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</si>
  <si>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</si>
  <si>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</si>
  <si>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</si>
  <si>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</si>
  <si>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</si>
  <si>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</si>
  <si>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</si>
  <si>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</si>
  <si>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</si>
  <si>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</si>
  <si>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</si>
  <si>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</si>
  <si>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</si>
  <si>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</si>
  <si>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</si>
  <si>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</si>
  <si>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</si>
  <si>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</si>
  <si>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</si>
  <si>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</si>
  <si>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</si>
  <si>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</si>
  <si>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</si>
  <si>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</si>
  <si>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</si>
  <si>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</si>
  <si>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</si>
  <si>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</si>
  <si>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</si>
  <si>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</si>
  <si>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</si>
  <si>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</si>
  <si>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</si>
  <si>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</si>
  <si>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</si>
  <si>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</si>
  <si>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</si>
  <si>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</si>
  <si>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</si>
  <si>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</si>
  <si>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</si>
  <si>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</si>
  <si>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</si>
  <si>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</si>
  <si>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</si>
  <si>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</si>
  <si>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</si>
  <si>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</si>
  <si>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</si>
  <si>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</si>
  <si>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</si>
  <si>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</si>
  <si>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</si>
  <si>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</si>
  <si>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</si>
  <si>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</si>
  <si>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</si>
  <si>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</si>
  <si>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</si>
  <si>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</si>
  <si>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</si>
  <si>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</si>
  <si>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</si>
  <si>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</si>
  <si>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</si>
  <si>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</si>
  <si>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</si>
  <si>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</si>
  <si>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</si>
  <si>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</si>
  <si>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</si>
  <si>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</si>
  <si>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</si>
  <si>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</si>
  <si>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</si>
  <si>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</si>
  <si>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</si>
  <si>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</si>
  <si>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</si>
  <si>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</si>
  <si>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</si>
  <si>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</si>
  <si>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</si>
  <si>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</si>
  <si>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</si>
  <si>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</si>
  <si>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</si>
  <si>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</si>
  <si>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</si>
  <si>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</si>
  <si>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</si>
  <si>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</si>
  <si>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</si>
  <si>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</si>
  <si>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</si>
  <si>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</si>
  <si>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</si>
  <si>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</si>
  <si>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</si>
  <si>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</si>
  <si>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</si>
  <si>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</si>
  <si>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</si>
  <si>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</si>
  <si>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</si>
  <si>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</si>
  <si>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</si>
  <si>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</si>
  <si>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</si>
  <si>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</si>
  <si>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</si>
  <si>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</si>
  <si>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</si>
  <si>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</si>
  <si>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</si>
  <si>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</si>
  <si>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</si>
  <si>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</si>
  <si>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</si>
  <si>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</si>
  <si>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</si>
  <si>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</si>
  <si>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</si>
  <si>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</si>
  <si>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</si>
  <si>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</si>
  <si>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业务编号：</t>
  </si>
  <si>
    <t>2015111603468</t>
  </si>
  <si>
    <t>:ID[4003]</t>
  </si>
  <si>
    <t>申请编号：</t>
  </si>
  <si>
    <t>6082257476</t>
  </si>
  <si>
    <t>受理编号：</t>
  </si>
  <si>
    <t/>
  </si>
  <si>
    <t>受理时间：</t>
  </si>
  <si>
    <t>2015-11-16 14:46:51</t>
  </si>
  <si>
    <t>竣工
日期</t>
  </si>
  <si>
    <t>层数</t>
  </si>
  <si>
    <t>户型或间数</t>
  </si>
  <si>
    <t>建筑面积 （平方米）</t>
  </si>
  <si>
    <t>套内面积 （平方米）</t>
  </si>
  <si>
    <t>房屋坐落</t>
  </si>
  <si>
    <t>幢号</t>
  </si>
  <si>
    <t>房号</t>
  </si>
  <si>
    <t>结构</t>
  </si>
  <si>
    <t>地上</t>
  </si>
  <si>
    <t>所在</t>
  </si>
  <si>
    <t>房屋规</t>
  </si>
  <si>
    <t>房屋使</t>
  </si>
  <si>
    <t>地下</t>
  </si>
  <si>
    <t>划用途</t>
  </si>
  <si>
    <t>用用途</t>
  </si>
  <si>
    <t>A栋</t>
  </si>
  <si>
    <t>111</t>
  </si>
  <si>
    <t>钢筋混凝土结构</t>
  </si>
  <si>
    <t>21/2</t>
  </si>
  <si>
    <t>1</t>
  </si>
  <si>
    <t>公寓</t>
  </si>
  <si>
    <t>住宅</t>
  </si>
  <si>
    <t>其它</t>
  </si>
  <si>
    <t>361.04</t>
  </si>
  <si>
    <t>朝阳区酒仙桥路2号A栋1层111</t>
  </si>
  <si>
    <t>112</t>
  </si>
  <si>
    <t>104.46</t>
  </si>
  <si>
    <t>朝阳区酒仙桥路2号A栋1层112</t>
  </si>
  <si>
    <t>211</t>
  </si>
  <si>
    <t>2</t>
  </si>
  <si>
    <t>二室一厅</t>
  </si>
  <si>
    <t>104.82</t>
  </si>
  <si>
    <t>朝阳区酒仙桥路2号A栋2层211</t>
  </si>
  <si>
    <t>212</t>
  </si>
  <si>
    <t>102.23</t>
  </si>
  <si>
    <t>朝阳区酒仙桥路2号A栋2层212</t>
  </si>
  <si>
    <t>213</t>
  </si>
  <si>
    <t>116.78</t>
  </si>
  <si>
    <t>朝阳区酒仙桥路2号A栋2层213</t>
  </si>
  <si>
    <t>214</t>
  </si>
  <si>
    <t>102.78</t>
  </si>
  <si>
    <t>朝阳区酒仙桥路2号A栋2层214</t>
  </si>
  <si>
    <t>215</t>
  </si>
  <si>
    <t>一室一厅</t>
  </si>
  <si>
    <t>73.89</t>
  </si>
  <si>
    <t>朝阳区酒仙桥路2号A栋2层215</t>
  </si>
  <si>
    <t>216</t>
  </si>
  <si>
    <t>66.81</t>
  </si>
  <si>
    <t>朝阳区酒仙桥路2号A栋2层216</t>
  </si>
  <si>
    <t>311</t>
  </si>
  <si>
    <t>3</t>
  </si>
  <si>
    <t>朝阳区酒仙桥路2号A栋3层311</t>
  </si>
  <si>
    <t>312</t>
  </si>
  <si>
    <t>朝阳区酒仙桥路2号A栋3层312</t>
  </si>
  <si>
    <t>313</t>
  </si>
  <si>
    <t>朝阳区酒仙桥路2号A栋3层313</t>
  </si>
  <si>
    <t>314</t>
  </si>
  <si>
    <t>朝阳区酒仙桥路2号A栋3层314</t>
  </si>
  <si>
    <t>315</t>
  </si>
  <si>
    <t>朝阳区酒仙桥路2号A栋3层315</t>
  </si>
  <si>
    <t>316</t>
  </si>
  <si>
    <t>朝阳区酒仙桥路2号A栋3层316</t>
  </si>
  <si>
    <t>411</t>
  </si>
  <si>
    <t>4</t>
  </si>
  <si>
    <t>朝阳区酒仙桥路2号A栋4层411</t>
  </si>
  <si>
    <t>412</t>
  </si>
  <si>
    <t>朝阳区酒仙桥路2号A栋4层412</t>
  </si>
  <si>
    <t>413</t>
  </si>
  <si>
    <t>朝阳区酒仙桥路2号A栋4层413</t>
  </si>
  <si>
    <t>414</t>
  </si>
  <si>
    <t>朝阳区酒仙桥路2号A栋4层414</t>
  </si>
  <si>
    <t>415</t>
  </si>
  <si>
    <t>朝阳区酒仙桥路2号A栋4层415</t>
  </si>
  <si>
    <t>416</t>
  </si>
  <si>
    <t>朝阳区酒仙桥路2号A栋4层416</t>
  </si>
  <si>
    <t>511</t>
  </si>
  <si>
    <t>5</t>
  </si>
  <si>
    <t>朝阳区酒仙桥路2号A栋5层511</t>
  </si>
  <si>
    <t>512</t>
  </si>
  <si>
    <t>朝阳区酒仙桥路2号A栋5层512</t>
  </si>
  <si>
    <t>513</t>
  </si>
  <si>
    <t>朝阳区酒仙桥路2号A栋5层513</t>
  </si>
  <si>
    <t>514</t>
  </si>
  <si>
    <t>朝阳区酒仙桥路2号A栋5层514</t>
  </si>
  <si>
    <t>515</t>
  </si>
  <si>
    <t>朝阳区酒仙桥路2号A栋5层515</t>
  </si>
  <si>
    <t>516</t>
  </si>
  <si>
    <t>朝阳区酒仙桥路2号A栋5层516</t>
  </si>
  <si>
    <t>611</t>
  </si>
  <si>
    <t>6</t>
  </si>
  <si>
    <t>朝阳区酒仙桥路2号A栋6层611</t>
  </si>
  <si>
    <t>612</t>
  </si>
  <si>
    <t>朝阳区酒仙桥路2号A栋6层612</t>
  </si>
  <si>
    <t>613</t>
  </si>
  <si>
    <t>朝阳区酒仙桥路2号A栋6层613</t>
  </si>
  <si>
    <t>614</t>
  </si>
  <si>
    <t>朝阳区酒仙桥路2号A栋6层614</t>
  </si>
  <si>
    <t>615</t>
  </si>
  <si>
    <t>朝阳区酒仙桥路2号A栋6层615</t>
  </si>
  <si>
    <t>616</t>
  </si>
  <si>
    <t>朝阳区酒仙桥路2号A栋6层616</t>
  </si>
  <si>
    <t>711</t>
  </si>
  <si>
    <t>7</t>
  </si>
  <si>
    <t>朝阳区酒仙桥路2号A栋7层711</t>
  </si>
  <si>
    <t>712</t>
  </si>
  <si>
    <t>朝阳区酒仙桥路2号A栋7层712</t>
  </si>
  <si>
    <t>713</t>
  </si>
  <si>
    <t>三室一厅</t>
  </si>
  <si>
    <t>128.98</t>
  </si>
  <si>
    <t>朝阳区酒仙桥路2号A栋7层713</t>
  </si>
  <si>
    <t>714</t>
  </si>
  <si>
    <t>89.88</t>
  </si>
  <si>
    <t>朝阳区酒仙桥路2号A栋7层714</t>
  </si>
  <si>
    <t>715</t>
  </si>
  <si>
    <t>97.52</t>
  </si>
  <si>
    <t>朝阳区酒仙桥路2号A栋7层715</t>
  </si>
  <si>
    <t>811</t>
  </si>
  <si>
    <t>8</t>
  </si>
  <si>
    <t>朝阳区酒仙桥路2号A栋8层811</t>
  </si>
  <si>
    <t>812</t>
  </si>
  <si>
    <t>朝阳区酒仙桥路2号A栋8层812</t>
  </si>
  <si>
    <t>813</t>
  </si>
  <si>
    <t>朝阳区酒仙桥路2号A栋8层813</t>
  </si>
  <si>
    <t>814</t>
  </si>
  <si>
    <t>朝阳区酒仙桥路2号A栋8层814</t>
  </si>
  <si>
    <t>815</t>
  </si>
  <si>
    <t>朝阳区酒仙桥路2号A栋8层815</t>
  </si>
  <si>
    <t>911</t>
  </si>
  <si>
    <t>9</t>
  </si>
  <si>
    <t>朝阳区酒仙桥路2号A栋9层911</t>
  </si>
  <si>
    <t>912</t>
  </si>
  <si>
    <t>朝阳区酒仙桥路2号A栋9层912</t>
  </si>
  <si>
    <t>913</t>
  </si>
  <si>
    <t>朝阳区酒仙桥路2号A栋9层913</t>
  </si>
  <si>
    <t>914</t>
  </si>
  <si>
    <t>朝阳区酒仙桥路2号A栋9层914</t>
  </si>
  <si>
    <t>915</t>
  </si>
  <si>
    <t>朝阳区酒仙桥路2号A栋9层915</t>
  </si>
  <si>
    <t>1011</t>
  </si>
  <si>
    <t>10</t>
  </si>
  <si>
    <t>朝阳区酒仙桥路2号A栋10层1011</t>
  </si>
  <si>
    <t>1012</t>
  </si>
  <si>
    <t>朝阳区酒仙桥路2号A栋10层1012</t>
  </si>
  <si>
    <t>1013</t>
  </si>
  <si>
    <t>朝阳区酒仙桥路2号A栋10层1013</t>
  </si>
  <si>
    <t>1014</t>
  </si>
  <si>
    <t>朝阳区酒仙桥路2号A栋10层1014</t>
  </si>
  <si>
    <t>1015</t>
  </si>
  <si>
    <t>朝阳区酒仙桥路2号A栋10层1015</t>
  </si>
  <si>
    <t>1111</t>
  </si>
  <si>
    <t>11</t>
  </si>
  <si>
    <t>朝阳区酒仙桥路2号A栋11层1111</t>
  </si>
  <si>
    <t>1112</t>
  </si>
  <si>
    <t>朝阳区酒仙桥路2号A栋11层1112</t>
  </si>
  <si>
    <t>1113</t>
  </si>
  <si>
    <t>朝阳区酒仙桥路2号A栋11层1113</t>
  </si>
  <si>
    <t>1114</t>
  </si>
  <si>
    <t>朝阳区酒仙桥路2号A栋11层1114</t>
  </si>
  <si>
    <t>1115</t>
  </si>
  <si>
    <t>朝阳区酒仙桥路2号A栋11层1115</t>
  </si>
  <si>
    <t>1211</t>
  </si>
  <si>
    <t>12</t>
  </si>
  <si>
    <t>朝阳区酒仙桥路2号A栋12层1211</t>
  </si>
  <si>
    <t>1212</t>
  </si>
  <si>
    <t>朝阳区酒仙桥路2号A栋12层1212</t>
  </si>
  <si>
    <t>1213</t>
  </si>
  <si>
    <t>朝阳区酒仙桥路2号A栋12层1213</t>
  </si>
  <si>
    <t>1214</t>
  </si>
  <si>
    <t>朝阳区酒仙桥路2号A栋12层1214</t>
  </si>
  <si>
    <t>1215</t>
  </si>
  <si>
    <t>朝阳区酒仙桥路2号A栋12层1215</t>
  </si>
  <si>
    <t>1311</t>
  </si>
  <si>
    <t>13</t>
  </si>
  <si>
    <t>朝阳区酒仙桥路2号A栋13层1311</t>
  </si>
  <si>
    <t>1312</t>
  </si>
  <si>
    <t>朝阳区酒仙桥路2号A栋13层1312</t>
  </si>
  <si>
    <t>1313</t>
  </si>
  <si>
    <t>朝阳区酒仙桥路2号A栋13层1313</t>
  </si>
  <si>
    <t>1314</t>
  </si>
  <si>
    <t>朝阳区酒仙桥路2号A栋13层1314</t>
  </si>
  <si>
    <t>1315</t>
  </si>
  <si>
    <t>朝阳区酒仙桥路2号A栋13层1315</t>
  </si>
  <si>
    <t>1411</t>
  </si>
  <si>
    <t>14</t>
  </si>
  <si>
    <t>朝阳区酒仙桥路2号A栋14层1411</t>
  </si>
  <si>
    <t>1412</t>
  </si>
  <si>
    <t>朝阳区酒仙桥路2号A栋14层1412</t>
  </si>
  <si>
    <t>1413</t>
  </si>
  <si>
    <t>朝阳区酒仙桥路2号A栋14层1413</t>
  </si>
  <si>
    <t>1414</t>
  </si>
  <si>
    <t>朝阳区酒仙桥路2号A栋14层1414</t>
  </si>
  <si>
    <t>1415</t>
  </si>
  <si>
    <t>朝阳区酒仙桥路2号A栋14层1415</t>
  </si>
  <si>
    <t>1511</t>
  </si>
  <si>
    <t>15</t>
  </si>
  <si>
    <t>朝阳区酒仙桥路2号A栋15层1511</t>
  </si>
  <si>
    <t>1512</t>
  </si>
  <si>
    <t>朝阳区酒仙桥路2号A栋15层1512</t>
  </si>
  <si>
    <t>1513</t>
  </si>
  <si>
    <t>朝阳区酒仙桥路2号A栋15层1513</t>
  </si>
  <si>
    <t>1514</t>
  </si>
  <si>
    <t>朝阳区酒仙桥路2号A栋15层1514</t>
  </si>
  <si>
    <t>1515</t>
  </si>
  <si>
    <t>朝阳区酒仙桥路2号A栋15层1515</t>
  </si>
  <si>
    <t>1611</t>
  </si>
  <si>
    <t>16</t>
  </si>
  <si>
    <t>朝阳区酒仙桥路2号A栋16层1611</t>
  </si>
  <si>
    <t>1612</t>
  </si>
  <si>
    <t>朝阳区酒仙桥路2号A栋16层1612</t>
  </si>
  <si>
    <t>1613</t>
  </si>
  <si>
    <t>朝阳区酒仙桥路2号A栋16层1613</t>
  </si>
  <si>
    <t>1614</t>
  </si>
  <si>
    <t>朝阳区酒仙桥路2号A栋16层1614</t>
  </si>
  <si>
    <t>1615</t>
  </si>
  <si>
    <t>朝阳区酒仙桥路2号A栋16层1615</t>
  </si>
  <si>
    <t>1711</t>
  </si>
  <si>
    <t>17</t>
  </si>
  <si>
    <t>朝阳区酒仙桥路2号A栋17层1711</t>
  </si>
  <si>
    <t>1712</t>
  </si>
  <si>
    <t>朝阳区酒仙桥路2号A栋17层1712</t>
  </si>
  <si>
    <t>1713</t>
  </si>
  <si>
    <t>朝阳区酒仙桥路2号A栋17层1713</t>
  </si>
  <si>
    <t>1714</t>
  </si>
  <si>
    <t>朝阳区酒仙桥路2号A栋17层1714</t>
  </si>
  <si>
    <t>1715</t>
  </si>
  <si>
    <t>朝阳区酒仙桥路2号A栋17层1715</t>
  </si>
  <si>
    <t>1811</t>
  </si>
  <si>
    <t>18</t>
  </si>
  <si>
    <t>朝阳区酒仙桥路2号A栋18层1811</t>
  </si>
  <si>
    <t>1812</t>
  </si>
  <si>
    <t>朝阳区酒仙桥路2号A栋18层1812</t>
  </si>
  <si>
    <t>1813</t>
  </si>
  <si>
    <t>朝阳区酒仙桥路2号A栋18层1813</t>
  </si>
  <si>
    <t>1814</t>
  </si>
  <si>
    <t>朝阳区酒仙桥路2号A栋18层1814</t>
  </si>
  <si>
    <t>1815</t>
  </si>
  <si>
    <t>朝阳区酒仙桥路2号A栋18层1815</t>
  </si>
  <si>
    <t>1911</t>
  </si>
  <si>
    <t>19</t>
  </si>
  <si>
    <t>朝阳区酒仙桥路2号A栋19层1911</t>
  </si>
  <si>
    <t>1912</t>
  </si>
  <si>
    <t>朝阳区酒仙桥路2号A栋19层1912</t>
  </si>
  <si>
    <t>1913</t>
  </si>
  <si>
    <t>朝阳区酒仙桥路2号A栋19层1913</t>
  </si>
  <si>
    <t>1914</t>
  </si>
  <si>
    <t>朝阳区酒仙桥路2号A栋19层1914</t>
  </si>
  <si>
    <t>1915</t>
  </si>
  <si>
    <t>朝阳区酒仙桥路2号A栋19层1915</t>
  </si>
  <si>
    <t>2011</t>
  </si>
  <si>
    <t>20</t>
  </si>
  <si>
    <t>朝阳区酒仙桥路2号A栋20层2011</t>
  </si>
  <si>
    <t>2012</t>
  </si>
  <si>
    <t>朝阳区酒仙桥路2号A栋20层2012</t>
  </si>
  <si>
    <t>2013</t>
  </si>
  <si>
    <t>朝阳区酒仙桥路2号A栋20层2013</t>
  </si>
  <si>
    <t>2014</t>
  </si>
  <si>
    <t>朝阳区酒仙桥路2号A栋20层2014</t>
  </si>
  <si>
    <t>2015</t>
  </si>
  <si>
    <t>朝阳区酒仙桥路2号A栋20层2015</t>
  </si>
  <si>
    <t>2111</t>
  </si>
  <si>
    <t>21</t>
  </si>
  <si>
    <t>147.97</t>
  </si>
  <si>
    <t>朝阳区酒仙桥路2号A栋21层2111</t>
  </si>
  <si>
    <t>2112</t>
  </si>
  <si>
    <t>148.79</t>
  </si>
  <si>
    <t>朝阳区酒仙桥路2号A栋21层2112</t>
  </si>
  <si>
    <t>2113</t>
  </si>
  <si>
    <t>156.97</t>
  </si>
  <si>
    <t>朝阳区酒仙桥路2号A栋21层2113</t>
  </si>
  <si>
    <t>地下一层</t>
  </si>
  <si>
    <t>-1</t>
  </si>
  <si>
    <t xml:space="preserve">   </t>
  </si>
  <si>
    <t>朝阳区酒仙桥路2号A栋-1层地下一层</t>
  </si>
  <si>
    <t>B栋</t>
  </si>
  <si>
    <t>221</t>
  </si>
  <si>
    <t>朝阳区酒仙桥路2号B栋2层221</t>
  </si>
  <si>
    <t>222</t>
  </si>
  <si>
    <t>朝阳区酒仙桥路2号B栋2层222</t>
  </si>
  <si>
    <t>223</t>
  </si>
  <si>
    <t>朝阳区酒仙桥路2号B栋2层223</t>
  </si>
  <si>
    <t>224</t>
  </si>
  <si>
    <t>朝阳区酒仙桥路2号B栋2层224</t>
  </si>
  <si>
    <t>225</t>
  </si>
  <si>
    <t>朝阳区酒仙桥路2号B栋2层225</t>
  </si>
  <si>
    <t>226</t>
  </si>
  <si>
    <t>朝阳区酒仙桥路2号B栋2层226</t>
  </si>
  <si>
    <t>321</t>
  </si>
  <si>
    <t>朝阳区酒仙桥路2号B栋3层321</t>
  </si>
  <si>
    <t>322</t>
  </si>
  <si>
    <t>朝阳区酒仙桥路2号B栋3层322</t>
  </si>
  <si>
    <t>323</t>
  </si>
  <si>
    <t>朝阳区酒仙桥路2号B栋3层323</t>
  </si>
  <si>
    <t>324</t>
  </si>
  <si>
    <t>朝阳区酒仙桥路2号B栋3层324</t>
  </si>
  <si>
    <t>325</t>
  </si>
  <si>
    <t>朝阳区酒仙桥路2号B栋3层325</t>
  </si>
  <si>
    <t>326</t>
  </si>
  <si>
    <t>朝阳区酒仙桥路2号B栋3层326</t>
  </si>
  <si>
    <t>421</t>
  </si>
  <si>
    <t>朝阳区酒仙桥路2号B栋4层421</t>
  </si>
  <si>
    <t>422</t>
  </si>
  <si>
    <t>朝阳区酒仙桥路2号B栋4层422</t>
  </si>
  <si>
    <t>423</t>
  </si>
  <si>
    <t>朝阳区酒仙桥路2号B栋4层423</t>
  </si>
  <si>
    <t>424</t>
  </si>
  <si>
    <t>朝阳区酒仙桥路2号B栋4层424</t>
  </si>
  <si>
    <t>425</t>
  </si>
  <si>
    <t>朝阳区酒仙桥路2号B栋4层425</t>
  </si>
  <si>
    <t>426</t>
  </si>
  <si>
    <t>朝阳区酒仙桥路2号B栋4层426</t>
  </si>
  <si>
    <t>521</t>
  </si>
  <si>
    <t>朝阳区酒仙桥路2号B栋5层521</t>
  </si>
  <si>
    <t>522</t>
  </si>
  <si>
    <t>朝阳区酒仙桥路2号B栋5层522</t>
  </si>
  <si>
    <t>523</t>
  </si>
  <si>
    <t>朝阳区酒仙桥路2号B栋5层523</t>
  </si>
  <si>
    <t>524</t>
  </si>
  <si>
    <t>朝阳区酒仙桥路2号B栋5层524</t>
  </si>
  <si>
    <t>525</t>
  </si>
  <si>
    <t>朝阳区酒仙桥路2号B栋5层525</t>
  </si>
  <si>
    <t>526</t>
  </si>
  <si>
    <t>朝阳区酒仙桥路2号B栋5层526</t>
  </si>
  <si>
    <t>621</t>
  </si>
  <si>
    <t>朝阳区酒仙桥路2号B栋6层621</t>
  </si>
  <si>
    <t>622</t>
  </si>
  <si>
    <t>朝阳区酒仙桥路2号B栋6层622</t>
  </si>
  <si>
    <t>623</t>
  </si>
  <si>
    <t>朝阳区酒仙桥路2号B栋6层623</t>
  </si>
  <si>
    <t>624</t>
  </si>
  <si>
    <t>朝阳区酒仙桥路2号B栋6层624</t>
  </si>
  <si>
    <t>626</t>
  </si>
  <si>
    <t>朝阳区酒仙桥路2号B栋6层626</t>
  </si>
  <si>
    <t>721</t>
  </si>
  <si>
    <t>朝阳区酒仙桥路2号B栋7层721</t>
  </si>
  <si>
    <t>722</t>
  </si>
  <si>
    <t>朝阳区酒仙桥路2号B栋7层722</t>
  </si>
  <si>
    <t>723</t>
  </si>
  <si>
    <t>朝阳区酒仙桥路2号B栋7层723</t>
  </si>
  <si>
    <t>724</t>
  </si>
  <si>
    <t>朝阳区酒仙桥路2号B栋7层724</t>
  </si>
  <si>
    <t>725</t>
  </si>
  <si>
    <t>朝阳区酒仙桥路2号B栋7层725</t>
  </si>
  <si>
    <t>821</t>
  </si>
  <si>
    <t>朝阳区酒仙桥路2号B栋8层821</t>
  </si>
  <si>
    <t>822</t>
  </si>
  <si>
    <t>朝阳区酒仙桥路2号B栋8层822</t>
  </si>
  <si>
    <t>824</t>
  </si>
  <si>
    <t>朝阳区酒仙桥路2号B栋8层824</t>
  </si>
  <si>
    <t>825</t>
  </si>
  <si>
    <t>朝阳区酒仙桥路2号B栋8层825</t>
  </si>
  <si>
    <t>921</t>
  </si>
  <si>
    <t>朝阳区酒仙桥路2号B栋9层921</t>
  </si>
  <si>
    <t>922</t>
  </si>
  <si>
    <t>朝阳区酒仙桥路2号B栋9层922</t>
  </si>
  <si>
    <t>923</t>
  </si>
  <si>
    <t>朝阳区酒仙桥路2号B栋9层923</t>
  </si>
  <si>
    <t>924</t>
  </si>
  <si>
    <t>朝阳区酒仙桥路2号B栋9层924</t>
  </si>
  <si>
    <t>925</t>
  </si>
  <si>
    <t>朝阳区酒仙桥路2号B栋9层925</t>
  </si>
  <si>
    <t>1021</t>
  </si>
  <si>
    <t>朝阳区酒仙桥路2号B栋10层1021</t>
  </si>
  <si>
    <t>1022</t>
  </si>
  <si>
    <t>朝阳区酒仙桥路2号B栋10层1022</t>
  </si>
  <si>
    <t>1023</t>
  </si>
  <si>
    <t>朝阳区酒仙桥路2号B栋10层1023</t>
  </si>
  <si>
    <t>1024</t>
  </si>
  <si>
    <t>朝阳区酒仙桥路2号B栋10层1024</t>
  </si>
  <si>
    <t>1025</t>
  </si>
  <si>
    <t>朝阳区酒仙桥路2号B栋10层1025</t>
  </si>
  <si>
    <t>1121</t>
  </si>
  <si>
    <t>朝阳区酒仙桥路2号B栋11层1121</t>
  </si>
  <si>
    <t>1122</t>
  </si>
  <si>
    <t>朝阳区酒仙桥路2号B栋11层1122</t>
  </si>
  <si>
    <t>1124</t>
  </si>
  <si>
    <t>朝阳区酒仙桥路2号B栋11层1124</t>
  </si>
  <si>
    <t>1125</t>
  </si>
  <si>
    <t>朝阳区酒仙桥路2号B栋11层1125</t>
  </si>
  <si>
    <t>1221</t>
  </si>
  <si>
    <t>朝阳区酒仙桥路2号B栋12层1221</t>
  </si>
  <si>
    <t>1222</t>
  </si>
  <si>
    <t>朝阳区酒仙桥路2号B栋12层1222</t>
  </si>
  <si>
    <t>1223</t>
  </si>
  <si>
    <t>朝阳区酒仙桥路2号B栋12层1223</t>
  </si>
  <si>
    <t>1224</t>
  </si>
  <si>
    <t>朝阳区酒仙桥路2号B栋12层1224</t>
  </si>
  <si>
    <t>1225</t>
  </si>
  <si>
    <t>朝阳区酒仙桥路2号B栋12层1225</t>
  </si>
  <si>
    <t>1321</t>
  </si>
  <si>
    <t>朝阳区酒仙桥路2号B栋13层1321</t>
  </si>
  <si>
    <t>1322</t>
  </si>
  <si>
    <t>朝阳区酒仙桥路2号B栋13层1322</t>
  </si>
  <si>
    <t>1323</t>
  </si>
  <si>
    <t>朝阳区酒仙桥路2号B栋13层1323</t>
  </si>
  <si>
    <t>1324</t>
  </si>
  <si>
    <t>朝阳区酒仙桥路2号B栋13层1324</t>
  </si>
  <si>
    <t>1325</t>
  </si>
  <si>
    <t>朝阳区酒仙桥路2号B栋13层1325</t>
  </si>
  <si>
    <t>1421</t>
  </si>
  <si>
    <t>朝阳区酒仙桥路2号B栋14层1421</t>
  </si>
  <si>
    <t>1423</t>
  </si>
  <si>
    <t>朝阳区酒仙桥路2号B栋14层1423</t>
  </si>
  <si>
    <t>1424</t>
  </si>
  <si>
    <t>朝阳区酒仙桥路2号B栋14层1424</t>
  </si>
  <si>
    <t>1521</t>
  </si>
  <si>
    <t>朝阳区酒仙桥路2号B栋15层1521</t>
  </si>
  <si>
    <t>1522</t>
  </si>
  <si>
    <t>朝阳区酒仙桥路2号B栋15层1522</t>
  </si>
  <si>
    <t>1524</t>
  </si>
  <si>
    <t>朝阳区酒仙桥路2号B栋15层1524</t>
  </si>
  <si>
    <t>1525</t>
  </si>
  <si>
    <t>朝阳区酒仙桥路2号B栋15层1525</t>
  </si>
  <si>
    <t>1621</t>
  </si>
  <si>
    <t>朝阳区酒仙桥路2号B栋16层1621</t>
  </si>
  <si>
    <t>1623</t>
  </si>
  <si>
    <t>朝阳区酒仙桥路2号B栋16层1623</t>
  </si>
  <si>
    <t>1624</t>
  </si>
  <si>
    <t>朝阳区酒仙桥路2号B栋16层1624</t>
  </si>
  <si>
    <t>1625</t>
  </si>
  <si>
    <t>朝阳区酒仙桥路2号B栋16层1625</t>
  </si>
  <si>
    <t>1721</t>
  </si>
  <si>
    <t>朝阳区酒仙桥路2号B栋17层1721</t>
  </si>
  <si>
    <t>1722</t>
  </si>
  <si>
    <t>朝阳区酒仙桥路2号B栋17层1722</t>
  </si>
  <si>
    <t>1724</t>
  </si>
  <si>
    <t>朝阳区酒仙桥路2号B栋17层1724</t>
  </si>
  <si>
    <t>1725</t>
  </si>
  <si>
    <t>朝阳区酒仙桥路2号B栋17层1725</t>
  </si>
  <si>
    <t>1822</t>
  </si>
  <si>
    <t>朝阳区酒仙桥路2号B栋18层1822</t>
  </si>
  <si>
    <t>1824</t>
  </si>
  <si>
    <t>朝阳区酒仙桥路2号B栋18层1824</t>
  </si>
  <si>
    <t>1825</t>
  </si>
  <si>
    <t>朝阳区酒仙桥路2号B栋18层1825</t>
  </si>
  <si>
    <t>1921</t>
  </si>
  <si>
    <t>朝阳区酒仙桥路2号B栋19层1921</t>
  </si>
  <si>
    <t>1922</t>
  </si>
  <si>
    <t>朝阳区酒仙桥路2号B栋19层1922</t>
  </si>
  <si>
    <t>2021</t>
  </si>
  <si>
    <t>朝阳区酒仙桥路2号B栋20层2021</t>
  </si>
  <si>
    <t>2022</t>
  </si>
  <si>
    <t>朝阳区酒仙桥路2号B栋20层2022</t>
  </si>
  <si>
    <t>2023</t>
  </si>
  <si>
    <t>朝阳区酒仙桥路2号B栋20层2023</t>
  </si>
  <si>
    <t>2024</t>
  </si>
  <si>
    <t>朝阳区酒仙桥路2号B栋20层2024</t>
  </si>
  <si>
    <t>2025</t>
  </si>
  <si>
    <t>朝阳区酒仙桥路2号B栋20层2025</t>
  </si>
  <si>
    <t>2121</t>
  </si>
  <si>
    <t>朝阳区酒仙桥路2号B栋21层2121</t>
  </si>
  <si>
    <t>朝阳区酒仙桥路2号B栋-1层地下一层</t>
  </si>
  <si>
    <t>建筑面积
(平方米)：</t>
  </si>
  <si>
    <t>套内面积
(平方米)：</t>
  </si>
  <si>
    <t>19954.37</t>
  </si>
  <si>
    <t>填表人：</t>
  </si>
  <si>
    <t>年     月     日</t>
  </si>
  <si>
    <t>本页由申请人填写</t>
  </si>
  <si>
    <t>面积</t>
    <phoneticPr fontId="140" type="noConversion"/>
  </si>
  <si>
    <t>月租金</t>
    <phoneticPr fontId="140" type="noConversion"/>
  </si>
  <si>
    <t>租金单价</t>
    <phoneticPr fontId="140" type="noConversion"/>
  </si>
  <si>
    <t>房屋状况附表（未出售未转移清单/抵押物清单）</t>
    <phoneticPr fontId="3" type="noConversion"/>
  </si>
  <si>
    <t>是</t>
  </si>
  <si>
    <t>车库</t>
  </si>
  <si>
    <t>地上</t>
    <phoneticPr fontId="140" type="noConversion"/>
  </si>
  <si>
    <t>地下</t>
    <phoneticPr fontId="140" type="noConversion"/>
  </si>
  <si>
    <t>住宅</t>
    <phoneticPr fontId="7" type="noConversion"/>
  </si>
  <si>
    <t>地下车库</t>
    <phoneticPr fontId="7" type="noConversion"/>
  </si>
  <si>
    <t>北京市</t>
  </si>
  <si>
    <t>企业</t>
  </si>
  <si>
    <t>出让</t>
  </si>
  <si>
    <t>成新度</t>
  </si>
  <si>
    <t>建成</t>
    <phoneticPr fontId="3" type="noConversion"/>
  </si>
  <si>
    <t>翻新</t>
    <phoneticPr fontId="3" type="noConversion"/>
  </si>
  <si>
    <t>收益法</t>
  </si>
  <si>
    <t>利息：取LPR加浮动点数</t>
  </si>
  <si>
    <t>钢混</t>
  </si>
  <si>
    <t>非生产用房</t>
  </si>
  <si>
    <t>否</t>
  </si>
  <si>
    <t>押一</t>
  </si>
  <si>
    <t>按租金收入计税</t>
  </si>
  <si>
    <t>宏源公寓</t>
    <phoneticPr fontId="140" type="noConversion"/>
  </si>
  <si>
    <t>东北</t>
    <phoneticPr fontId="140" type="noConversion"/>
  </si>
  <si>
    <t>西</t>
    <phoneticPr fontId="140" type="noConversion"/>
  </si>
  <si>
    <t>高区</t>
    <phoneticPr fontId="140" type="noConversion"/>
  </si>
  <si>
    <t>中区</t>
    <phoneticPr fontId="140" type="noConversion"/>
  </si>
  <si>
    <t>朝向</t>
    <phoneticPr fontId="140" type="noConversion"/>
  </si>
  <si>
    <t>楼层</t>
    <phoneticPr fontId="140" type="noConversion"/>
  </si>
  <si>
    <t>单价</t>
    <phoneticPr fontId="140" type="noConversion"/>
  </si>
  <si>
    <t>正常</t>
    <phoneticPr fontId="25" type="noConversion"/>
  </si>
  <si>
    <t>正常</t>
    <phoneticPr fontId="25" type="noConversion"/>
  </si>
  <si>
    <t>较好</t>
    <phoneticPr fontId="25" type="noConversion"/>
  </si>
  <si>
    <t>较好</t>
    <phoneticPr fontId="25" type="noConversion"/>
  </si>
  <si>
    <t>七通</t>
    <phoneticPr fontId="25" type="noConversion"/>
  </si>
  <si>
    <t>楼层</t>
    <phoneticPr fontId="25" type="noConversion"/>
  </si>
  <si>
    <t>中区</t>
    <phoneticPr fontId="25" type="noConversion"/>
  </si>
  <si>
    <t>高区</t>
    <phoneticPr fontId="25" type="noConversion"/>
  </si>
  <si>
    <t>低区</t>
    <phoneticPr fontId="25" type="noConversion"/>
  </si>
  <si>
    <t>普装</t>
    <phoneticPr fontId="140" type="noConversion"/>
  </si>
  <si>
    <t>精装</t>
    <phoneticPr fontId="140" type="noConversion"/>
  </si>
  <si>
    <t>精装</t>
    <phoneticPr fontId="25" type="noConversion"/>
  </si>
  <si>
    <t>普装</t>
    <phoneticPr fontId="25" type="noConversion"/>
  </si>
  <si>
    <t>普装</t>
    <phoneticPr fontId="25" type="noConversion"/>
  </si>
  <si>
    <t>简装</t>
    <phoneticPr fontId="25" type="noConversion"/>
  </si>
  <si>
    <t>毛坯</t>
    <phoneticPr fontId="25" type="noConversion"/>
  </si>
  <si>
    <t>典型户型修正</t>
  </si>
  <si>
    <t>总价</t>
  </si>
  <si>
    <t>中区</t>
  </si>
  <si>
    <t>低区</t>
  </si>
  <si>
    <t>高区</t>
  </si>
  <si>
    <t>酒仙公寓 A栋租赁清单</t>
  </si>
  <si>
    <t>序号</t>
  </si>
  <si>
    <t>豪华3居F3</t>
  </si>
  <si>
    <t>2 室 1 厅 1 卫</t>
  </si>
  <si>
    <t>商务两居H</t>
  </si>
  <si>
    <t>一居室B</t>
  </si>
  <si>
    <t>黄亦冬</t>
  </si>
  <si>
    <t>2022.04.25-2023.11.24</t>
  </si>
  <si>
    <t>喵中堂</t>
  </si>
  <si>
    <t>2022.10.24-2023.10.23</t>
  </si>
  <si>
    <t>一居室A</t>
  </si>
  <si>
    <t>1 室 1 厅 1 卫</t>
  </si>
  <si>
    <t>2022.04.05-2023.04.04</t>
  </si>
  <si>
    <t>2022.08.25-2023.08.24</t>
  </si>
  <si>
    <t>2022.04.27-2023.04.26</t>
  </si>
  <si>
    <t>行政2居F</t>
  </si>
  <si>
    <t>米兹美化妆品（深圳）有限公司</t>
  </si>
  <si>
    <t>行政3居I</t>
  </si>
  <si>
    <t>豪华2居C</t>
  </si>
  <si>
    <t>王江</t>
  </si>
  <si>
    <t>2022.02.15-2023.02.14</t>
  </si>
  <si>
    <t>豪华2居D</t>
  </si>
  <si>
    <t>北野淳也</t>
  </si>
  <si>
    <t>2022.04.28-2023.04.27</t>
  </si>
  <si>
    <t>武琳</t>
  </si>
  <si>
    <t>2022.07.05-2023.07.04</t>
  </si>
  <si>
    <t>金汇太平洋有限公司</t>
  </si>
  <si>
    <t>李晓东</t>
  </si>
  <si>
    <t>2022.03.10-2023.03.09</t>
  </si>
  <si>
    <t>晚香（北京）文化传播有限公司</t>
  </si>
  <si>
    <t>2022.04.06-2023.04.05</t>
  </si>
  <si>
    <t>使馆客户</t>
  </si>
  <si>
    <t>2022.09.29-2023.09.28</t>
  </si>
  <si>
    <t>藤原</t>
  </si>
  <si>
    <t>2022.05.25-2023.05.24</t>
  </si>
  <si>
    <t>英国学校</t>
  </si>
  <si>
    <t>2022.07.31-2023.07.30</t>
  </si>
  <si>
    <t>北京华录百纳影视股份有限公司</t>
  </si>
  <si>
    <t>Tharaka Dheemantha Kahaduwa</t>
  </si>
  <si>
    <t>2022.07.21-2023.07.20</t>
  </si>
  <si>
    <t>立威投資有限公司</t>
  </si>
  <si>
    <t>2022.01.10-2023.01.09</t>
  </si>
  <si>
    <t>和坐互动（北京）传媒科技有限公司</t>
  </si>
  <si>
    <t>2022.02.17-2023.02.16</t>
  </si>
  <si>
    <t>青木太郎</t>
  </si>
  <si>
    <t>C+D</t>
  </si>
  <si>
    <t>北京京西学校</t>
  </si>
  <si>
    <t>建筑面积 /㎡ （与建委登记一致）</t>
  </si>
  <si>
    <t>房型分类</t>
  </si>
  <si>
    <t>市场报价</t>
  </si>
  <si>
    <t>登记户型 （与建委登记一致）</t>
  </si>
  <si>
    <t>承租方</t>
  </si>
  <si>
    <t>租期</t>
  </si>
  <si>
    <t>月租金/元</t>
  </si>
  <si>
    <t>其他（便利店）</t>
  </si>
  <si>
    <t>北京怡海绿园商贸有限公司</t>
  </si>
  <si>
    <t>2022.01.01-2023.12.31</t>
  </si>
  <si>
    <t>其他</t>
  </si>
  <si>
    <t>酒仙公寓大堂</t>
  </si>
  <si>
    <t>陕西西影电视节目经营有限责任公司</t>
  </si>
  <si>
    <t>2022.03.14-2023.04.13</t>
  </si>
  <si>
    <t>行政2居E</t>
  </si>
  <si>
    <t>员工宿舍自用</t>
  </si>
  <si>
    <t>库房自用</t>
  </si>
  <si>
    <t>商务两居G</t>
  </si>
  <si>
    <t>华生工程有限公司</t>
  </si>
  <si>
    <t>2022.05.10-2023.05.09</t>
  </si>
  <si>
    <t>中保集團有限公司</t>
  </si>
  <si>
    <t>2022.04.01-2023.03.31</t>
  </si>
  <si>
    <t>朗成股份有限公司</t>
  </si>
  <si>
    <t>华策厦门（刘宾）</t>
  </si>
  <si>
    <t>2022.02.05-2023.02.04</t>
  </si>
  <si>
    <t>富怡国际投资有限公司</t>
  </si>
  <si>
    <t>2022.04.16-2023.04.15</t>
  </si>
  <si>
    <t>西安启虹软件科技有限公司</t>
  </si>
  <si>
    <t>2022.03.07-2023.03.06</t>
  </si>
  <si>
    <t>中满投资有限公司</t>
  </si>
  <si>
    <t>2022.04.18-2023.04.17</t>
  </si>
  <si>
    <t>富德理财有限公司</t>
  </si>
  <si>
    <t>2022.04.23-2023.04.23</t>
  </si>
  <si>
    <t>北京顺义国际学校</t>
  </si>
  <si>
    <t>2022.03.24-2023.03.23</t>
  </si>
  <si>
    <t>互影文化厦门有限公司</t>
  </si>
  <si>
    <t>2022.03.04-2023.03.04</t>
  </si>
  <si>
    <t>東星國際集團有限公司</t>
  </si>
  <si>
    <t>2022.03.19-2023.03.18</t>
  </si>
  <si>
    <t>億達國際投資有限公司</t>
  </si>
  <si>
    <t>2022.04.04-2023.04.03</t>
  </si>
  <si>
    <t>商务2居H</t>
  </si>
  <si>
    <t>安乔电子商务有限公司</t>
  </si>
  <si>
    <t>2022.05.15-2023.05.14</t>
  </si>
  <si>
    <t>商务2居G</t>
  </si>
  <si>
    <t>永立控股有限公司</t>
  </si>
  <si>
    <t>2022.03.28-2023.03.27</t>
  </si>
  <si>
    <t>青木和美(215换515)</t>
  </si>
  <si>
    <t>胡媛媛</t>
  </si>
  <si>
    <t>叶杨</t>
  </si>
  <si>
    <t>2022.03.22-2023.03.21</t>
  </si>
  <si>
    <t>九禾文化（北京）有限公司</t>
  </si>
  <si>
    <t>2022.09.13-2023.09.12</t>
  </si>
  <si>
    <t>冠運環球有限公司</t>
  </si>
  <si>
    <t>2022.03.31-2023.03.30</t>
  </si>
  <si>
    <t>卓晖国际集团有限公司</t>
  </si>
  <si>
    <t>2022.04.28-2023.04.29</t>
  </si>
  <si>
    <t>太田晴子</t>
  </si>
  <si>
    <t>陆晓欣</t>
  </si>
  <si>
    <t>2022.02.28-2023.03.31</t>
  </si>
  <si>
    <t>赵姝</t>
  </si>
  <si>
    <t>2022.01.06-2023.01.05</t>
  </si>
  <si>
    <t>宁波斯奇（杨磊1922换712）</t>
  </si>
  <si>
    <t>2022.02.20-2023.02.19</t>
  </si>
  <si>
    <t>3 室 1 厅 2 卫</t>
  </si>
  <si>
    <t>邦升投资有限公司</t>
  </si>
  <si>
    <t>2022.03.21-2023.03.20</t>
  </si>
  <si>
    <t>2022.05.01-2023.04.30</t>
  </si>
  <si>
    <t>富德投资咨询（深圳）有限公司</t>
  </si>
  <si>
    <t>无邪影业（海南）有限公司</t>
  </si>
  <si>
    <t>2022.03.14-2023.03.13</t>
  </si>
  <si>
    <t>佳景控股有限公司</t>
  </si>
  <si>
    <t>2022.03.18-2023.03.17</t>
  </si>
  <si>
    <t>安诚环球有限公司</t>
  </si>
  <si>
    <t>2022.04.11-2023.04.10</t>
  </si>
  <si>
    <t>中国旅游集团中免股份有限公司</t>
  </si>
  <si>
    <t>2022.04.11-2023.05.10</t>
  </si>
  <si>
    <t>滿冠投資有限公司</t>
  </si>
  <si>
    <t>2022.04.15-2023.04.14</t>
  </si>
  <si>
    <t>永兆投资有限公司</t>
  </si>
  <si>
    <t>2022.04.11-2023.04.11</t>
  </si>
  <si>
    <t>壹同（天津）影视文化传媒有限公司</t>
  </si>
  <si>
    <t>2022.05.05-2023.05.04</t>
  </si>
  <si>
    <t>浙江东阳浩瀚影视娱乐有限公司</t>
  </si>
  <si>
    <t>深圳永鸿文化影视有限公司</t>
  </si>
  <si>
    <t>2022.02.10-2023.02.09</t>
  </si>
  <si>
    <t>2022.03.29-2023.03.28</t>
  </si>
  <si>
    <t>2022.04.13-2023.04.12</t>
  </si>
  <si>
    <t>嘉悅有限公司</t>
  </si>
  <si>
    <t>立威投资有限公司</t>
  </si>
  <si>
    <t>威業集團有限公司</t>
  </si>
  <si>
    <t>Fullite Investments Limited</t>
  </si>
  <si>
    <t>湖南三和国际(郑健)</t>
  </si>
  <si>
    <t>2022.04.23-2023.04.22</t>
  </si>
  <si>
    <t>德俊发展有限公司</t>
  </si>
  <si>
    <t>2022.03.13-2023.03.12</t>
  </si>
  <si>
    <t>安乔生物科技有限公司</t>
  </si>
  <si>
    <t>2022.01.28-2023.01.27</t>
  </si>
  <si>
    <t>華民控股有限公司</t>
  </si>
  <si>
    <t>ABBIGAEL CLARISSA FORD</t>
  </si>
  <si>
    <t>2022.07.12-2023.07.11</t>
  </si>
  <si>
    <t>2022.04.21-2023.04.20</t>
  </si>
  <si>
    <t>东星国际集团有限公司</t>
  </si>
  <si>
    <t>北京动帧鸿源影视文化发展有限公司</t>
  </si>
  <si>
    <t>2021.12.25-2022.12.24</t>
  </si>
  <si>
    <t>王晓旭</t>
  </si>
  <si>
    <t>2022.06.21-2023.06.20</t>
  </si>
  <si>
    <t>2022.03.25-2023.03.24</t>
  </si>
  <si>
    <t>北京启信文化传媒有限公司</t>
  </si>
  <si>
    <t>乐都资本有限公司</t>
  </si>
  <si>
    <t>宁波琪铄影业有限公司(赖清)</t>
  </si>
  <si>
    <t>2022.01.16-2023.01.15</t>
  </si>
  <si>
    <t>2021.01.16-2023.01.15</t>
  </si>
  <si>
    <t>崔国强</t>
  </si>
  <si>
    <t>2022.11.03-2023.11.02</t>
  </si>
  <si>
    <t>簡一環球有限公司</t>
  </si>
  <si>
    <t>公司(李杰)</t>
  </si>
  <si>
    <t>2022.01.24-2023.01.23</t>
  </si>
  <si>
    <t>北京星韵天成文化传媒有限公司</t>
  </si>
  <si>
    <t>2022.07.14-2023.07.13</t>
  </si>
  <si>
    <t>北京工夫小戏娱乐传媒有限公司</t>
  </si>
  <si>
    <t>2022.02.02-2023.02.01</t>
  </si>
  <si>
    <t>王峰</t>
  </si>
  <si>
    <t>2022.06.28-2023.06.27</t>
  </si>
  <si>
    <t>2022.04.25-2023.04.24</t>
  </si>
  <si>
    <t>全日空国际旅行社（中国）有限公司(谷口利英)</t>
  </si>
  <si>
    <t>冠运环球有限公司</t>
  </si>
  <si>
    <t>都好文化（天津）有限公司</t>
  </si>
  <si>
    <t>特别                   （3室合并）</t>
  </si>
  <si>
    <t>单独计费</t>
  </si>
  <si>
    <t>共享会议室</t>
  </si>
  <si>
    <t>Garner Wealth Limited</t>
  </si>
  <si>
    <t>2022.01.15-2023.01.14</t>
  </si>
  <si>
    <t>商务3居J</t>
  </si>
  <si>
    <t>出好戏（北京）文化传媒有限公司</t>
  </si>
  <si>
    <t>2022.08.15-2023.08.14</t>
  </si>
  <si>
    <t>商务3居L</t>
  </si>
  <si>
    <t>海鵬發展有限公司</t>
  </si>
  <si>
    <t>2022.03.26-2023.03.25</t>
  </si>
  <si>
    <t>商务3居K</t>
  </si>
  <si>
    <t>建思國際(中國)有限公司</t>
  </si>
  <si>
    <t>停车费收入</t>
  </si>
  <si>
    <t>酒仙公寓B栋租赁清单</t>
  </si>
  <si>
    <t>私塾</t>
  </si>
  <si>
    <t>2022.01.01-2022.12.31</t>
  </si>
  <si>
    <t>佳能医疗系统（中国）有限公司</t>
  </si>
  <si>
    <t>袁帅</t>
  </si>
  <si>
    <t>2022.05.02-2023.05.01</t>
  </si>
  <si>
    <t>植户毅</t>
  </si>
  <si>
    <t>2022.02.16-2023.02.15</t>
  </si>
  <si>
    <t>深圳市明星体育运动有限公司北京分公司</t>
  </si>
  <si>
    <t>北京左城右隅（杨兆华）</t>
  </si>
  <si>
    <t>2022.01.17-2023.01.16</t>
  </si>
  <si>
    <t>法国使馆</t>
  </si>
  <si>
    <t>2022.09.15-2023.09.14</t>
  </si>
  <si>
    <t>万惊雷</t>
  </si>
  <si>
    <t>康乐保（中国）医疗用品有限公司</t>
  </si>
  <si>
    <t>ABDULKADIR SHEHU USMAN</t>
  </si>
  <si>
    <t>耀流有限公司</t>
  </si>
  <si>
    <t>湖南当燃影业</t>
  </si>
  <si>
    <t>2022.10.31-2022.12.31</t>
  </si>
  <si>
    <t>2022.04.09-2023.04.08</t>
  </si>
  <si>
    <t>WALTHO STEPHANIE</t>
  </si>
  <si>
    <t>德威学校</t>
  </si>
  <si>
    <t>2022.08.01-2023.07.31</t>
  </si>
  <si>
    <t>陆兴</t>
  </si>
  <si>
    <t>2022.10.01-2023.09.30</t>
  </si>
  <si>
    <t>赫德学校</t>
  </si>
  <si>
    <t>李晨</t>
  </si>
  <si>
    <t>KAWAI KOTARO</t>
  </si>
  <si>
    <t>2022.06.02-2023.06.01</t>
  </si>
  <si>
    <t>Beena Sarada</t>
  </si>
  <si>
    <t>2022.08.06-2023.08.05</t>
  </si>
  <si>
    <t>建筑面积 /㎡（与建委登记一致）</t>
  </si>
  <si>
    <t>登记户型                           （与建委登记一致）</t>
  </si>
  <si>
    <t>舍宾亚洲健康科技有限公司</t>
  </si>
  <si>
    <t>洁西有限公司</t>
  </si>
  <si>
    <t>煌威有限公司</t>
  </si>
  <si>
    <t>2022.05.01-2023.04.40</t>
  </si>
  <si>
    <t>上海歆霖影业有限公司</t>
  </si>
  <si>
    <t>2022.04.20-2023.04.19</t>
  </si>
  <si>
    <t>宏爵發展有限公司</t>
  </si>
  <si>
    <t>冠康投資有限公司</t>
  </si>
  <si>
    <t>2022.02.22-2023.02.21</t>
  </si>
  <si>
    <t>北村 亜矢子</t>
  </si>
  <si>
    <t>安森投资咨询（深圳）有限公司</t>
  </si>
  <si>
    <t>高雅集團控股有限公司</t>
  </si>
  <si>
    <t>2022.03.17-2023.03.16</t>
  </si>
  <si>
    <t>天励投资有限公司</t>
  </si>
  <si>
    <t>2022.03.27-2023.03.26</t>
  </si>
  <si>
    <t>恒偉國際投資有限公司</t>
  </si>
  <si>
    <t>深圳市佳美乐贸易有限公司</t>
  </si>
  <si>
    <t>皓昇國際有限公司</t>
  </si>
  <si>
    <t>安誠環球有限公司</t>
  </si>
  <si>
    <t>蓝星东丽膜科技（北京）有限公司</t>
  </si>
  <si>
    <t>北京凡一文化传播有限公司</t>
  </si>
  <si>
    <t>2022.04.08-2023.04.07</t>
  </si>
  <si>
    <t>凱德金融集團</t>
  </si>
  <si>
    <t>未签合同， 多个付款人</t>
  </si>
  <si>
    <t>笹川真理</t>
  </si>
  <si>
    <t>上海ABB变压器有限公司</t>
  </si>
  <si>
    <t>2022.02.25-2023.02.24</t>
  </si>
  <si>
    <t>中福有限公司</t>
  </si>
  <si>
    <t>酉岛泵（天津）有限公司（竹中光一）</t>
  </si>
  <si>
    <t>海水木清圆影视文化发展有限公司</t>
  </si>
  <si>
    <t>2022.02.10-2023.02.10</t>
  </si>
  <si>
    <t>Raphael Robert Lido Supusepa</t>
  </si>
  <si>
    <t>2022.12.31-2023.11.30</t>
  </si>
  <si>
    <t>上海五斗米文化传媒有限公司</t>
  </si>
  <si>
    <t>2022.05.08-2023.05.07</t>
  </si>
  <si>
    <t>傑勝國際有限公司</t>
  </si>
  <si>
    <t>2022.04.03-2023.04.02</t>
  </si>
  <si>
    <t>北京霈年仕投资顾问有限公司</t>
  </si>
  <si>
    <t>Kego Limited</t>
  </si>
  <si>
    <t>北京左城右隅（王伟）</t>
  </si>
  <si>
    <t>寄貿發展有限公司</t>
  </si>
  <si>
    <t>2022.09.16-2023.09.15</t>
  </si>
  <si>
    <t>2022.02.13-2023.02.13</t>
  </si>
  <si>
    <t>厦门恒业牧马人影视文化传播有限公司</t>
  </si>
  <si>
    <t>2022.08.07-2023.08.06</t>
  </si>
  <si>
    <t>浦野卓矢</t>
  </si>
  <si>
    <t>2022.11.01-2023.10.31</t>
  </si>
  <si>
    <t>君富環球有限公司</t>
  </si>
  <si>
    <t>森下佐和子</t>
  </si>
  <si>
    <t>墨客行（李伟）</t>
  </si>
  <si>
    <t>凡一文化（林沛筠）</t>
  </si>
  <si>
    <t>雀巢（中国）有限公司（黄伟雄）</t>
  </si>
  <si>
    <t>2021.08.19-2023.08.18</t>
  </si>
  <si>
    <t>Kingston Sense Limited</t>
  </si>
  <si>
    <t>马雨</t>
  </si>
  <si>
    <t>2022.10.05-2023.10.04</t>
  </si>
  <si>
    <t>樂飛國際(香港)有限公司</t>
  </si>
  <si>
    <t>2022.04.14-2023.04.13</t>
  </si>
  <si>
    <t>天德国际集团有限公司</t>
  </si>
  <si>
    <t>2022.09.21-2023.09.20</t>
  </si>
  <si>
    <t>邱恒</t>
  </si>
  <si>
    <t>2022.04.17-2023.04.16</t>
  </si>
  <si>
    <t>李岩</t>
  </si>
  <si>
    <t>2022.07.01-2023.06.30</t>
  </si>
  <si>
    <t>伟濠投资有限公司</t>
  </si>
  <si>
    <t>异奇拾光（上海）文化传播有限公司</t>
  </si>
  <si>
    <t>孙茂丰</t>
  </si>
  <si>
    <t>2022.11.05-2023.11.04</t>
  </si>
  <si>
    <t>联威国际企业有限公司</t>
  </si>
  <si>
    <t>北京藏月影视文化传媒有限公司</t>
  </si>
  <si>
    <t>2022.04.19-2023.07.18</t>
  </si>
  <si>
    <t>亨利有限公司</t>
  </si>
  <si>
    <t>周路苇</t>
  </si>
  <si>
    <t>2022.08.28-2023.08.27</t>
  </si>
  <si>
    <t>创业黑马科技集团股份有限公司</t>
  </si>
  <si>
    <t>2022.06.22-2023.06.21</t>
  </si>
  <si>
    <t>特别</t>
  </si>
  <si>
    <t>2022.09.01-2023.08.31</t>
  </si>
  <si>
    <t>星龙(亚洲)有限公司</t>
  </si>
  <si>
    <t>樂都資本有限公司</t>
  </si>
  <si>
    <t>市场报价年租金</t>
    <phoneticPr fontId="140" type="noConversion"/>
  </si>
  <si>
    <t>实际年租金</t>
    <phoneticPr fontId="140" type="noConversion"/>
  </si>
  <si>
    <t>市调年租金</t>
    <phoneticPr fontId="140" type="noConversion"/>
  </si>
  <si>
    <t>星城国际</t>
    <phoneticPr fontId="140" type="noConversion"/>
  </si>
  <si>
    <t>东</t>
    <phoneticPr fontId="140" type="noConversion"/>
  </si>
  <si>
    <t>中区</t>
    <phoneticPr fontId="140" type="noConversion"/>
  </si>
  <si>
    <t>精装</t>
  </si>
  <si>
    <t>精装</t>
    <phoneticPr fontId="140" type="noConversion"/>
  </si>
  <si>
    <t>40-50（含）</t>
  </si>
  <si>
    <t>住宅</t>
    <phoneticPr fontId="25" type="noConversion"/>
  </si>
  <si>
    <t>东南</t>
    <phoneticPr fontId="140" type="noConversion"/>
  </si>
  <si>
    <t>高区</t>
    <phoneticPr fontId="140" type="noConversion"/>
  </si>
  <si>
    <t>精装</t>
    <phoneticPr fontId="140" type="noConversion"/>
  </si>
  <si>
    <t>高区</t>
    <phoneticPr fontId="25" type="noConversion"/>
  </si>
  <si>
    <t>收益法-车库</t>
  </si>
  <si>
    <t>收益法-车库</t>
    <phoneticPr fontId="16" type="noConversion"/>
  </si>
  <si>
    <t>售价</t>
  </si>
  <si>
    <t>较好</t>
    <phoneticPr fontId="32" type="noConversion"/>
  </si>
  <si>
    <t>较好</t>
    <phoneticPr fontId="32" type="noConversion"/>
  </si>
  <si>
    <t>较好</t>
    <phoneticPr fontId="32" type="noConversion"/>
  </si>
  <si>
    <t>七通</t>
    <phoneticPr fontId="32" type="noConversion"/>
  </si>
  <si>
    <t>住宅</t>
    <phoneticPr fontId="32" type="noConversion"/>
  </si>
  <si>
    <t>20-30（含）</t>
  </si>
  <si>
    <t>正常</t>
    <phoneticPr fontId="32" type="noConversion"/>
  </si>
  <si>
    <t>车库</t>
    <phoneticPr fontId="32" type="noConversion"/>
  </si>
  <si>
    <t>比较法-车位</t>
  </si>
  <si>
    <t>收益比率</t>
  </si>
  <si>
    <t>自定义</t>
  </si>
  <si>
    <t>酒店式管理</t>
  </si>
  <si>
    <t>酒店式管理</t>
    <phoneticPr fontId="25" type="noConversion"/>
  </si>
  <si>
    <t>普通物业管理</t>
  </si>
  <si>
    <t>普通物业管理</t>
    <phoneticPr fontId="25" type="noConversion"/>
  </si>
  <si>
    <t>柏林爱乐</t>
    <phoneticPr fontId="3" type="noConversion"/>
  </si>
  <si>
    <t>甘露西园</t>
    <phoneticPr fontId="3" type="noConversion"/>
  </si>
  <si>
    <t>无限芳菁苑</t>
    <phoneticPr fontId="3" type="noConversion"/>
  </si>
  <si>
    <t>32060.45</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</si>
</sst>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10"/>
      <color indexed="9"/>
      <name val="宋体"/>
      <family val="3"/>
      <charset val="134"/>
    </font>
    <font>
      <sz val="11"/>
      <color theme="1"/>
      <name val="宋体"/>
      <family val="3"/>
      <charset val="134"/>
      <scheme val="minor"/>
    </font>
    <font>
      <b/>
      <sz val="12"/>
      <name val="Arial Unicode MS"/>
      <family val="2"/>
      <charset val="134"/>
    </font>
    <font>
      <sz val="11"/>
      <name val="Arial Unicode MS"/>
      <family val="2"/>
      <charset val="134"/>
    </font>
    <font>
      <sz val="10"/>
      <name val="Arial Unicode MS"/>
      <family val="2"/>
      <charset val="134"/>
    </font>
    <font>
      <sz val="10"/>
      <color theme="1"/>
      <name val="Arial Unicode MS"/>
      <family val="2"/>
      <charset val="134"/>
    </font>
    <font>
      <sz val="10"/>
      <color rgb="FFFF0000"/>
      <name val="Arial Unicode MS"/>
      <family val="2"/>
      <charset val="134"/>
    </font>
    <font>
      <b/>
      <sz val="10"/>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49" fontId="19" fillId="0" borderId="0" xfId="0" applyNumberFormat="1" applyFont="1" applyFill="1" applyAlignment="1" applyProtection="1">
      <alignment horizontal="left" vertical="center"/>
    </xf>
    <xf numFmtId="49" fontId="19" fillId="0" borderId="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5" fillId="0" borderId="46" xfId="0" applyNumberFormat="1" applyFont="1" applyFill="1" applyBorder="1" applyAlignment="1" applyProtection="1">
      <alignment horizontal="center" vertical="center" wrapText="1"/>
    </xf>
    <xf numFmtId="49" fontId="255" fillId="0" borderId="61" xfId="0" applyNumberFormat="1" applyFont="1" applyFill="1" applyBorder="1" applyAlignment="1" applyProtection="1">
      <alignment horizontal="center" vertical="center" wrapText="1"/>
    </xf>
    <xf numFmtId="49" fontId="19" fillId="0" borderId="55" xfId="0" applyNumberFormat="1" applyFont="1" applyFill="1" applyBorder="1" applyAlignment="1" applyProtection="1">
      <alignment horizontal="center" vertical="center" wrapText="1"/>
    </xf>
    <xf numFmtId="49" fontId="19" fillId="0" borderId="11" xfId="0" applyNumberFormat="1" applyFon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5" fillId="0" borderId="13" xfId="0" applyNumberFormat="1" applyFont="1" applyFill="1" applyBorder="1" applyAlignment="1" applyProtection="1">
      <alignment horizontal="center" vertical="center" wrapText="1"/>
    </xf>
    <xf numFmtId="49" fontId="19" fillId="0" borderId="37"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5" fillId="0" borderId="5" xfId="0" applyNumberFormat="1" applyFont="1" applyFill="1" applyBorder="1" applyAlignment="1" applyProtection="1">
      <alignment horizontal="center" vertical="center" wrapText="1"/>
    </xf>
    <xf numFmtId="49" fontId="255" fillId="0" borderId="24" xfId="0" applyNumberFormat="1" applyFont="1" applyFill="1" applyBorder="1" applyAlignment="1" applyProtection="1">
      <alignment horizontal="center" vertical="center" wrapText="1"/>
    </xf>
    <xf numFmtId="49" fontId="19" fillId="0" borderId="12" xfId="0" applyNumberFormat="1" applyFont="1" applyFill="1" applyBorder="1" applyAlignment="1" applyProtection="1">
      <alignment horizontal="center" vertical="center" wrapText="1"/>
    </xf>
    <xf numFmtId="49" fontId="19" fillId="0" borderId="74" xfId="0" applyNumberFormat="1" applyFont="1" applyFill="1" applyBorder="1" applyAlignment="1" applyProtection="1">
      <alignment horizontal="center" vertical="center" wrapText="1"/>
    </xf>
    <xf numFmtId="49" fontId="255" fillId="0" borderId="74" xfId="0" applyNumberFormat="1" applyFont="1" applyFill="1" applyBorder="1" applyAlignment="1" applyProtection="1">
      <alignment horizontal="center" vertical="center" wrapText="1"/>
    </xf>
    <xf numFmtId="49" fontId="255" fillId="0" borderId="76" xfId="0" applyNumberFormat="1" applyFont="1" applyFill="1" applyBorder="1" applyAlignment="1" applyProtection="1">
      <alignment horizontal="center"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left" vertical="center" wrapText="1"/>
    </xf>
    <xf numFmtId="0" fontId="98" fillId="0" borderId="0" xfId="0" applyFont="1">
      <alignment vertical="center"/>
    </xf>
    <xf numFmtId="0" fontId="111" fillId="0" borderId="0" xfId="0" applyFont="1">
      <alignment vertical="center"/>
    </xf>
    <xf numFmtId="0" fontId="111" fillId="0" borderId="0" xfId="0" applyNumberFormat="1" applyFont="1" applyFill="1" applyAlignment="1" applyProtection="1"/>
    <xf numFmtId="0" fontId="111" fillId="0" borderId="0" xfId="0" applyFont="1" applyAlignment="1"/>
    <xf numFmtId="49" fontId="83" fillId="0" borderId="0" xfId="0" applyNumberFormat="1" applyFont="1" applyFill="1" applyAlignment="1" applyProtection="1">
      <alignment horizontal="center" vertical="center"/>
    </xf>
    <xf numFmtId="49" fontId="256" fillId="0" borderId="0" xfId="0" applyNumberFormat="1" applyFont="1" applyFill="1" applyAlignment="1" applyProtection="1">
      <alignment horizontal="center" vertical="center"/>
    </xf>
    <xf numFmtId="49" fontId="111" fillId="0" borderId="40" xfId="0" applyNumberFormat="1" applyFont="1" applyFill="1" applyBorder="1" applyAlignment="1" applyProtection="1">
      <alignment horizontal="center" vertical="center" wrapText="1"/>
    </xf>
    <xf numFmtId="49" fontId="111" fillId="0" borderId="17" xfId="0" applyNumberFormat="1" applyFont="1" applyFill="1" applyBorder="1" applyAlignment="1" applyProtection="1">
      <alignment horizontal="center" vertical="center" wrapText="1"/>
    </xf>
    <xf numFmtId="49" fontId="111" fillId="0" borderId="14" xfId="0" applyNumberFormat="1" applyFont="1" applyFill="1" applyBorder="1" applyAlignment="1" applyProtection="1">
      <alignment horizontal="center" vertical="center" wrapText="1"/>
    </xf>
    <xf numFmtId="49" fontId="111" fillId="0" borderId="15" xfId="0" applyNumberFormat="1"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41" xfId="0" applyNumberFormat="1" applyFont="1" applyFill="1" applyBorder="1" applyAlignment="1" applyProtection="1">
      <alignment horizontal="center" vertical="center" wrapText="1"/>
    </xf>
    <xf numFmtId="49" fontId="111" fillId="0" borderId="2" xfId="0" applyNumberFormat="1" applyFont="1" applyFill="1" applyBorder="1" applyAlignment="1" applyProtection="1">
      <alignment horizontal="center" vertical="center" wrapText="1"/>
    </xf>
    <xf numFmtId="49" fontId="111" fillId="0" borderId="0" xfId="0" applyNumberFormat="1" applyFont="1" applyAlignment="1"/>
    <xf numFmtId="0" fontId="111" fillId="0" borderId="0" xfId="0" applyNumberFormat="1" applyFont="1" applyFill="1" applyBorder="1" applyAlignment="1" applyProtection="1"/>
    <xf numFmtId="49" fontId="111" fillId="0" borderId="0" xfId="0" applyNumberFormat="1" applyFont="1" applyFill="1" applyAlignment="1" applyProtection="1">
      <alignment vertical="center"/>
    </xf>
    <xf numFmtId="0" fontId="111" fillId="0" borderId="0" xfId="0" applyNumberFormat="1" applyFont="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49" fontId="19" fillId="16" borderId="55" xfId="0" applyNumberFormat="1" applyFont="1" applyFill="1" applyBorder="1" applyAlignment="1" applyProtection="1">
      <alignment horizontal="center" vertical="center" wrapText="1"/>
    </xf>
    <xf numFmtId="49" fontId="19" fillId="16" borderId="46" xfId="0" applyNumberFormat="1" applyFont="1" applyFill="1" applyBorder="1" applyAlignment="1" applyProtection="1">
      <alignment horizontal="center" vertical="center" wrapText="1"/>
    </xf>
    <xf numFmtId="49" fontId="255" fillId="16" borderId="46" xfId="0" applyNumberFormat="1" applyFont="1" applyFill="1" applyBorder="1" applyAlignment="1" applyProtection="1">
      <alignment horizontal="center" vertical="center" wrapText="1"/>
    </xf>
    <xf numFmtId="49" fontId="134" fillId="2" borderId="70"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62" fillId="0" borderId="1" xfId="0" applyNumberFormat="1"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49" fillId="0" borderId="1" xfId="0" applyNumberFormat="1" applyFont="1" applyBorder="1" applyAlignment="1" applyProtection="1">
      <alignment horizontal="center" vertical="center"/>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9" fillId="0" borderId="6" xfId="0" applyFont="1" applyFill="1" applyBorder="1" applyAlignment="1">
      <alignment horizontal="center" vertical="center"/>
    </xf>
    <xf numFmtId="0" fontId="259" fillId="0" borderId="9" xfId="0" applyFont="1" applyFill="1" applyBorder="1" applyAlignment="1">
      <alignment horizontal="center" vertical="center"/>
    </xf>
    <xf numFmtId="176" fontId="260" fillId="0" borderId="9" xfId="0" applyNumberFormat="1" applyFont="1" applyFill="1" applyBorder="1" applyAlignment="1">
      <alignment horizontal="center" vertical="center" wrapText="1"/>
    </xf>
    <xf numFmtId="43" fontId="259" fillId="0" borderId="9" xfId="17" applyFont="1" applyFill="1" applyBorder="1" applyAlignment="1">
      <alignment horizontal="center" vertical="center"/>
    </xf>
    <xf numFmtId="0" fontId="260" fillId="0" borderId="9" xfId="0" applyFont="1" applyFill="1" applyBorder="1" applyAlignment="1">
      <alignment horizontal="center" vertical="center" wrapText="1"/>
    </xf>
    <xf numFmtId="0" fontId="259" fillId="0" borderId="9" xfId="0" applyFont="1" applyFill="1" applyBorder="1" applyAlignment="1">
      <alignment horizontal="center" vertical="center" wrapText="1"/>
    </xf>
    <xf numFmtId="197" fontId="259" fillId="0" borderId="10" xfId="0" applyNumberFormat="1" applyFont="1" applyFill="1" applyBorder="1" applyAlignment="1">
      <alignment horizontal="center" vertical="center"/>
    </xf>
    <xf numFmtId="0" fontId="260" fillId="0" borderId="23" xfId="0" applyFont="1" applyFill="1" applyBorder="1" applyAlignment="1" applyProtection="1">
      <alignment horizontal="center" vertical="center"/>
    </xf>
    <xf numFmtId="0" fontId="260" fillId="0" borderId="46" xfId="0" applyFont="1" applyFill="1" applyBorder="1" applyAlignment="1" applyProtection="1">
      <alignment horizontal="center" vertical="center"/>
    </xf>
    <xf numFmtId="176" fontId="260" fillId="0" borderId="1" xfId="0" applyNumberFormat="1" applyFont="1" applyFill="1" applyBorder="1" applyAlignment="1" applyProtection="1">
      <alignment horizontal="center" vertical="center"/>
    </xf>
    <xf numFmtId="0" fontId="260" fillId="0" borderId="1" xfId="0" applyFont="1" applyFill="1" applyBorder="1" applyAlignment="1" applyProtection="1">
      <alignment horizontal="center" vertical="center"/>
    </xf>
    <xf numFmtId="0" fontId="261" fillId="0" borderId="46" xfId="0" applyFont="1" applyFill="1" applyBorder="1" applyAlignment="1" applyProtection="1">
      <alignment horizontal="left" vertical="center"/>
    </xf>
    <xf numFmtId="197" fontId="260" fillId="0" borderId="24" xfId="0" applyNumberFormat="1" applyFont="1" applyFill="1" applyBorder="1" applyAlignment="1" applyProtection="1">
      <alignment horizontal="center" vertical="center"/>
    </xf>
    <xf numFmtId="0" fontId="262" fillId="0" borderId="46" xfId="0" applyFont="1" applyFill="1" applyBorder="1" applyAlignment="1" applyProtection="1">
      <alignment horizontal="left" vertical="center"/>
    </xf>
    <xf numFmtId="176" fontId="260" fillId="0" borderId="1" xfId="17" applyNumberFormat="1" applyFont="1" applyFill="1" applyBorder="1" applyAlignment="1">
      <alignment horizontal="center" vertical="center" shrinkToFit="1"/>
    </xf>
    <xf numFmtId="49" fontId="260" fillId="0" borderId="46" xfId="0" applyNumberFormat="1" applyFont="1" applyFill="1" applyBorder="1" applyAlignment="1" applyProtection="1">
      <alignment horizontal="center" vertical="center" wrapText="1"/>
    </xf>
    <xf numFmtId="43" fontId="260" fillId="0" borderId="46" xfId="17" applyFont="1" applyFill="1" applyBorder="1" applyAlignment="1" applyProtection="1">
      <alignment horizontal="center" vertical="center" wrapText="1"/>
    </xf>
    <xf numFmtId="0" fontId="261" fillId="0" borderId="1" xfId="0" applyFont="1" applyFill="1" applyBorder="1" applyAlignment="1">
      <alignment horizontal="center" vertical="center"/>
    </xf>
    <xf numFmtId="0" fontId="261"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wrapText="1"/>
    </xf>
    <xf numFmtId="197" fontId="260" fillId="0" borderId="24" xfId="0" applyNumberFormat="1" applyFont="1" applyFill="1" applyBorder="1" applyAlignment="1">
      <alignment horizontal="center" vertical="center" wrapText="1"/>
    </xf>
    <xf numFmtId="43" fontId="260" fillId="0" borderId="1" xfId="17" applyFont="1" applyFill="1" applyBorder="1" applyAlignment="1">
      <alignment horizontal="center" vertical="center"/>
    </xf>
    <xf numFmtId="0" fontId="260" fillId="0" borderId="1" xfId="0" applyFont="1" applyFill="1" applyBorder="1" applyAlignment="1">
      <alignment horizontal="center" vertical="center" shrinkToFit="1"/>
    </xf>
    <xf numFmtId="0" fontId="262" fillId="0" borderId="46" xfId="0" applyFont="1" applyFill="1" applyBorder="1" applyAlignment="1">
      <alignment horizontal="left" vertical="center" wrapText="1"/>
    </xf>
    <xf numFmtId="0" fontId="262" fillId="0" borderId="46" xfId="0" applyFont="1" applyFill="1" applyBorder="1" applyAlignment="1">
      <alignment horizontal="left" vertical="center"/>
    </xf>
    <xf numFmtId="176" fontId="260" fillId="0" borderId="1" xfId="17" applyNumberFormat="1" applyFont="1" applyFill="1" applyBorder="1" applyAlignment="1">
      <alignment horizontal="center" vertical="center"/>
    </xf>
    <xf numFmtId="0" fontId="260" fillId="0" borderId="1" xfId="0" applyFont="1" applyFill="1" applyBorder="1" applyAlignment="1">
      <alignment horizontal="center" vertical="center"/>
    </xf>
    <xf numFmtId="0" fontId="260" fillId="5" borderId="23" xfId="0" applyFont="1" applyFill="1" applyBorder="1" applyAlignment="1" applyProtection="1">
      <alignment horizontal="center" vertical="center"/>
    </xf>
    <xf numFmtId="0" fontId="261" fillId="5" borderId="1" xfId="0" applyFont="1" applyFill="1" applyBorder="1" applyAlignment="1">
      <alignment horizontal="center" vertical="center"/>
    </xf>
    <xf numFmtId="176" fontId="261" fillId="5" borderId="1" xfId="0" applyNumberFormat="1" applyFont="1" applyFill="1" applyBorder="1" applyAlignment="1">
      <alignment horizontal="center" vertical="center"/>
    </xf>
    <xf numFmtId="43" fontId="261" fillId="5" borderId="1" xfId="17" applyFont="1" applyFill="1" applyBorder="1" applyAlignment="1">
      <alignment horizontal="center" vertical="center"/>
    </xf>
    <xf numFmtId="0" fontId="261" fillId="5" borderId="46" xfId="0" applyFont="1" applyFill="1" applyBorder="1" applyAlignment="1">
      <alignment horizontal="left" vertical="center"/>
    </xf>
    <xf numFmtId="197" fontId="261" fillId="5"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wrapText="1"/>
    </xf>
    <xf numFmtId="49" fontId="260" fillId="5" borderId="46" xfId="0" applyNumberFormat="1" applyFont="1" applyFill="1" applyBorder="1" applyAlignment="1" applyProtection="1">
      <alignment horizontal="center" vertical="center" wrapText="1"/>
    </xf>
    <xf numFmtId="43" fontId="260" fillId="5" borderId="46" xfId="17" applyFont="1" applyFill="1" applyBorder="1" applyAlignment="1" applyProtection="1">
      <alignment horizontal="center" vertical="center" wrapText="1"/>
    </xf>
    <xf numFmtId="176" fontId="261" fillId="0" borderId="1" xfId="0" applyNumberFormat="1" applyFont="1" applyFill="1" applyBorder="1" applyAlignment="1">
      <alignment horizontal="center" vertical="center"/>
    </xf>
    <xf numFmtId="43" fontId="261" fillId="0" borderId="1" xfId="17" applyFont="1" applyFill="1" applyBorder="1" applyAlignment="1">
      <alignment horizontal="center" vertical="center"/>
    </xf>
    <xf numFmtId="0" fontId="261" fillId="0" borderId="1" xfId="0" applyFont="1" applyFill="1" applyBorder="1" applyAlignment="1">
      <alignment horizontal="left" vertical="center"/>
    </xf>
    <xf numFmtId="14" fontId="261" fillId="0" borderId="1" xfId="0" applyNumberFormat="1" applyFont="1" applyFill="1" applyBorder="1" applyAlignment="1">
      <alignment horizontal="center" vertical="center"/>
    </xf>
    <xf numFmtId="197" fontId="260" fillId="0" borderId="24" xfId="0" applyNumberFormat="1" applyFont="1" applyFill="1" applyBorder="1" applyAlignment="1">
      <alignment horizontal="center" vertical="center"/>
    </xf>
    <xf numFmtId="176" fontId="260" fillId="0" borderId="1" xfId="17" applyNumberFormat="1" applyFont="1" applyFill="1" applyBorder="1" applyAlignment="1">
      <alignment horizontal="center" vertical="center" wrapText="1"/>
    </xf>
    <xf numFmtId="0" fontId="261" fillId="0" borderId="46" xfId="0" applyFont="1" applyFill="1" applyBorder="1" applyAlignment="1">
      <alignment horizontal="left" vertical="center" wrapText="1"/>
    </xf>
    <xf numFmtId="197" fontId="261" fillId="0"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xf>
    <xf numFmtId="197" fontId="260" fillId="5" borderId="24" xfId="0" applyNumberFormat="1" applyFont="1" applyFill="1" applyBorder="1" applyAlignment="1">
      <alignment horizontal="center" vertical="center" wrapText="1"/>
    </xf>
    <xf numFmtId="0" fontId="260" fillId="9" borderId="23" xfId="0" applyFont="1" applyFill="1" applyBorder="1" applyAlignment="1" applyProtection="1">
      <alignment horizontal="center" vertical="center"/>
    </xf>
    <xf numFmtId="176" fontId="260" fillId="9" borderId="1" xfId="17" applyNumberFormat="1" applyFont="1" applyFill="1" applyBorder="1" applyAlignment="1">
      <alignment horizontal="center" vertical="center" shrinkToFit="1"/>
    </xf>
    <xf numFmtId="49" fontId="260" fillId="9" borderId="46" xfId="0" applyNumberFormat="1" applyFont="1" applyFill="1" applyBorder="1" applyAlignment="1" applyProtection="1">
      <alignment horizontal="center" vertical="center" wrapText="1"/>
    </xf>
    <xf numFmtId="43" fontId="260" fillId="9" borderId="46" xfId="17" applyFont="1" applyFill="1" applyBorder="1" applyAlignment="1" applyProtection="1">
      <alignment horizontal="center" vertical="center" wrapText="1"/>
    </xf>
    <xf numFmtId="0" fontId="261" fillId="9" borderId="1" xfId="0" applyFont="1" applyFill="1" applyBorder="1" applyAlignment="1">
      <alignment horizontal="center" vertical="center"/>
    </xf>
    <xf numFmtId="0" fontId="261" fillId="9" borderId="46" xfId="0" applyFont="1" applyFill="1" applyBorder="1" applyAlignment="1">
      <alignment horizontal="left" vertical="center"/>
    </xf>
    <xf numFmtId="179" fontId="260" fillId="9" borderId="1" xfId="0" applyNumberFormat="1" applyFont="1" applyFill="1" applyBorder="1" applyAlignment="1">
      <alignment horizontal="center" vertical="center" wrapText="1"/>
    </xf>
    <xf numFmtId="197" fontId="260" fillId="9" borderId="24" xfId="0" applyNumberFormat="1" applyFont="1" applyFill="1" applyBorder="1" applyAlignment="1">
      <alignment horizontal="center" vertical="center"/>
    </xf>
    <xf numFmtId="176" fontId="261" fillId="9" borderId="1" xfId="0" applyNumberFormat="1" applyFont="1" applyFill="1" applyBorder="1" applyAlignment="1">
      <alignment horizontal="center" vertical="center"/>
    </xf>
    <xf numFmtId="43" fontId="260" fillId="9" borderId="1" xfId="17" applyFont="1" applyFill="1" applyBorder="1" applyAlignment="1">
      <alignment horizontal="center" vertical="center"/>
    </xf>
    <xf numFmtId="0" fontId="260" fillId="9" borderId="46" xfId="0" applyFont="1" applyFill="1" applyBorder="1" applyAlignment="1">
      <alignment horizontal="left" vertical="center"/>
    </xf>
    <xf numFmtId="197" fontId="261" fillId="9" borderId="24" xfId="0" applyNumberFormat="1" applyFont="1" applyFill="1" applyBorder="1" applyAlignment="1">
      <alignment horizontal="center" vertical="center"/>
    </xf>
    <xf numFmtId="43" fontId="261" fillId="9" borderId="1" xfId="17" applyFont="1" applyFill="1" applyBorder="1" applyAlignment="1">
      <alignment horizontal="center" vertical="center"/>
    </xf>
    <xf numFmtId="0" fontId="260"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xf>
    <xf numFmtId="0" fontId="260" fillId="5" borderId="1" xfId="0" applyFont="1" applyFill="1" applyBorder="1" applyAlignment="1">
      <alignment horizontal="center" vertical="center"/>
    </xf>
    <xf numFmtId="176" fontId="260" fillId="5" borderId="1" xfId="17" applyNumberFormat="1" applyFont="1" applyFill="1" applyBorder="1" applyAlignment="1">
      <alignment horizontal="center" vertical="center" shrinkToFit="1"/>
    </xf>
    <xf numFmtId="43" fontId="260" fillId="5" borderId="1" xfId="17" applyFont="1" applyFill="1" applyBorder="1" applyAlignment="1">
      <alignment horizontal="center" vertical="center"/>
    </xf>
    <xf numFmtId="0" fontId="261" fillId="5" borderId="1" xfId="0" applyFont="1" applyFill="1" applyBorder="1" applyAlignment="1">
      <alignment horizontal="left" vertical="center"/>
    </xf>
    <xf numFmtId="14" fontId="260" fillId="5" borderId="1" xfId="0" applyNumberFormat="1" applyFont="1" applyFill="1" applyBorder="1" applyAlignment="1">
      <alignment horizontal="center" vertical="center"/>
    </xf>
    <xf numFmtId="197" fontId="260" fillId="5" borderId="24" xfId="0" applyNumberFormat="1" applyFont="1" applyFill="1" applyBorder="1" applyAlignment="1">
      <alignment horizontal="center" vertical="center"/>
    </xf>
    <xf numFmtId="0" fontId="260" fillId="0" borderId="1" xfId="0" applyFont="1" applyFill="1" applyBorder="1" applyAlignment="1">
      <alignment horizontal="left" vertical="center"/>
    </xf>
    <xf numFmtId="14" fontId="260" fillId="0" borderId="1" xfId="0" applyNumberFormat="1" applyFont="1" applyFill="1" applyBorder="1" applyAlignment="1">
      <alignment horizontal="center" vertical="center"/>
    </xf>
    <xf numFmtId="0" fontId="261" fillId="9" borderId="1" xfId="0" applyFont="1" applyFill="1" applyBorder="1" applyAlignment="1">
      <alignment horizontal="left" vertical="center"/>
    </xf>
    <xf numFmtId="0" fontId="260" fillId="5" borderId="46" xfId="0" applyFont="1" applyFill="1" applyBorder="1" applyAlignment="1">
      <alignment horizontal="left" vertical="center"/>
    </xf>
    <xf numFmtId="179" fontId="260" fillId="5" borderId="1" xfId="0" applyNumberFormat="1" applyFont="1" applyFill="1" applyBorder="1" applyAlignment="1">
      <alignment horizontal="center" vertical="center"/>
    </xf>
    <xf numFmtId="0" fontId="261" fillId="0" borderId="5" xfId="0" applyFont="1" applyFill="1" applyBorder="1" applyAlignment="1">
      <alignment horizontal="left" vertical="center"/>
    </xf>
    <xf numFmtId="179" fontId="260" fillId="9" borderId="46" xfId="0" applyNumberFormat="1" applyFont="1" applyFill="1" applyBorder="1" applyAlignment="1">
      <alignment horizontal="center" vertical="center"/>
    </xf>
    <xf numFmtId="0" fontId="261" fillId="5" borderId="2" xfId="0" applyFont="1" applyFill="1" applyBorder="1" applyAlignment="1">
      <alignment horizontal="center" vertical="center"/>
    </xf>
    <xf numFmtId="176" fontId="260" fillId="5" borderId="2" xfId="17" applyNumberFormat="1" applyFont="1" applyFill="1" applyBorder="1" applyAlignment="1">
      <alignment horizontal="center" vertical="center" shrinkToFit="1"/>
    </xf>
    <xf numFmtId="43" fontId="261" fillId="5" borderId="2" xfId="17" applyFont="1" applyFill="1" applyBorder="1" applyAlignment="1">
      <alignment horizontal="center" vertical="center"/>
    </xf>
    <xf numFmtId="0" fontId="261" fillId="5" borderId="46" xfId="0" applyFont="1" applyFill="1" applyBorder="1" applyAlignment="1">
      <alignment horizontal="center" vertical="center"/>
    </xf>
    <xf numFmtId="0" fontId="260" fillId="9" borderId="1" xfId="0" applyFont="1" applyFill="1" applyBorder="1" applyAlignment="1">
      <alignment horizontal="center" vertical="center"/>
    </xf>
    <xf numFmtId="0" fontId="261" fillId="9" borderId="2" xfId="0" applyFont="1" applyFill="1" applyBorder="1" applyAlignment="1">
      <alignment horizontal="left" vertical="center"/>
    </xf>
    <xf numFmtId="0" fontId="261" fillId="9" borderId="2" xfId="0" applyFont="1" applyFill="1" applyBorder="1" applyAlignment="1">
      <alignment horizontal="center" vertical="center"/>
    </xf>
    <xf numFmtId="0" fontId="261" fillId="0" borderId="2" xfId="0" applyFont="1" applyFill="1" applyBorder="1" applyAlignment="1">
      <alignment horizontal="center" vertical="center"/>
    </xf>
    <xf numFmtId="176" fontId="261" fillId="0" borderId="2" xfId="0" applyNumberFormat="1" applyFont="1" applyFill="1" applyBorder="1" applyAlignment="1">
      <alignment horizontal="center" vertical="center"/>
    </xf>
    <xf numFmtId="0" fontId="261" fillId="0" borderId="2" xfId="0" applyFont="1" applyFill="1" applyBorder="1" applyAlignment="1">
      <alignment horizontal="left" vertical="center"/>
    </xf>
    <xf numFmtId="197" fontId="261" fillId="0" borderId="8" xfId="0" applyNumberFormat="1" applyFont="1" applyFill="1" applyBorder="1" applyAlignment="1">
      <alignment horizontal="center" vertical="center"/>
    </xf>
    <xf numFmtId="14" fontId="261" fillId="9" borderId="1" xfId="0" applyNumberFormat="1" applyFont="1" applyFill="1" applyBorder="1" applyAlignment="1">
      <alignment horizontal="center" vertical="center"/>
    </xf>
    <xf numFmtId="49" fontId="261" fillId="9" borderId="13" xfId="0" applyNumberFormat="1" applyFont="1" applyFill="1" applyBorder="1" applyAlignment="1" applyProtection="1">
      <alignment horizontal="left" vertical="center" wrapText="1"/>
    </xf>
    <xf numFmtId="49" fontId="261" fillId="5" borderId="13" xfId="0" applyNumberFormat="1" applyFont="1" applyFill="1" applyBorder="1" applyAlignment="1" applyProtection="1">
      <alignment horizontal="left" vertical="center" wrapText="1"/>
    </xf>
    <xf numFmtId="0" fontId="260" fillId="0" borderId="46" xfId="0" applyFont="1" applyFill="1" applyBorder="1" applyAlignment="1">
      <alignment horizontal="left" vertical="center" wrapText="1"/>
    </xf>
    <xf numFmtId="176" fontId="261" fillId="9" borderId="1" xfId="17" applyNumberFormat="1" applyFont="1" applyFill="1" applyBorder="1" applyAlignment="1">
      <alignment horizontal="center" vertical="center" wrapText="1"/>
    </xf>
    <xf numFmtId="179" fontId="260" fillId="9" borderId="1" xfId="0" applyNumberFormat="1" applyFont="1" applyFill="1" applyBorder="1" applyAlignment="1">
      <alignment horizontal="center" vertical="center"/>
    </xf>
    <xf numFmtId="176" fontId="261" fillId="0" borderId="1" xfId="17" applyNumberFormat="1" applyFont="1" applyFill="1" applyBorder="1" applyAlignment="1">
      <alignment horizontal="center" vertical="center" wrapText="1"/>
    </xf>
    <xf numFmtId="179" fontId="261" fillId="0" borderId="1"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197" fontId="260" fillId="0" borderId="24" xfId="17" applyNumberFormat="1" applyFont="1" applyFill="1" applyBorder="1" applyAlignment="1">
      <alignment horizontal="center" vertical="center"/>
    </xf>
    <xf numFmtId="176" fontId="261" fillId="0" borderId="1" xfId="17" applyNumberFormat="1" applyFont="1" applyFill="1" applyBorder="1" applyAlignment="1">
      <alignment horizontal="center" vertical="center"/>
    </xf>
    <xf numFmtId="0" fontId="261" fillId="0" borderId="13" xfId="0" applyFont="1" applyFill="1" applyBorder="1" applyAlignment="1">
      <alignment horizontal="center" vertical="center" wrapText="1"/>
    </xf>
    <xf numFmtId="49" fontId="260" fillId="5" borderId="1" xfId="0" applyNumberFormat="1" applyFont="1" applyFill="1" applyBorder="1" applyAlignment="1" applyProtection="1">
      <alignment horizontal="center" vertical="center" wrapText="1"/>
    </xf>
    <xf numFmtId="43" fontId="260" fillId="5" borderId="1" xfId="17" applyFont="1" applyFill="1" applyBorder="1" applyAlignment="1" applyProtection="1">
      <alignment horizontal="center" vertical="center" wrapText="1"/>
    </xf>
    <xf numFmtId="0" fontId="261" fillId="5" borderId="46" xfId="0" applyFont="1" applyFill="1" applyBorder="1" applyAlignment="1">
      <alignment horizontal="left" vertical="center" wrapText="1"/>
    </xf>
    <xf numFmtId="0" fontId="263" fillId="0" borderId="25" xfId="0" applyFont="1" applyFill="1" applyBorder="1" applyAlignment="1">
      <alignment vertical="center"/>
    </xf>
    <xf numFmtId="0" fontId="263" fillId="0" borderId="32" xfId="0" applyFont="1" applyFill="1" applyBorder="1" applyAlignment="1">
      <alignment vertical="center"/>
    </xf>
    <xf numFmtId="176" fontId="263" fillId="0" borderId="32" xfId="17" applyNumberFormat="1" applyFont="1" applyFill="1" applyBorder="1" applyAlignment="1">
      <alignment horizontal="center" vertical="center"/>
    </xf>
    <xf numFmtId="0" fontId="263" fillId="0" borderId="32" xfId="0" applyFont="1" applyFill="1" applyBorder="1" applyAlignment="1">
      <alignment horizontal="center" vertical="center"/>
    </xf>
    <xf numFmtId="197" fontId="263" fillId="0" borderId="49" xfId="0" applyNumberFormat="1" applyFont="1" applyFill="1" applyBorder="1" applyAlignment="1">
      <alignment horizontal="center" vertical="center"/>
    </xf>
    <xf numFmtId="0" fontId="260" fillId="0" borderId="46" xfId="0" applyFont="1" applyFill="1" applyBorder="1" applyAlignment="1" applyProtection="1">
      <alignment horizontal="center" vertical="center" wrapText="1"/>
    </xf>
    <xf numFmtId="0" fontId="260" fillId="5" borderId="46" xfId="0" applyFont="1" applyFill="1" applyBorder="1" applyAlignment="1" applyProtection="1">
      <alignment horizontal="center" vertical="center" wrapText="1"/>
    </xf>
    <xf numFmtId="0" fontId="260" fillId="9" borderId="46" xfId="0" applyFont="1" applyFill="1" applyBorder="1" applyAlignment="1" applyProtection="1">
      <alignment horizontal="center" vertical="center" wrapText="1"/>
    </xf>
    <xf numFmtId="0" fontId="260" fillId="0" borderId="1" xfId="0" applyFont="1" applyFill="1" applyBorder="1" applyAlignment="1" applyProtection="1">
      <alignment horizontal="center" vertical="center" wrapText="1"/>
    </xf>
    <xf numFmtId="0" fontId="260" fillId="9" borderId="1" xfId="0" applyFont="1" applyFill="1" applyBorder="1" applyAlignment="1" applyProtection="1">
      <alignment horizontal="center" vertical="center" wrapText="1"/>
    </xf>
    <xf numFmtId="0" fontId="261" fillId="9" borderId="46" xfId="0" applyFont="1" applyFill="1" applyBorder="1" applyAlignment="1" applyProtection="1">
      <alignment horizontal="center" vertical="center" wrapText="1"/>
    </xf>
    <xf numFmtId="0" fontId="261" fillId="0" borderId="46" xfId="0" applyFont="1" applyFill="1" applyBorder="1" applyAlignment="1" applyProtection="1">
      <alignment horizontal="center" vertical="center" wrapText="1"/>
    </xf>
    <xf numFmtId="0" fontId="261" fillId="0" borderId="13" xfId="0" applyFont="1" applyFill="1" applyBorder="1" applyAlignment="1" applyProtection="1">
      <alignment horizontal="center" vertical="center" wrapText="1"/>
    </xf>
    <xf numFmtId="0" fontId="260" fillId="0" borderId="13" xfId="0" applyFont="1" applyFill="1" applyBorder="1" applyAlignment="1" applyProtection="1">
      <alignment horizontal="center" vertical="center" wrapText="1"/>
    </xf>
    <xf numFmtId="0" fontId="260" fillId="5" borderId="1" xfId="0" applyFont="1" applyFill="1" applyBorder="1" applyAlignment="1" applyProtection="1">
      <alignment horizontal="center" vertical="center" wrapText="1"/>
    </xf>
    <xf numFmtId="0" fontId="259" fillId="0" borderId="51" xfId="0" applyFont="1" applyFill="1" applyBorder="1" applyAlignment="1">
      <alignment horizontal="center" vertical="center"/>
    </xf>
    <xf numFmtId="0" fontId="260" fillId="0" borderId="37" xfId="0" applyFont="1" applyFill="1" applyBorder="1" applyAlignment="1">
      <alignment horizontal="center" vertical="center"/>
    </xf>
    <xf numFmtId="176" fontId="260" fillId="0" borderId="1" xfId="0" applyNumberFormat="1" applyFont="1" applyFill="1" applyBorder="1" applyAlignment="1">
      <alignment horizontal="center" vertical="center"/>
    </xf>
    <xf numFmtId="0" fontId="262" fillId="0" borderId="1" xfId="0" applyFont="1" applyFill="1" applyBorder="1" applyAlignment="1">
      <alignment horizontal="left" vertical="center" wrapText="1"/>
    </xf>
    <xf numFmtId="184" fontId="260" fillId="0" borderId="1" xfId="0" applyNumberFormat="1" applyFont="1" applyFill="1" applyBorder="1" applyAlignment="1">
      <alignment horizontal="center"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center" vertical="center" wrapText="1"/>
    </xf>
    <xf numFmtId="43" fontId="262" fillId="0" borderId="1" xfId="17" applyFont="1" applyFill="1" applyBorder="1" applyAlignment="1">
      <alignment horizontal="center" vertical="center" wrapText="1"/>
    </xf>
    <xf numFmtId="0" fontId="260" fillId="5" borderId="37" xfId="0" applyFont="1" applyFill="1" applyBorder="1" applyAlignment="1">
      <alignment horizontal="center" vertical="center"/>
    </xf>
    <xf numFmtId="176" fontId="260" fillId="5" borderId="1" xfId="0" applyNumberFormat="1" applyFont="1" applyFill="1" applyBorder="1" applyAlignment="1">
      <alignment horizontal="center" vertical="center"/>
    </xf>
    <xf numFmtId="0" fontId="261" fillId="5" borderId="1" xfId="0" applyFont="1" applyFill="1" applyBorder="1" applyAlignment="1">
      <alignment horizontal="center" vertical="center" wrapText="1"/>
    </xf>
    <xf numFmtId="43" fontId="261" fillId="5" borderId="1" xfId="17" applyFont="1" applyFill="1" applyBorder="1" applyAlignment="1">
      <alignment horizontal="center" vertical="center" wrapText="1"/>
    </xf>
    <xf numFmtId="0" fontId="261" fillId="5" borderId="1" xfId="0" applyFont="1" applyFill="1" applyBorder="1" applyAlignment="1">
      <alignment horizontal="left" vertical="center" wrapText="1"/>
    </xf>
    <xf numFmtId="184" fontId="260" fillId="5" borderId="1" xfId="0" applyNumberFormat="1" applyFont="1" applyFill="1" applyBorder="1" applyAlignment="1">
      <alignment horizontal="center" vertical="center"/>
    </xf>
    <xf numFmtId="0" fontId="260" fillId="5" borderId="1" xfId="0" applyFont="1" applyFill="1" applyBorder="1" applyAlignment="1">
      <alignment horizontal="left" vertical="center" wrapText="1"/>
    </xf>
    <xf numFmtId="0" fontId="260" fillId="9" borderId="37" xfId="0" applyFont="1" applyFill="1" applyBorder="1" applyAlignment="1">
      <alignment horizontal="center" vertical="center"/>
    </xf>
    <xf numFmtId="176" fontId="260" fillId="9" borderId="1" xfId="0" applyNumberFormat="1" applyFont="1" applyFill="1" applyBorder="1" applyAlignment="1">
      <alignment horizontal="center" vertical="center"/>
    </xf>
    <xf numFmtId="0" fontId="260" fillId="9" borderId="1" xfId="0" applyFont="1" applyFill="1" applyBorder="1" applyAlignment="1">
      <alignment horizontal="left" vertical="center" wrapText="1"/>
    </xf>
    <xf numFmtId="184" fontId="260" fillId="9" borderId="1" xfId="0" applyNumberFormat="1" applyFont="1" applyFill="1" applyBorder="1" applyAlignment="1">
      <alignment horizontal="center" vertical="center"/>
    </xf>
    <xf numFmtId="0" fontId="261" fillId="0" borderId="0" xfId="0" applyFont="1" applyFill="1" applyBorder="1" applyAlignment="1">
      <alignment horizontal="left" vertical="center"/>
    </xf>
    <xf numFmtId="43" fontId="261" fillId="0" borderId="1" xfId="17" applyFont="1" applyFill="1" applyBorder="1" applyAlignment="1">
      <alignment horizontal="center"/>
    </xf>
    <xf numFmtId="43" fontId="261" fillId="0" borderId="0" xfId="17" applyFont="1" applyFill="1" applyBorder="1" applyAlignment="1">
      <alignment horizontal="center"/>
    </xf>
    <xf numFmtId="0" fontId="260" fillId="9" borderId="46" xfId="0" applyFont="1" applyFill="1" applyBorder="1" applyAlignment="1">
      <alignment horizontal="left" vertical="center" wrapText="1"/>
    </xf>
    <xf numFmtId="0" fontId="260" fillId="5" borderId="46" xfId="0" applyFont="1" applyFill="1" applyBorder="1" applyAlignment="1">
      <alignment horizontal="left" vertical="center" wrapText="1"/>
    </xf>
    <xf numFmtId="0" fontId="262" fillId="9" borderId="1" xfId="0" applyFont="1" applyFill="1" applyBorder="1" applyAlignment="1">
      <alignment horizontal="center" vertical="center"/>
    </xf>
    <xf numFmtId="43" fontId="262" fillId="9" borderId="1" xfId="17" applyFont="1" applyFill="1" applyBorder="1" applyAlignment="1">
      <alignment horizontal="center" vertical="center"/>
    </xf>
    <xf numFmtId="0" fontId="262" fillId="0" borderId="1" xfId="0" applyFont="1" applyFill="1" applyBorder="1" applyAlignment="1">
      <alignment horizontal="center" vertical="center"/>
    </xf>
    <xf numFmtId="43" fontId="262" fillId="0" borderId="1" xfId="17" applyFont="1" applyFill="1" applyBorder="1" applyAlignment="1">
      <alignment horizontal="center" vertical="center"/>
    </xf>
    <xf numFmtId="0" fontId="263" fillId="0" borderId="38" xfId="0" applyFont="1" applyFill="1" applyBorder="1" applyAlignment="1">
      <alignment horizontal="center" vertical="center" wrapText="1"/>
    </xf>
    <xf numFmtId="0" fontId="263" fillId="0" borderId="32" xfId="0" applyFont="1" applyFill="1" applyBorder="1" applyAlignment="1">
      <alignment vertical="center" wrapText="1"/>
    </xf>
    <xf numFmtId="176" fontId="263" fillId="0" borderId="32" xfId="17" applyNumberFormat="1" applyFont="1" applyFill="1" applyBorder="1" applyAlignment="1">
      <alignment horizontal="center" vertical="center" wrapText="1"/>
    </xf>
    <xf numFmtId="197" fontId="263" fillId="0" borderId="49" xfId="17" applyNumberFormat="1" applyFont="1" applyFill="1" applyBorder="1" applyAlignment="1">
      <alignment horizontal="center" vertical="center" wrapText="1"/>
    </xf>
    <xf numFmtId="0" fontId="261" fillId="5" borderId="1" xfId="0" applyFont="1" applyFill="1" applyBorder="1" applyAlignment="1" applyProtection="1">
      <alignment horizontal="center" vertical="center" wrapText="1"/>
    </xf>
    <xf numFmtId="197" fontId="0" fillId="0" borderId="0" xfId="0" applyNumberFormat="1">
      <alignment vertical="center"/>
    </xf>
    <xf numFmtId="197" fontId="111" fillId="0" borderId="0" xfId="0" applyNumberFormat="1" applyFont="1">
      <alignmen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55" fillId="18" borderId="24" xfId="0"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0" fontId="46" fillId="20" borderId="54"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10" fontId="55" fillId="20" borderId="49"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0" xfId="0" applyNumberFormat="1" applyFont="1" applyFill="1" applyAlignment="1" applyProtection="1">
      <alignment horizontal="right" vertical="center"/>
    </xf>
    <xf numFmtId="49" fontId="19" fillId="0" borderId="0" xfId="0" applyNumberFormat="1" applyFont="1" applyFill="1" applyAlignment="1" applyProtection="1">
      <alignment horizontal="left" vertical="center"/>
    </xf>
    <xf numFmtId="49" fontId="66" fillId="0" borderId="0" xfId="0" applyNumberFormat="1" applyFont="1" applyFill="1" applyAlignment="1" applyProtection="1">
      <alignment horizontal="center" vertical="center"/>
    </xf>
    <xf numFmtId="49" fontId="111" fillId="0" borderId="9" xfId="0" applyNumberFormat="1" applyFont="1" applyFill="1" applyBorder="1" applyAlignment="1" applyProtection="1">
      <alignment horizontal="center" vertical="center" wrapText="1"/>
    </xf>
    <xf numFmtId="49" fontId="19" fillId="0" borderId="9"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111" fillId="0" borderId="24" xfId="0" applyNumberFormat="1" applyFont="1" applyFill="1" applyBorder="1" applyAlignment="1" applyProtection="1">
      <alignment horizontal="center" vertical="center" wrapText="1"/>
    </xf>
    <xf numFmtId="0" fontId="260" fillId="0" borderId="13" xfId="0" applyFont="1" applyFill="1" applyBorder="1" applyAlignment="1">
      <alignment horizontal="center" vertical="center"/>
    </xf>
    <xf numFmtId="0" fontId="260" fillId="0" borderId="2" xfId="0" applyFont="1" applyFill="1" applyBorder="1" applyAlignment="1">
      <alignment horizontal="center" vertical="center"/>
    </xf>
    <xf numFmtId="43" fontId="260" fillId="0" borderId="13" xfId="17" applyFont="1" applyFill="1" applyBorder="1" applyAlignment="1">
      <alignment horizontal="center" vertical="center"/>
    </xf>
    <xf numFmtId="43" fontId="260" fillId="0" borderId="2" xfId="17" applyFont="1" applyFill="1" applyBorder="1" applyAlignment="1">
      <alignment horizontal="center" vertical="center"/>
    </xf>
    <xf numFmtId="0" fontId="260" fillId="0" borderId="1" xfId="0" applyFont="1" applyFill="1" applyBorder="1" applyAlignment="1">
      <alignment horizontal="left" vertical="center" wrapText="1"/>
    </xf>
    <xf numFmtId="0" fontId="261" fillId="0" borderId="36" xfId="0" applyFont="1" applyFill="1" applyBorder="1" applyAlignment="1">
      <alignment horizontal="center" vertical="center"/>
    </xf>
    <xf numFmtId="0" fontId="261" fillId="0" borderId="60" xfId="0" applyFont="1" applyFill="1" applyBorder="1" applyAlignment="1">
      <alignment horizontal="center" vertical="center"/>
    </xf>
    <xf numFmtId="197" fontId="260" fillId="0" borderId="24" xfId="17" applyNumberFormat="1" applyFont="1" applyFill="1" applyBorder="1" applyAlignment="1">
      <alignment horizontal="center" vertical="center"/>
    </xf>
    <xf numFmtId="0" fontId="260" fillId="0" borderId="13" xfId="0" applyFont="1" applyFill="1" applyBorder="1" applyAlignment="1">
      <alignment horizontal="left" vertical="center" wrapText="1"/>
    </xf>
    <xf numFmtId="0" fontId="260" fillId="0" borderId="2" xfId="0" applyFont="1" applyFill="1" applyBorder="1" applyAlignment="1">
      <alignment horizontal="left" vertical="center" wrapText="1"/>
    </xf>
    <xf numFmtId="184" fontId="260" fillId="0" borderId="13" xfId="0" applyNumberFormat="1" applyFont="1" applyFill="1" applyBorder="1" applyAlignment="1">
      <alignment horizontal="center" vertical="center"/>
    </xf>
    <xf numFmtId="184" fontId="260" fillId="0" borderId="2" xfId="0" applyNumberFormat="1" applyFont="1" applyFill="1" applyBorder="1" applyAlignment="1">
      <alignment horizontal="center" vertical="center"/>
    </xf>
    <xf numFmtId="197" fontId="260" fillId="0" borderId="61" xfId="0" applyNumberFormat="1" applyFont="1" applyFill="1" applyBorder="1" applyAlignment="1">
      <alignment horizontal="center" vertical="center"/>
    </xf>
    <xf numFmtId="197" fontId="260" fillId="0" borderId="8" xfId="0" applyNumberFormat="1" applyFont="1" applyFill="1" applyBorder="1" applyAlignment="1">
      <alignment horizontal="center" vertical="center"/>
    </xf>
    <xf numFmtId="0" fontId="258" fillId="0" borderId="46" xfId="0" applyFont="1" applyFill="1" applyBorder="1" applyAlignment="1">
      <alignment horizontal="center" vertical="center"/>
    </xf>
    <xf numFmtId="0" fontId="258" fillId="0" borderId="36" xfId="0" applyFont="1" applyFill="1" applyBorder="1" applyAlignment="1">
      <alignment horizontal="center" vertical="center"/>
    </xf>
    <xf numFmtId="0" fontId="258" fillId="0" borderId="22" xfId="0" applyFont="1" applyFill="1" applyBorder="1" applyAlignment="1">
      <alignment horizontal="center" vertical="center"/>
    </xf>
    <xf numFmtId="0" fontId="258" fillId="0" borderId="0" xfId="0" applyFont="1" applyFill="1" applyBorder="1" applyAlignment="1">
      <alignment horizontal="center" vertical="center"/>
    </xf>
    <xf numFmtId="49" fontId="261" fillId="0" borderId="13" xfId="0" applyNumberFormat="1" applyFont="1" applyFill="1" applyBorder="1" applyAlignment="1" applyProtection="1">
      <alignment horizontal="center" vertical="center" wrapText="1"/>
    </xf>
    <xf numFmtId="49" fontId="261" fillId="0" borderId="2" xfId="0" applyNumberFormat="1" applyFont="1" applyFill="1" applyBorder="1" applyAlignment="1" applyProtection="1">
      <alignment horizontal="center" vertical="center" wrapText="1"/>
    </xf>
    <xf numFmtId="43" fontId="261" fillId="0" borderId="13" xfId="17" applyFont="1" applyFill="1" applyBorder="1" applyAlignment="1" applyProtection="1">
      <alignment horizontal="center" vertical="center" wrapText="1"/>
    </xf>
    <xf numFmtId="43" fontId="261" fillId="0" borderId="2" xfId="17" applyFont="1" applyFill="1" applyBorder="1" applyAlignment="1" applyProtection="1">
      <alignment horizontal="center" vertical="center" wrapText="1"/>
    </xf>
    <xf numFmtId="0" fontId="261" fillId="0" borderId="13" xfId="0" applyFont="1" applyFill="1" applyBorder="1" applyAlignment="1">
      <alignment vertical="center"/>
    </xf>
    <xf numFmtId="0" fontId="261" fillId="0" borderId="2" xfId="0" applyFont="1" applyFill="1" applyBorder="1" applyAlignment="1">
      <alignment vertical="center"/>
    </xf>
    <xf numFmtId="0" fontId="261" fillId="0" borderId="13" xfId="0" applyFont="1" applyFill="1" applyBorder="1" applyAlignment="1">
      <alignment horizontal="center" vertical="center"/>
    </xf>
    <xf numFmtId="0" fontId="261" fillId="0" borderId="2" xfId="0" applyFont="1" applyFill="1" applyBorder="1" applyAlignment="1">
      <alignment horizontal="center" vertical="center"/>
    </xf>
    <xf numFmtId="197" fontId="261" fillId="0" borderId="61" xfId="0" applyNumberFormat="1" applyFont="1" applyFill="1" applyBorder="1" applyAlignment="1">
      <alignment horizontal="center" vertical="center"/>
    </xf>
    <xf numFmtId="197" fontId="261" fillId="0" borderId="8" xfId="0" applyNumberFormat="1" applyFont="1" applyFill="1" applyBorder="1" applyAlignment="1">
      <alignment horizontal="center" vertical="center"/>
    </xf>
    <xf numFmtId="49" fontId="260" fillId="0" borderId="13" xfId="0" applyNumberFormat="1" applyFont="1" applyFill="1" applyBorder="1" applyAlignment="1" applyProtection="1">
      <alignment horizontal="center" vertical="center" wrapText="1"/>
    </xf>
    <xf numFmtId="49" fontId="260" fillId="0" borderId="15" xfId="0" applyNumberFormat="1" applyFont="1" applyFill="1" applyBorder="1" applyAlignment="1" applyProtection="1">
      <alignment horizontal="center" vertical="center" wrapText="1"/>
    </xf>
    <xf numFmtId="49" fontId="260" fillId="0" borderId="2" xfId="0" applyNumberFormat="1" applyFont="1" applyFill="1" applyBorder="1" applyAlignment="1" applyProtection="1">
      <alignment horizontal="center" vertical="center" wrapText="1"/>
    </xf>
    <xf numFmtId="43" fontId="260" fillId="0" borderId="13" xfId="17" applyFont="1" applyFill="1" applyBorder="1" applyAlignment="1" applyProtection="1">
      <alignment horizontal="center" vertical="center" wrapText="1"/>
    </xf>
    <xf numFmtId="43" fontId="260" fillId="0" borderId="15" xfId="17" applyFont="1" applyFill="1" applyBorder="1" applyAlignment="1" applyProtection="1">
      <alignment horizontal="center" vertical="center" wrapText="1"/>
    </xf>
    <xf numFmtId="43" fontId="260" fillId="0" borderId="2" xfId="17" applyFont="1" applyFill="1" applyBorder="1" applyAlignment="1" applyProtection="1">
      <alignment horizontal="center" vertical="center" wrapText="1"/>
    </xf>
    <xf numFmtId="0" fontId="262" fillId="0" borderId="13" xfId="0" applyFont="1" applyFill="1" applyBorder="1" applyAlignment="1">
      <alignment horizontal="left" vertical="center" wrapText="1"/>
    </xf>
    <xf numFmtId="0" fontId="262" fillId="0" borderId="15" xfId="0" applyFont="1" applyFill="1" applyBorder="1" applyAlignment="1">
      <alignment horizontal="left" vertical="center" wrapText="1"/>
    </xf>
    <xf numFmtId="0" fontId="262" fillId="0" borderId="2" xfId="0" applyFont="1" applyFill="1" applyBorder="1" applyAlignment="1">
      <alignment horizontal="left" vertical="center" wrapText="1"/>
    </xf>
    <xf numFmtId="179" fontId="260" fillId="0" borderId="13" xfId="0" applyNumberFormat="1" applyFont="1" applyFill="1" applyBorder="1" applyAlignment="1">
      <alignment horizontal="center" vertical="center"/>
    </xf>
    <xf numFmtId="179" fontId="260" fillId="0" borderId="15" xfId="0" applyNumberFormat="1" applyFont="1" applyFill="1" applyBorder="1" applyAlignment="1">
      <alignment horizontal="center" vertical="center"/>
    </xf>
    <xf numFmtId="179" fontId="260" fillId="0" borderId="2" xfId="0" applyNumberFormat="1" applyFont="1" applyFill="1" applyBorder="1" applyAlignment="1">
      <alignment horizontal="center" vertical="center"/>
    </xf>
    <xf numFmtId="197" fontId="260" fillId="0" borderId="53" xfId="0" applyNumberFormat="1"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36639</xdr:colOff>
      <xdr:row>40</xdr:row>
      <xdr:rowOff>132477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1695239" cy="6990477"/>
        </a:xfrm>
        <a:prstGeom prst="rect">
          <a:avLst/>
        </a:prstGeom>
      </xdr:spPr>
    </xdr:pic>
    <xdr:clientData/>
  </xdr:twoCellAnchor>
  <xdr:twoCellAnchor editAs="oneCell">
    <xdr:from>
      <xdr:col>0</xdr:col>
      <xdr:colOff>0</xdr:colOff>
      <xdr:row>41</xdr:row>
      <xdr:rowOff>0</xdr:rowOff>
    </xdr:from>
    <xdr:to>
      <xdr:col>14</xdr:col>
      <xdr:colOff>351182</xdr:colOff>
      <xdr:row>68</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9952382"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47</xdr:row>
      <xdr:rowOff>94232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9525" cy="8152382"/>
        </a:xfrm>
        <a:prstGeom prst="rect">
          <a:avLst/>
        </a:prstGeom>
      </xdr:spPr>
    </xdr:pic>
    <xdr:clientData/>
  </xdr:twoCellAnchor>
  <xdr:twoCellAnchor editAs="oneCell">
    <xdr:from>
      <xdr:col>0</xdr:col>
      <xdr:colOff>0</xdr:colOff>
      <xdr:row>48</xdr:row>
      <xdr:rowOff>0</xdr:rowOff>
    </xdr:from>
    <xdr:to>
      <xdr:col>15</xdr:col>
      <xdr:colOff>636810</xdr:colOff>
      <xdr:row>96</xdr:row>
      <xdr:rowOff>37067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923810" cy="8266667"/>
        </a:xfrm>
        <a:prstGeom prst="rect">
          <a:avLst/>
        </a:prstGeom>
      </xdr:spPr>
    </xdr:pic>
    <xdr:clientData/>
  </xdr:twoCellAnchor>
  <xdr:twoCellAnchor editAs="oneCell">
    <xdr:from>
      <xdr:col>0</xdr:col>
      <xdr:colOff>0</xdr:colOff>
      <xdr:row>97</xdr:row>
      <xdr:rowOff>0</xdr:rowOff>
    </xdr:from>
    <xdr:to>
      <xdr:col>16</xdr:col>
      <xdr:colOff>360534</xdr:colOff>
      <xdr:row>145</xdr:row>
      <xdr:rowOff>46591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11333334" cy="8276191"/>
        </a:xfrm>
        <a:prstGeom prst="rect">
          <a:avLst/>
        </a:prstGeom>
      </xdr:spPr>
    </xdr:pic>
    <xdr:clientData/>
  </xdr:twoCellAnchor>
  <xdr:twoCellAnchor editAs="oneCell">
    <xdr:from>
      <xdr:col>0</xdr:col>
      <xdr:colOff>0</xdr:colOff>
      <xdr:row>158</xdr:row>
      <xdr:rowOff>133350</xdr:rowOff>
    </xdr:from>
    <xdr:to>
      <xdr:col>16</xdr:col>
      <xdr:colOff>427201</xdr:colOff>
      <xdr:row>207</xdr:row>
      <xdr:rowOff>37062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22450"/>
          <a:ext cx="11400001" cy="8304762"/>
        </a:xfrm>
        <a:prstGeom prst="rect">
          <a:avLst/>
        </a:prstGeom>
      </xdr:spPr>
    </xdr:pic>
    <xdr:clientData/>
  </xdr:twoCellAnchor>
  <xdr:twoCellAnchor editAs="oneCell">
    <xdr:from>
      <xdr:col>0</xdr:col>
      <xdr:colOff>0</xdr:colOff>
      <xdr:row>257</xdr:row>
      <xdr:rowOff>47625</xdr:rowOff>
    </xdr:from>
    <xdr:to>
      <xdr:col>16</xdr:col>
      <xdr:colOff>465296</xdr:colOff>
      <xdr:row>305</xdr:row>
      <xdr:rowOff>8502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4110275"/>
          <a:ext cx="11438096" cy="8190477"/>
        </a:xfrm>
        <a:prstGeom prst="rect">
          <a:avLst/>
        </a:prstGeom>
      </xdr:spPr>
    </xdr:pic>
    <xdr:clientData/>
  </xdr:twoCellAnchor>
  <xdr:twoCellAnchor editAs="oneCell">
    <xdr:from>
      <xdr:col>0</xdr:col>
      <xdr:colOff>0</xdr:colOff>
      <xdr:row>208</xdr:row>
      <xdr:rowOff>0</xdr:rowOff>
    </xdr:from>
    <xdr:to>
      <xdr:col>16</xdr:col>
      <xdr:colOff>141486</xdr:colOff>
      <xdr:row>256</xdr:row>
      <xdr:rowOff>160877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661600"/>
          <a:ext cx="11114286" cy="83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161476</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6180953"/>
        </a:xfrm>
        <a:prstGeom prst="rect">
          <a:avLst/>
        </a:prstGeom>
      </xdr:spPr>
    </xdr:pic>
    <xdr:clientData/>
  </xdr:twoCellAnchor>
  <xdr:twoCellAnchor editAs="oneCell">
    <xdr:from>
      <xdr:col>5</xdr:col>
      <xdr:colOff>104775</xdr:colOff>
      <xdr:row>0</xdr:row>
      <xdr:rowOff>0</xdr:rowOff>
    </xdr:from>
    <xdr:to>
      <xdr:col>10</xdr:col>
      <xdr:colOff>18632</xdr:colOff>
      <xdr:row>41</xdr:row>
      <xdr:rowOff>65789</xdr:rowOff>
    </xdr:to>
    <xdr:pic>
      <xdr:nvPicPr>
        <xdr:cNvPr id="3" name="图片 2"/>
        <xdr:cNvPicPr>
          <a:picLocks noChangeAspect="1"/>
        </xdr:cNvPicPr>
      </xdr:nvPicPr>
      <xdr:blipFill>
        <a:blip xmlns:r="http://schemas.openxmlformats.org/officeDocument/2006/relationships" r:embed="rId2"/>
        <a:stretch>
          <a:fillRect/>
        </a:stretch>
      </xdr:blipFill>
      <xdr:spPr>
        <a:xfrm>
          <a:off x="3533775" y="0"/>
          <a:ext cx="3342857" cy="7095239"/>
        </a:xfrm>
        <a:prstGeom prst="rect">
          <a:avLst/>
        </a:prstGeom>
      </xdr:spPr>
    </xdr:pic>
    <xdr:clientData/>
  </xdr:twoCellAnchor>
  <xdr:twoCellAnchor editAs="oneCell">
    <xdr:from>
      <xdr:col>9</xdr:col>
      <xdr:colOff>666750</xdr:colOff>
      <xdr:row>0</xdr:row>
      <xdr:rowOff>0</xdr:rowOff>
    </xdr:from>
    <xdr:to>
      <xdr:col>15</xdr:col>
      <xdr:colOff>123379</xdr:colOff>
      <xdr:row>41</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6838950" y="0"/>
          <a:ext cx="3571429" cy="7190477"/>
        </a:xfrm>
        <a:prstGeom prst="rect">
          <a:avLst/>
        </a:prstGeom>
      </xdr:spPr>
    </xdr:pic>
    <xdr:clientData/>
  </xdr:twoCellAnchor>
  <xdr:twoCellAnchor editAs="oneCell">
    <xdr:from>
      <xdr:col>10</xdr:col>
      <xdr:colOff>114300</xdr:colOff>
      <xdr:row>50</xdr:row>
      <xdr:rowOff>161925</xdr:rowOff>
    </xdr:from>
    <xdr:to>
      <xdr:col>15</xdr:col>
      <xdr:colOff>361491</xdr:colOff>
      <xdr:row>75</xdr:row>
      <xdr:rowOff>28056</xdr:rowOff>
    </xdr:to>
    <xdr:pic>
      <xdr:nvPicPr>
        <xdr:cNvPr id="5" name="图片 4"/>
        <xdr:cNvPicPr>
          <a:picLocks noChangeAspect="1"/>
        </xdr:cNvPicPr>
      </xdr:nvPicPr>
      <xdr:blipFill>
        <a:blip xmlns:r="http://schemas.openxmlformats.org/officeDocument/2006/relationships" r:embed="rId4"/>
        <a:stretch>
          <a:fillRect/>
        </a:stretch>
      </xdr:blipFill>
      <xdr:spPr>
        <a:xfrm>
          <a:off x="6972300" y="8734425"/>
          <a:ext cx="3676191" cy="4152381"/>
        </a:xfrm>
        <a:prstGeom prst="rect">
          <a:avLst/>
        </a:prstGeom>
      </xdr:spPr>
    </xdr:pic>
    <xdr:clientData/>
  </xdr:twoCellAnchor>
  <xdr:twoCellAnchor editAs="oneCell">
    <xdr:from>
      <xdr:col>0</xdr:col>
      <xdr:colOff>0</xdr:colOff>
      <xdr:row>50</xdr:row>
      <xdr:rowOff>0</xdr:rowOff>
    </xdr:from>
    <xdr:to>
      <xdr:col>4</xdr:col>
      <xdr:colOff>656800</xdr:colOff>
      <xdr:row>75</xdr:row>
      <xdr:rowOff>142322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72500"/>
          <a:ext cx="3400000" cy="4428572"/>
        </a:xfrm>
        <a:prstGeom prst="rect">
          <a:avLst/>
        </a:prstGeom>
      </xdr:spPr>
    </xdr:pic>
    <xdr:clientData/>
  </xdr:twoCellAnchor>
  <xdr:twoCellAnchor editAs="oneCell">
    <xdr:from>
      <xdr:col>5</xdr:col>
      <xdr:colOff>0</xdr:colOff>
      <xdr:row>50</xdr:row>
      <xdr:rowOff>0</xdr:rowOff>
    </xdr:from>
    <xdr:to>
      <xdr:col>10</xdr:col>
      <xdr:colOff>132905</xdr:colOff>
      <xdr:row>64</xdr:row>
      <xdr:rowOff>18748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8572500"/>
          <a:ext cx="3561905" cy="2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受贵公司委托，我公司对北京市进行了预评估。</v>
      </c>
    </row>
    <row r="7" spans="1:2" s="1314" customFormat="1">
      <c r="A7" s="1312" t="s">
        <v>991</v>
      </c>
      <c r="B7" s="1313" t="str">
        <f>'预评函-1'!A7</f>
        <v>估价对象为北京市房地产，为所有。根据《国有土地使用证》[]，估价对象（分摊）出让国有建设用地使用权面积为6030.52平方米，建筑面积为32060.45平方米。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估价对象为北京市房地产,属开发建设的，该项目尚在开发建设中。根据《国有土地使用证》[]，估价对象（分摊）出让国有建设用地使用权面积为6030.52平方米，规划建筑面积为32060.45平方米。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为估价委托人了解估价对象房地产市场价值提供参考依据。</v>
      </c>
    </row>
    <row r="12" spans="1:2" s="1314" customFormat="1">
      <c r="A12" s="1312" t="s">
        <v>953</v>
      </c>
      <c r="B12" s="1313" t="str">
        <f>'预评函-1'!A15</f>
        <v>2022年12月6日</v>
      </c>
    </row>
    <row r="13" spans="1:2" s="1314" customFormat="1">
      <c r="A13" s="1312" t="s">
        <v>954</v>
      </c>
      <c r="B13" s="1313"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本次评估采用的主估价方法为基准地价系数修正法和收益法。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120359</v>
      </c>
    </row>
    <row r="21" spans="1:2" s="1314" customFormat="1">
      <c r="A21" s="1312" t="s">
        <v>962</v>
      </c>
      <c r="B21" s="1313">
        <f ca="1">'预评函-2'!D7</f>
        <v>39963</v>
      </c>
    </row>
    <row r="22" spans="1:2" s="1314" customFormat="1">
      <c r="A22" s="1312" t="s">
        <v>963</v>
      </c>
      <c r="B22" s="1313" t="str">
        <f ca="1">'预评函-2'!D6</f>
        <v>壹拾贰亿零叁佰伍拾玖万元整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120359</v>
      </c>
    </row>
    <row r="31" spans="1:2" s="1314" customFormat="1">
      <c r="A31" s="1312" t="s">
        <v>1001</v>
      </c>
      <c r="B31" s="1313">
        <f ca="1">'预评函-2'!D15</f>
        <v>37541</v>
      </c>
    </row>
    <row r="32" spans="1:2" s="1314" customFormat="1">
      <c r="A32" s="1312" t="s">
        <v>968</v>
      </c>
      <c r="B32" s="1313" t="str">
        <f ca="1">'预评函-2'!D14</f>
        <v>壹拾贰亿零叁佰伍拾玖万元整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32060.45</v>
      </c>
    </row>
    <row r="44" spans="1:2" s="1314" customFormat="1">
      <c r="A44" s="1312" t="s">
        <v>1000</v>
      </c>
      <c r="B44" s="1313" t="str">
        <f>'预评函-3'!C2</f>
        <v>(分摊)土地面积</v>
      </c>
    </row>
    <row r="45" spans="1:2" s="1314" customFormat="1">
      <c r="A45" s="1312" t="s">
        <v>972</v>
      </c>
      <c r="B45" s="1313">
        <f>'预评函-3'!C4</f>
        <v>6030.52</v>
      </c>
    </row>
    <row r="46" spans="1:2" s="1314" customFormat="1">
      <c r="A46" s="1312" t="s">
        <v>998</v>
      </c>
      <c r="B46" s="1313" t="str">
        <f>'预评函-3'!D2</f>
        <v>出让国有建设用地使用权价值</v>
      </c>
    </row>
    <row r="47" spans="1:2" s="1314" customFormat="1">
      <c r="A47" s="1312" t="s">
        <v>973</v>
      </c>
      <c r="B47" s="1313">
        <f ca="1">'预评函-3'!D4</f>
        <v>87862</v>
      </c>
    </row>
    <row r="48" spans="1:2" s="1314" customFormat="1">
      <c r="A48" s="1312" t="s">
        <v>974</v>
      </c>
      <c r="B48" s="1313">
        <f ca="1">'预评函-3'!E4</f>
        <v>29173</v>
      </c>
    </row>
    <row r="49" spans="1:2" s="1314" customFormat="1">
      <c r="A49" s="1312" t="s">
        <v>975</v>
      </c>
      <c r="B49" s="1313" t="str">
        <f ca="1">'预评函-3'!D5</f>
        <v>捌亿柒仟捌佰陆拾贰万元整</v>
      </c>
    </row>
    <row r="50" spans="1:2" s="1314" customFormat="1">
      <c r="A50" s="1312" t="s">
        <v>999</v>
      </c>
      <c r="B50" s="1313" t="str">
        <f>'预评函-3'!F2</f>
        <v>在建建筑物价值</v>
      </c>
    </row>
    <row r="51" spans="1:2" s="1314" customFormat="1">
      <c r="A51" s="1312" t="s">
        <v>976</v>
      </c>
      <c r="B51" s="1313">
        <f ca="1">'预评函-3'!F4</f>
        <v>32497</v>
      </c>
    </row>
    <row r="52" spans="1:2" s="1314" customFormat="1">
      <c r="A52" s="1312" t="s">
        <v>977</v>
      </c>
      <c r="B52" s="1313">
        <f ca="1">'预评函-3'!G4</f>
        <v>10790</v>
      </c>
    </row>
    <row r="53" spans="1:2" s="1314" customFormat="1">
      <c r="A53" s="1312" t="s">
        <v>1005</v>
      </c>
      <c r="B53" s="1313" t="str">
        <f ca="1">'预评函-3'!F5</f>
        <v>叁亿贰仟肆佰玖拾柒万元整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2.本次评估设定估价对象房地产权属无争议，未被查封或者以其他形式限制其房地产权利，未设定抵押权等他项权利，不涉及第三方权利义务。</v>
      </c>
    </row>
    <row r="59" spans="1:2" s="1314" customFormat="1">
      <c r="A59" s="1312" t="s">
        <v>979</v>
      </c>
      <c r="B59" s="1313" t="str">
        <f>'预评函-4'!A13</f>
        <v>——</v>
      </c>
    </row>
    <row r="60" spans="1:2" s="1314" customFormat="1">
      <c r="A60" s="1312" t="s">
        <v>980</v>
      </c>
      <c r="B60" s="1313" t="str">
        <f>'预评函-4'!A14</f>
        <v>——</v>
      </c>
    </row>
    <row r="61" spans="1:2" s="1314" customFormat="1">
      <c r="A61" s="1312" t="s">
        <v>981</v>
      </c>
      <c r="B61" s="1313" t="str">
        <f>'预评函-4'!A15</f>
        <v>——</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v>
      </c>
    </row>
    <row r="65" spans="1:2" s="1314" customFormat="1">
      <c r="A65" s="1312" t="s">
        <v>984</v>
      </c>
      <c r="B65" s="13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4" sqref="E24"/>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78" t="s">
        <v>1456</v>
      </c>
      <c r="C5" s="1679" t="s">
        <v>582</v>
      </c>
      <c r="F5" s="1680" t="s">
        <v>1457</v>
      </c>
      <c r="H5" s="1680" t="s">
        <v>1458</v>
      </c>
      <c r="I5" s="1680" t="s">
        <v>1459</v>
      </c>
      <c r="K5" s="1680" t="s">
        <v>1460</v>
      </c>
      <c r="L5" s="1680" t="s">
        <v>1460</v>
      </c>
      <c r="M5" s="1680" t="s">
        <v>1460</v>
      </c>
      <c r="N5" s="1680" t="s">
        <v>1460</v>
      </c>
      <c r="O5" s="1680" t="s">
        <v>1460</v>
      </c>
      <c r="P5" s="1680" t="s">
        <v>1460</v>
      </c>
      <c r="Q5" s="1680" t="s">
        <v>1460</v>
      </c>
      <c r="R5" s="1680" t="s">
        <v>870</v>
      </c>
      <c r="S5" s="1680" t="s">
        <v>1460</v>
      </c>
      <c r="T5" s="1680" t="s">
        <v>1461</v>
      </c>
      <c r="U5" s="1680" t="s">
        <v>1460</v>
      </c>
      <c r="W5" s="1680" t="s">
        <v>1460</v>
      </c>
    </row>
    <row r="6" spans="1:23">
      <c r="A6" s="1678" t="s">
        <v>1462</v>
      </c>
      <c r="B6" s="1681" t="s">
        <v>874</v>
      </c>
      <c r="C6" s="1684" t="s">
        <v>30</v>
      </c>
      <c r="F6" s="1680" t="s">
        <v>1458</v>
      </c>
      <c r="H6" s="1680" t="s">
        <v>1463</v>
      </c>
      <c r="I6" s="1680" t="s">
        <v>1464</v>
      </c>
      <c r="K6" s="1680" t="s">
        <v>1465</v>
      </c>
      <c r="L6" s="1680" t="s">
        <v>1465</v>
      </c>
      <c r="M6" s="1680" t="s">
        <v>1465</v>
      </c>
      <c r="N6" s="1680" t="s">
        <v>1465</v>
      </c>
      <c r="O6" s="1680" t="s">
        <v>1465</v>
      </c>
      <c r="P6" s="1680" t="s">
        <v>1465</v>
      </c>
      <c r="Q6" s="1680" t="s">
        <v>1465</v>
      </c>
      <c r="R6" s="1680" t="s">
        <v>871</v>
      </c>
      <c r="S6" s="1680" t="s">
        <v>1465</v>
      </c>
      <c r="T6" s="1680"/>
      <c r="U6" s="1680" t="s">
        <v>1465</v>
      </c>
      <c r="W6" s="1680" t="s">
        <v>1465</v>
      </c>
    </row>
    <row r="7" spans="1:23">
      <c r="A7" s="1678" t="s">
        <v>1466</v>
      </c>
      <c r="B7" s="1681" t="s">
        <v>875</v>
      </c>
      <c r="C7" s="1679" t="s">
        <v>31</v>
      </c>
      <c r="F7" s="1680" t="s">
        <v>1467</v>
      </c>
      <c r="H7" s="1680" t="s">
        <v>1468</v>
      </c>
      <c r="I7" s="1680" t="s">
        <v>1469</v>
      </c>
    </row>
    <row r="8" spans="1:23">
      <c r="A8" s="1678" t="s">
        <v>1470</v>
      </c>
      <c r="B8" s="1678" t="s">
        <v>1471</v>
      </c>
      <c r="C8" s="1679" t="s">
        <v>583</v>
      </c>
      <c r="F8" s="1680" t="s">
        <v>1472</v>
      </c>
      <c r="H8" s="1680"/>
      <c r="I8" s="1680" t="s">
        <v>1473</v>
      </c>
    </row>
    <row r="9" spans="1:23">
      <c r="A9" s="1678" t="s">
        <v>1474</v>
      </c>
      <c r="B9" s="1678" t="s">
        <v>1475</v>
      </c>
      <c r="C9" s="1679" t="s">
        <v>584</v>
      </c>
      <c r="F9" s="1680" t="s">
        <v>1476</v>
      </c>
      <c r="H9" s="1680"/>
    </row>
    <row r="10" spans="1:23">
      <c r="A10" s="1678" t="s">
        <v>1477</v>
      </c>
      <c r="B10" s="1678" t="s">
        <v>1478</v>
      </c>
      <c r="C10" s="1679" t="s">
        <v>585</v>
      </c>
      <c r="F10" s="1680" t="s">
        <v>16</v>
      </c>
    </row>
    <row r="11" spans="1:23">
      <c r="A11" s="1678" t="s">
        <v>1479</v>
      </c>
      <c r="B11" s="1678" t="s">
        <v>1480</v>
      </c>
      <c r="C11" s="1679" t="s">
        <v>586</v>
      </c>
    </row>
    <row r="12" spans="1:23">
      <c r="A12" s="1678" t="s">
        <v>1481</v>
      </c>
      <c r="B12" s="1678" t="s">
        <v>1482</v>
      </c>
      <c r="C12" s="1679" t="s">
        <v>587</v>
      </c>
    </row>
    <row r="13" spans="1:23">
      <c r="A13" s="1678" t="s">
        <v>1483</v>
      </c>
      <c r="B13" s="1678" t="s">
        <v>1484</v>
      </c>
      <c r="C13" s="1679" t="s">
        <v>588</v>
      </c>
    </row>
    <row r="14" spans="1:23">
      <c r="A14" s="1678" t="s">
        <v>1485</v>
      </c>
      <c r="B14" s="1678" t="s">
        <v>1486</v>
      </c>
      <c r="C14" s="1680" t="s">
        <v>16</v>
      </c>
    </row>
    <row r="15" spans="1:23">
      <c r="A15" s="1678" t="s">
        <v>1487</v>
      </c>
      <c r="B15" s="1678" t="s">
        <v>1488</v>
      </c>
      <c r="C15" s="1679"/>
    </row>
    <row r="16" spans="1:23">
      <c r="A16" s="1678" t="s">
        <v>1489</v>
      </c>
      <c r="B16" s="1678" t="s">
        <v>576</v>
      </c>
      <c r="C16" s="1679"/>
    </row>
    <row r="17" spans="1:3">
      <c r="A17" s="1678" t="s">
        <v>1490</v>
      </c>
      <c r="B17" s="1678" t="s">
        <v>2793</v>
      </c>
      <c r="C17" s="1679"/>
    </row>
    <row r="18" spans="1:3">
      <c r="A18" s="1678" t="s">
        <v>1491</v>
      </c>
      <c r="B18" s="1678" t="s">
        <v>2937</v>
      </c>
      <c r="C18" s="1679"/>
    </row>
    <row r="19" spans="1:3">
      <c r="A19" s="1678" t="s">
        <v>1492</v>
      </c>
      <c r="B19" s="1678" t="s">
        <v>4010</v>
      </c>
      <c r="C19" s="1679"/>
    </row>
    <row r="20" spans="1:3">
      <c r="A20" s="1678" t="s">
        <v>1493</v>
      </c>
      <c r="B20" s="1678" t="s">
        <v>577</v>
      </c>
      <c r="C20" s="1679"/>
    </row>
    <row r="21" spans="1:3">
      <c r="A21" s="1678" t="s">
        <v>1494</v>
      </c>
      <c r="B21" s="1678" t="s">
        <v>577</v>
      </c>
      <c r="C21" s="1679"/>
    </row>
    <row r="22" spans="1:3">
      <c r="A22" s="1678" t="s">
        <v>1495</v>
      </c>
      <c r="B22" s="1678" t="s">
        <v>577</v>
      </c>
      <c r="C22" s="1679"/>
    </row>
    <row r="23" spans="1:3">
      <c r="A23" s="1678" t="s">
        <v>1496</v>
      </c>
      <c r="B23" s="1678" t="s">
        <v>577</v>
      </c>
      <c r="C23" s="1679"/>
    </row>
    <row r="24" spans="1:3">
      <c r="A24" s="1678" t="s">
        <v>1497</v>
      </c>
      <c r="B24" s="1678" t="s">
        <v>577</v>
      </c>
      <c r="C24" s="1679"/>
    </row>
    <row r="25" spans="1:3">
      <c r="A25" s="1678" t="s">
        <v>1498</v>
      </c>
      <c r="B25" s="1678" t="s">
        <v>577</v>
      </c>
      <c r="C25" s="1679"/>
    </row>
    <row r="26" spans="1:3">
      <c r="A26" s="1678" t="s">
        <v>1499</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519"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686" t="s">
        <v>651</v>
      </c>
      <c r="C54" s="1683" t="s">
        <v>1008</v>
      </c>
    </row>
    <row r="55" spans="1:4">
      <c r="A55" s="3519"/>
      <c r="B55" s="1686" t="s">
        <v>652</v>
      </c>
      <c r="C55" s="1683" t="s">
        <v>1009</v>
      </c>
    </row>
    <row r="56" spans="1:4">
      <c r="A56" s="3519"/>
      <c r="B56" s="1686" t="s">
        <v>653</v>
      </c>
      <c r="C56" s="1683" t="s">
        <v>1013</v>
      </c>
    </row>
    <row r="57" spans="1:4">
      <c r="A57" s="3519"/>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0" customWidth="1"/>
    <col min="12" max="13" width="10" style="2801"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5" t="s">
        <v>2668</v>
      </c>
      <c r="B1" s="3520" t="str">
        <f>IF(B10="北京市","北京市",C10)&amp;F10&amp;IF(结果表!G1="在建","出让国有建设用地使用权及在建建筑物",IF(结果表!G1="土地","出让国有建设用地使用权",))&amp;B9&amp;"预评估"</f>
        <v>北京市预评估</v>
      </c>
      <c r="C1" s="3521"/>
      <c r="D1" s="3521"/>
      <c r="E1" s="3521"/>
      <c r="F1" s="3521"/>
      <c r="G1" s="3521"/>
      <c r="H1" s="3521"/>
      <c r="I1" s="3522"/>
      <c r="J1" s="2642"/>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v>
      </c>
      <c r="T1" s="1878"/>
      <c r="U1" s="1878"/>
      <c r="V1" s="1878"/>
      <c r="W1" s="1878"/>
      <c r="X1" s="1878"/>
      <c r="Y1" s="1878"/>
      <c r="Z1" s="1878"/>
      <c r="AA1" s="1878"/>
      <c r="AB1" s="1878"/>
    </row>
    <row r="2" spans="1:28">
      <c r="A2" s="2536" t="s">
        <v>2669</v>
      </c>
      <c r="B2" s="2540"/>
      <c r="C2" s="2541"/>
      <c r="D2" s="2844"/>
      <c r="E2" s="2834"/>
      <c r="F2" s="2834"/>
      <c r="G2" s="2835"/>
      <c r="H2" s="2835"/>
      <c r="I2" s="2835"/>
      <c r="J2" s="2642"/>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2"/>
      <c r="C3" s="2543" t="s">
        <v>2671</v>
      </c>
      <c r="D3" s="2542">
        <v>44901</v>
      </c>
      <c r="E3" s="2835"/>
      <c r="F3" s="2835"/>
      <c r="G3" s="2835"/>
      <c r="H3" s="2835"/>
      <c r="I3" s="2835"/>
      <c r="J3" s="2642"/>
      <c r="K3" s="2537"/>
      <c r="L3" s="2538"/>
      <c r="M3" s="2538"/>
      <c r="N3" s="2539"/>
      <c r="O3" s="1708"/>
      <c r="P3" s="2539"/>
      <c r="Q3" s="2539"/>
      <c r="R3" s="2539"/>
      <c r="S3" s="1815"/>
      <c r="T3" s="1878"/>
      <c r="U3" s="1878"/>
      <c r="V3" s="1878"/>
      <c r="W3" s="1878"/>
      <c r="X3" s="1878"/>
      <c r="Y3" s="1878"/>
      <c r="Z3" s="1878"/>
      <c r="AA3" s="1878"/>
      <c r="AB3" s="1878"/>
    </row>
    <row r="4" spans="1:28" ht="13.5" thickBot="1">
      <c r="A4" s="1199" t="s">
        <v>2672</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8"/>
      <c r="P4" s="2539"/>
      <c r="Q4" s="2539"/>
      <c r="R4" s="2539"/>
      <c r="S4" s="1815"/>
      <c r="T4" s="1878"/>
      <c r="U4" s="1878"/>
      <c r="V4" s="1878"/>
      <c r="W4" s="1878"/>
      <c r="X4" s="1878"/>
      <c r="Y4" s="1878"/>
      <c r="Z4" s="1878"/>
      <c r="AA4" s="1878"/>
      <c r="AB4" s="1878"/>
    </row>
    <row r="5" spans="1:28" ht="13.5" thickTop="1">
      <c r="A5" s="2548" t="s">
        <v>2673</v>
      </c>
      <c r="B5" s="2549"/>
      <c r="C5" s="2550"/>
      <c r="D5" s="2551"/>
      <c r="E5" s="2836"/>
      <c r="F5" s="2836"/>
      <c r="G5" s="2836"/>
      <c r="H5" s="2836"/>
      <c r="I5" s="2836"/>
      <c r="J5" s="2610"/>
      <c r="K5" s="2547" t="str">
        <f>IF(F4="——","",IF(H4="——",F4&amp;"（注册号："&amp;G4&amp;")",CONCATENATE(F4,"（注册号：",G4,")、",H4,"（注册号：",I4,")")))</f>
        <v>（注册号：0)、（注册号：0)</v>
      </c>
      <c r="L5" s="2538"/>
      <c r="M5" s="2538"/>
      <c r="N5" s="2539"/>
      <c r="O5" s="1708"/>
      <c r="P5" s="2539"/>
      <c r="Q5" s="2539"/>
      <c r="R5" s="2539"/>
      <c r="S5" s="1878"/>
      <c r="T5" s="1878"/>
      <c r="U5" s="1878"/>
      <c r="V5" s="1878"/>
      <c r="W5" s="1878"/>
      <c r="X5" s="1878"/>
      <c r="Y5" s="1878"/>
      <c r="Z5" s="1878"/>
      <c r="AA5" s="1878"/>
      <c r="AB5" s="1878"/>
    </row>
    <row r="6" spans="1:28">
      <c r="A6" s="2552" t="s">
        <v>2674</v>
      </c>
      <c r="B6" s="2553"/>
      <c r="C6" s="2554"/>
      <c r="D6" s="2555"/>
      <c r="E6" s="2834"/>
      <c r="F6" s="2836"/>
      <c r="G6" s="2836"/>
      <c r="H6" s="2836"/>
      <c r="I6" s="2836"/>
      <c r="J6" s="2610"/>
      <c r="K6" s="2786" t="str">
        <f>IF(COUNTIF(B6,"*上海银行*"),"上海银行","")</f>
        <v/>
      </c>
      <c r="L6" s="2784"/>
      <c r="M6" s="2784"/>
      <c r="N6" s="2610"/>
      <c r="O6" s="2621"/>
      <c r="P6" s="2610"/>
      <c r="Q6" s="2610"/>
      <c r="R6" s="2610"/>
    </row>
    <row r="7" spans="1:28">
      <c r="A7" s="2552" t="s">
        <v>2675</v>
      </c>
      <c r="B7" s="2556"/>
      <c r="C7" s="2554"/>
      <c r="D7" s="2555"/>
      <c r="E7" s="2834"/>
      <c r="F7" s="2836"/>
      <c r="G7" s="2836"/>
      <c r="H7" s="2836"/>
      <c r="I7" s="2836"/>
      <c r="J7" s="2610"/>
      <c r="K7" s="2787"/>
      <c r="L7" s="2784"/>
      <c r="M7" s="2784"/>
      <c r="N7" s="2610"/>
      <c r="O7" s="2621"/>
      <c r="P7" s="2610"/>
      <c r="Q7" s="2610"/>
      <c r="R7" s="2610"/>
    </row>
    <row r="8" spans="1:28">
      <c r="A8" s="2557" t="s">
        <v>2676</v>
      </c>
      <c r="B8" s="2558"/>
      <c r="C8" s="2559"/>
      <c r="D8" s="3523" t="s">
        <v>2677</v>
      </c>
      <c r="E8" s="2560"/>
      <c r="F8" s="2561"/>
      <c r="G8" s="2835"/>
      <c r="H8" s="2835"/>
      <c r="I8" s="2835"/>
      <c r="J8" s="2610"/>
      <c r="K8" s="2785"/>
      <c r="L8" s="2784"/>
      <c r="M8" s="2784"/>
      <c r="N8" s="2610"/>
      <c r="O8" s="2621"/>
      <c r="P8" s="2610"/>
      <c r="Q8" s="2610"/>
      <c r="R8" s="2610"/>
    </row>
    <row r="9" spans="1:28" ht="13.5" thickBot="1">
      <c r="A9" s="2562" t="s">
        <v>2678</v>
      </c>
      <c r="B9" s="2563"/>
      <c r="C9" s="2564"/>
      <c r="D9" s="3524"/>
      <c r="E9" s="2563"/>
      <c r="F9" s="2565"/>
      <c r="G9" s="2837"/>
      <c r="H9" s="2837"/>
      <c r="I9" s="2837"/>
      <c r="J9" s="2610"/>
      <c r="K9" s="2787"/>
      <c r="L9" s="2784"/>
      <c r="M9" s="2784"/>
      <c r="N9" s="2610"/>
      <c r="O9" s="2621"/>
      <c r="P9" s="2610"/>
      <c r="Q9" s="2610"/>
      <c r="R9" s="2610"/>
    </row>
    <row r="10" spans="1:28" ht="13.5" thickTop="1">
      <c r="A10" s="2566" t="s">
        <v>2679</v>
      </c>
      <c r="B10" s="2567" t="s">
        <v>3651</v>
      </c>
      <c r="C10" s="2568"/>
      <c r="D10" s="2551"/>
      <c r="E10" s="2569" t="s">
        <v>2680</v>
      </c>
      <c r="F10" s="2838"/>
      <c r="G10" s="2839"/>
      <c r="H10" s="2840"/>
      <c r="I10" s="2841"/>
      <c r="J10" s="2610"/>
      <c r="K10" s="2787"/>
      <c r="L10" s="2784"/>
      <c r="M10" s="2784"/>
      <c r="N10" s="2610"/>
      <c r="O10" s="2621"/>
      <c r="P10" s="2610"/>
      <c r="Q10" s="2610"/>
      <c r="R10" s="2610"/>
    </row>
    <row r="11" spans="1:28">
      <c r="A11" s="2570" t="s">
        <v>2681</v>
      </c>
      <c r="B11" s="2571" t="s">
        <v>3652</v>
      </c>
      <c r="C11" s="2572"/>
      <c r="D11" s="2573"/>
      <c r="E11" s="2539"/>
      <c r="F11" s="2539"/>
      <c r="G11" s="2539"/>
      <c r="H11" s="2539"/>
      <c r="I11" s="2539"/>
      <c r="J11" s="2610"/>
      <c r="K11" s="2787"/>
      <c r="L11" s="2784"/>
      <c r="M11" s="2784"/>
      <c r="N11" s="2610"/>
      <c r="O11" s="2621"/>
      <c r="P11" s="2610"/>
      <c r="Q11" s="2610"/>
      <c r="R11" s="2610"/>
    </row>
    <row r="12" spans="1:28">
      <c r="A12" s="2574" t="s">
        <v>2682</v>
      </c>
      <c r="B12" s="2571" t="s">
        <v>3653</v>
      </c>
      <c r="C12" s="329" t="s">
        <v>2683</v>
      </c>
      <c r="D12" s="2575" t="s">
        <v>2684</v>
      </c>
      <c r="E12" s="2575" t="s">
        <v>2685</v>
      </c>
      <c r="F12" s="2575" t="s">
        <v>2686</v>
      </c>
      <c r="G12" s="2575" t="s">
        <v>2687</v>
      </c>
      <c r="H12" s="2575" t="s">
        <v>2688</v>
      </c>
      <c r="I12" s="2575" t="s">
        <v>2689</v>
      </c>
      <c r="J12" s="2610"/>
      <c r="K12" s="2787"/>
      <c r="L12" s="2784"/>
      <c r="M12" s="2784"/>
      <c r="N12" s="2610"/>
      <c r="O12" s="2621"/>
      <c r="P12" s="2610"/>
      <c r="Q12" s="2610"/>
      <c r="R12" s="2610"/>
    </row>
    <row r="13" spans="1:28">
      <c r="A13" s="1190"/>
      <c r="B13" s="2576"/>
      <c r="C13" s="2577" t="s">
        <v>2690</v>
      </c>
      <c r="D13" s="943">
        <v>60455</v>
      </c>
      <c r="E13" s="943"/>
      <c r="F13" s="943"/>
      <c r="G13" s="943">
        <v>53150</v>
      </c>
      <c r="H13" s="943"/>
      <c r="I13" s="943"/>
      <c r="J13" s="2610"/>
      <c r="K13" s="2787"/>
      <c r="L13" s="2784"/>
      <c r="M13" s="2784"/>
      <c r="N13" s="2610"/>
      <c r="O13" s="2621"/>
      <c r="P13" s="2610"/>
      <c r="Q13" s="2610"/>
      <c r="R13" s="2610"/>
    </row>
    <row r="14" spans="1:28">
      <c r="A14" s="1190"/>
      <c r="B14" s="2576"/>
      <c r="C14" s="2577" t="s">
        <v>2691</v>
      </c>
      <c r="D14" s="2578">
        <v>70</v>
      </c>
      <c r="E14" s="2578"/>
      <c r="F14" s="2578"/>
      <c r="G14" s="2578">
        <v>70</v>
      </c>
      <c r="H14" s="2578"/>
      <c r="I14" s="2578"/>
      <c r="J14" s="2610"/>
      <c r="K14" s="2788"/>
      <c r="L14" s="2784"/>
      <c r="M14" s="2784"/>
      <c r="N14" s="2610"/>
      <c r="O14" s="2621"/>
      <c r="P14" s="2610"/>
      <c r="Q14" s="2610"/>
      <c r="R14" s="2610"/>
    </row>
    <row r="15" spans="1:28">
      <c r="A15" s="326"/>
      <c r="B15" s="2579"/>
      <c r="C15" s="2580" t="s">
        <v>2692</v>
      </c>
      <c r="D15" s="2581">
        <f>IF(B12="出让",IF(D13="","",ROUNDDOWN(MIN((D13-$D$3)/365,D14),2)),D14)</f>
        <v>42.61</v>
      </c>
      <c r="E15" s="2581" t="str">
        <f>IF(B12="出让",IF(E13="","",ROUNDDOWN(MIN((E13-$D$3)/365,E14),2)),E14)</f>
        <v/>
      </c>
      <c r="F15" s="2581" t="str">
        <f>IF(B12="出让",IF(F13="","",ROUNDDOWN(MIN((F13-$D$3)/365,F14),2)),F14)</f>
        <v/>
      </c>
      <c r="G15" s="2581">
        <f>IF(B12="出让",IF(G13="","",ROUNDDOWN(MIN((G13-$D$3)/365,G14),2)),G14)</f>
        <v>22.6</v>
      </c>
      <c r="H15" s="2581" t="str">
        <f>IF(B12="出让",IF(H13="","",ROUNDDOWN(MIN((H13-$D$3)/365,H14),2)),H14)</f>
        <v/>
      </c>
      <c r="I15" s="2581" t="str">
        <f>IF(B12="出让",IF(I13="","",ROUNDDOWN(MIN((I13-$D$3)/365,I14),2)),I14)</f>
        <v/>
      </c>
      <c r="J15" s="2610"/>
      <c r="K15" s="2789"/>
      <c r="L15" s="2622"/>
      <c r="M15" s="2622"/>
      <c r="N15" s="2680"/>
      <c r="O15" s="2622"/>
      <c r="P15" s="2680"/>
      <c r="Q15" s="2610"/>
      <c r="R15" s="2610"/>
    </row>
    <row r="16" spans="1:28">
      <c r="A16" s="2569" t="s">
        <v>2693</v>
      </c>
      <c r="B16" s="3530"/>
      <c r="C16" s="3531"/>
      <c r="D16" s="3532"/>
      <c r="E16" s="2584" t="s">
        <v>2694</v>
      </c>
      <c r="F16" s="3533"/>
      <c r="G16" s="3534"/>
      <c r="H16" s="3534"/>
      <c r="I16" s="3535"/>
      <c r="J16" s="2610"/>
      <c r="K16" s="2789"/>
      <c r="L16" s="2622"/>
      <c r="M16" s="2622"/>
      <c r="N16" s="2680"/>
      <c r="O16" s="2622"/>
      <c r="P16" s="2680"/>
      <c r="Q16" s="2610"/>
      <c r="R16" s="2610"/>
    </row>
    <row r="17" spans="1:28">
      <c r="A17" s="319" t="s">
        <v>2695</v>
      </c>
      <c r="B17" s="308" t="s">
        <v>2696</v>
      </c>
      <c r="C17" s="11">
        <f>'数据-汇总表'!E3</f>
        <v>32060.45</v>
      </c>
      <c r="D17" s="2491" t="s">
        <v>2697</v>
      </c>
      <c r="E17" s="3536" t="s">
        <v>2698</v>
      </c>
      <c r="F17" s="3537"/>
      <c r="G17" s="3537"/>
      <c r="H17" s="3537"/>
      <c r="I17" s="3538"/>
      <c r="J17" s="2610"/>
      <c r="K17" s="2790"/>
      <c r="L17" s="2622"/>
      <c r="M17" s="2622"/>
      <c r="N17" s="2680"/>
      <c r="O17" s="2622"/>
      <c r="P17" s="2680"/>
      <c r="Q17" s="2610"/>
      <c r="R17" s="2610"/>
      <c r="S17" s="2610"/>
      <c r="T17" s="2610"/>
      <c r="U17" s="2610"/>
      <c r="V17" s="2610"/>
    </row>
    <row r="18" spans="1:28" ht="24.75" thickBot="1">
      <c r="A18" s="2585" t="s">
        <v>2699</v>
      </c>
      <c r="B18" s="1199" t="s">
        <v>2700</v>
      </c>
      <c r="C18" s="2586">
        <f>'数据-汇总表'!D3</f>
        <v>6030.52</v>
      </c>
      <c r="D18" s="1201" t="s">
        <v>2701</v>
      </c>
      <c r="E18" s="3539" t="s">
        <v>2702</v>
      </c>
      <c r="F18" s="3540"/>
      <c r="G18" s="3540"/>
      <c r="H18" s="3540"/>
      <c r="I18" s="3541"/>
      <c r="J18" s="2610"/>
      <c r="K18" s="2790"/>
      <c r="L18" s="2622"/>
      <c r="M18" s="2622"/>
      <c r="N18" s="2680"/>
      <c r="O18" s="2622"/>
      <c r="P18" s="2680"/>
      <c r="Q18" s="2610"/>
      <c r="R18" s="2610"/>
      <c r="S18" s="2610"/>
      <c r="T18" s="2610"/>
      <c r="U18" s="2610"/>
      <c r="V18" s="2610"/>
    </row>
    <row r="19" spans="1:28" ht="37.5" thickTop="1" thickBot="1">
      <c r="A19" s="333" t="s">
        <v>1500</v>
      </c>
      <c r="B19" s="313" t="s">
        <v>2703</v>
      </c>
      <c r="C19" s="1695"/>
      <c r="D19" s="1696" t="s">
        <v>2704</v>
      </c>
      <c r="E19" s="1697"/>
      <c r="F19" s="1698" t="str">
        <f>IF(AND(C19="是",E19="否"),"是否提供他项权证或相关说明","")</f>
        <v/>
      </c>
      <c r="G19" s="1699"/>
      <c r="H19" s="2836"/>
      <c r="I19" s="2836"/>
      <c r="J19" s="2610"/>
      <c r="K19" s="2787"/>
      <c r="L19" s="2784"/>
      <c r="M19" s="2784"/>
      <c r="N19" s="2680"/>
      <c r="O19" s="2622"/>
      <c r="P19" s="2680"/>
      <c r="Q19" s="2610"/>
      <c r="R19" s="2610"/>
      <c r="S19" s="2610"/>
      <c r="T19" s="2610"/>
      <c r="U19" s="2610"/>
      <c r="V19" s="2610"/>
    </row>
    <row r="20" spans="1:28">
      <c r="A20" s="2804" t="s">
        <v>2705</v>
      </c>
      <c r="B20" s="3526" t="s">
        <v>2706</v>
      </c>
      <c r="C20" s="3527"/>
      <c r="D20" s="3528" t="s">
        <v>2707</v>
      </c>
      <c r="E20" s="3529"/>
      <c r="F20" s="2819" t="s">
        <v>1501</v>
      </c>
      <c r="G20" s="2836"/>
      <c r="H20" s="2836"/>
      <c r="I20" s="2836"/>
      <c r="J20" s="2610"/>
      <c r="K20" s="3525" t="s">
        <v>2708</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8"/>
      <c r="X20" s="1878"/>
      <c r="Y20" s="1878"/>
      <c r="Z20" s="1878"/>
      <c r="AA20" s="1878"/>
      <c r="AB20" s="1878"/>
    </row>
    <row r="21" spans="1:28" ht="24.75" thickBot="1">
      <c r="A21" s="2804"/>
      <c r="B21" s="2805" t="s">
        <v>2709</v>
      </c>
      <c r="C21" s="2806" t="s">
        <v>1502</v>
      </c>
      <c r="D21" s="1700" t="s">
        <v>2710</v>
      </c>
      <c r="E21" s="2807" t="s">
        <v>1502</v>
      </c>
      <c r="F21" s="2820"/>
      <c r="G21" s="2836"/>
      <c r="H21" s="2836"/>
      <c r="I21" s="2836"/>
      <c r="J21" s="2610"/>
      <c r="K21" s="352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8"/>
      <c r="X21" s="1878"/>
      <c r="Y21" s="1878"/>
      <c r="Z21" s="1878"/>
      <c r="AA21" s="1878"/>
      <c r="AB21" s="1878"/>
    </row>
    <row r="22" spans="1:28" ht="24.75" thickBot="1">
      <c r="A22" s="2804"/>
      <c r="B22" s="2808" t="s">
        <v>2711</v>
      </c>
      <c r="C22" s="2806" t="s">
        <v>1503</v>
      </c>
      <c r="D22" s="2835"/>
      <c r="E22" s="2835"/>
      <c r="F22" s="2835"/>
      <c r="G22" s="2836"/>
      <c r="H22" s="2836"/>
      <c r="I22" s="2836"/>
      <c r="J22" s="2610"/>
      <c r="K22" s="352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8"/>
      <c r="X22" s="1878"/>
      <c r="Y22" s="1878"/>
      <c r="Z22" s="1878"/>
      <c r="AA22" s="1878"/>
      <c r="AB22" s="1878"/>
    </row>
    <row r="23" spans="1:28">
      <c r="A23" s="2809" t="s">
        <v>2712</v>
      </c>
      <c r="B23" s="2673" t="s">
        <v>2713</v>
      </c>
      <c r="C23" s="2810"/>
      <c r="D23" s="2811" t="s">
        <v>2713</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543" t="s">
        <v>2714</v>
      </c>
      <c r="B27" s="326" t="s">
        <v>2715</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543"/>
      <c r="B28" s="308" t="s">
        <v>2716</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543"/>
      <c r="B29" s="308" t="s">
        <v>2717</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544"/>
      <c r="B30" s="308" t="s">
        <v>2718</v>
      </c>
      <c r="C30" s="3545"/>
      <c r="D30" s="3546"/>
      <c r="E30" s="2836"/>
      <c r="F30" s="2836"/>
      <c r="G30" s="2836"/>
      <c r="H30" s="2836"/>
      <c r="I30" s="2836"/>
      <c r="J30" s="2610"/>
      <c r="K30" s="2787"/>
      <c r="L30" s="2784"/>
      <c r="M30" s="2784"/>
      <c r="N30" s="2610"/>
      <c r="O30" s="2621"/>
      <c r="P30" s="2610"/>
      <c r="Q30" s="2610"/>
      <c r="R30" s="2610"/>
      <c r="S30" s="2610"/>
      <c r="T30" s="2610"/>
      <c r="U30" s="2610"/>
      <c r="V30" s="2610"/>
    </row>
    <row r="31" spans="1:28">
      <c r="A31" s="3547" t="s">
        <v>2719</v>
      </c>
      <c r="B31" s="2593"/>
      <c r="C31" s="2492" t="str">
        <f>IF(B31="现房","成新及维护状况正常否",IF(B31="在建","工程状态是否正常",IF(B31="土地","是否闲置","-")))</f>
        <v>-</v>
      </c>
      <c r="D31" s="1504"/>
      <c r="E31" s="2594"/>
      <c r="F31" s="2836"/>
      <c r="G31" s="2836"/>
      <c r="H31" s="2836"/>
      <c r="I31" s="2836"/>
      <c r="J31" s="2610"/>
      <c r="K31" s="2786"/>
      <c r="L31" s="2784"/>
      <c r="M31" s="2784"/>
      <c r="N31" s="2610"/>
      <c r="O31" s="2621"/>
      <c r="P31" s="2610"/>
      <c r="Q31" s="2610"/>
      <c r="R31" s="2610"/>
      <c r="S31" s="2610"/>
      <c r="T31" s="2610"/>
      <c r="U31" s="2610"/>
      <c r="V31" s="2610"/>
    </row>
    <row r="32" spans="1:28">
      <c r="A32" s="3548"/>
      <c r="B32" s="2593"/>
      <c r="C32" s="2492" t="str">
        <f>IF(B32="现房","成新及维护状况是否正常",IF(B32="在建","工程状态是否正常",IF(B32="土地","是否闲置","-")))</f>
        <v>-</v>
      </c>
      <c r="D32" s="1504"/>
      <c r="E32" s="2594"/>
      <c r="F32" s="2836"/>
      <c r="G32" s="2836"/>
      <c r="H32" s="2836"/>
      <c r="I32" s="2836"/>
      <c r="J32" s="2610"/>
      <c r="K32" s="2787"/>
      <c r="L32" s="2784"/>
      <c r="M32" s="2784"/>
      <c r="N32" s="2610"/>
      <c r="O32" s="2621"/>
      <c r="P32" s="2610"/>
      <c r="Q32" s="2610"/>
      <c r="R32" s="2610"/>
      <c r="S32" s="2610"/>
      <c r="T32" s="2610"/>
      <c r="U32" s="2610"/>
      <c r="V32" s="2610"/>
    </row>
    <row r="33" spans="1:30">
      <c r="A33" s="3548"/>
      <c r="B33" s="2596"/>
      <c r="C33" s="1722" t="str">
        <f>IF(B33="现房","成新及维护状况是否正常",IF(B33="在建","工程状态是否正常",IF(B33="土地","是否闲置","-")))</f>
        <v>-</v>
      </c>
      <c r="D33" s="1496"/>
      <c r="E33" s="2597"/>
      <c r="F33" s="2836"/>
      <c r="G33" s="2836"/>
      <c r="H33" s="2836"/>
      <c r="I33" s="2836"/>
      <c r="J33" s="2610"/>
      <c r="K33" s="2787"/>
      <c r="L33" s="2784"/>
      <c r="M33" s="2784"/>
      <c r="N33" s="2610"/>
      <c r="O33" s="2621"/>
      <c r="P33" s="2610"/>
      <c r="Q33" s="2610"/>
      <c r="R33" s="2610"/>
      <c r="S33" s="2610"/>
      <c r="T33" s="2610"/>
      <c r="U33" s="2610"/>
      <c r="V33" s="2610"/>
    </row>
    <row r="34" spans="1:30">
      <c r="A34" s="308" t="s">
        <v>2720</v>
      </c>
      <c r="B34" s="2160"/>
      <c r="C34" s="2160"/>
      <c r="D34" s="2160"/>
      <c r="E34" s="2160"/>
      <c r="F34" s="2160"/>
      <c r="G34" s="2160"/>
      <c r="H34" s="2160"/>
      <c r="I34" s="2836"/>
      <c r="J34" s="2610"/>
      <c r="K34" s="2598">
        <f>COUNTIF(B34:H34,"——")</f>
        <v>0</v>
      </c>
      <c r="L34" s="329" t="s">
        <v>2721</v>
      </c>
      <c r="M34" s="329" t="s">
        <v>2722</v>
      </c>
      <c r="N34" s="329" t="s">
        <v>2723</v>
      </c>
      <c r="O34" s="329" t="s">
        <v>2724</v>
      </c>
      <c r="P34" s="329" t="s">
        <v>2725</v>
      </c>
      <c r="Q34" s="329" t="s">
        <v>2726</v>
      </c>
      <c r="R34" s="329" t="s">
        <v>2727</v>
      </c>
      <c r="S34" s="3542" t="s">
        <v>2728</v>
      </c>
      <c r="T34" s="2599" t="str">
        <f>NUMBERSTRING(7-K34,1)&amp;"通"</f>
        <v>七通</v>
      </c>
      <c r="U34" s="2610"/>
      <c r="V34" s="2610"/>
    </row>
    <row r="35" spans="1:30">
      <c r="A35" s="2600"/>
      <c r="B35" s="3549" t="s">
        <v>2729</v>
      </c>
      <c r="C35" s="3549"/>
      <c r="D35" s="3549"/>
      <c r="E35" s="3549"/>
      <c r="F35" s="671">
        <f>C10</f>
        <v>0</v>
      </c>
      <c r="G35" s="2836"/>
      <c r="H35" s="2836"/>
      <c r="I35" s="2836"/>
      <c r="J35" s="261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42"/>
      <c r="T35" s="335" t="str">
        <f>IF(T34="一通",L35,IF(T34="二通",M35,IF(T34="三通",N35,IF(T34="四通",O35,IF(T34="五通",P35,IF(T34="六通",Q35,R35))))))</f>
        <v>、、、、、、</v>
      </c>
      <c r="U35" s="2610"/>
      <c r="V35" s="2610"/>
    </row>
    <row r="36" spans="1:30">
      <c r="A36" s="2601"/>
      <c r="B36" s="671" t="s">
        <v>2685</v>
      </c>
      <c r="C36" s="671" t="s">
        <v>2686</v>
      </c>
      <c r="D36" s="671" t="s">
        <v>2684</v>
      </c>
      <c r="E36" s="671" t="s">
        <v>2689</v>
      </c>
      <c r="F36" s="2842"/>
      <c r="G36" s="2836"/>
      <c r="H36" s="2836"/>
      <c r="I36" s="2836"/>
      <c r="J36" s="2610"/>
      <c r="K36" s="2787"/>
      <c r="L36" s="2784"/>
      <c r="M36" s="2784"/>
      <c r="N36" s="2610"/>
      <c r="O36" s="2621"/>
      <c r="P36" s="2610"/>
      <c r="Q36" s="2610"/>
      <c r="R36" s="2610"/>
      <c r="S36" s="2610"/>
      <c r="T36" s="2610"/>
      <c r="U36" s="2610"/>
      <c r="V36" s="2610"/>
    </row>
    <row r="37" spans="1:30">
      <c r="A37" s="2802" t="s">
        <v>2730</v>
      </c>
      <c r="B37" s="2602"/>
      <c r="C37" s="2602"/>
      <c r="D37" s="2602"/>
      <c r="E37" s="2602"/>
      <c r="F37" s="2842"/>
      <c r="G37" s="2836"/>
      <c r="H37" s="2836"/>
      <c r="I37" s="2836"/>
      <c r="J37" s="2610"/>
      <c r="K37" s="2787"/>
      <c r="L37" s="2784"/>
      <c r="M37" s="2784"/>
      <c r="N37" s="2610"/>
      <c r="O37" s="2621"/>
      <c r="P37" s="2610"/>
      <c r="Q37" s="2610"/>
      <c r="R37" s="2610"/>
      <c r="S37" s="2610"/>
      <c r="T37" s="2610"/>
      <c r="U37" s="2610"/>
      <c r="V37" s="2610"/>
    </row>
    <row r="38" spans="1:30" ht="13.5" thickBot="1">
      <c r="A38" s="2803" t="s">
        <v>2731</v>
      </c>
      <c r="B38" s="2603"/>
      <c r="C38" s="2603"/>
      <c r="D38" s="2603"/>
      <c r="E38" s="2603"/>
      <c r="F38" s="2843"/>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2732</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39"/>
      <c r="B40" s="2539"/>
      <c r="C40" s="2539"/>
      <c r="D40" s="2539"/>
      <c r="E40" s="2539"/>
      <c r="F40" s="2539"/>
      <c r="G40" s="2539"/>
      <c r="H40" s="2539"/>
      <c r="I40" s="1710"/>
      <c r="J40" s="2680"/>
      <c r="K40" s="2786"/>
      <c r="L40" s="2622"/>
      <c r="M40" s="2622"/>
      <c r="N40" s="2680"/>
      <c r="O40" s="2622"/>
      <c r="P40" s="2610"/>
      <c r="Q40" s="2610"/>
      <c r="R40" s="2610"/>
      <c r="S40" s="2610"/>
      <c r="T40" s="2610"/>
      <c r="U40" s="2610"/>
      <c r="V40" s="2610"/>
    </row>
    <row r="41" spans="1:30">
      <c r="A41" s="2607" t="s">
        <v>2733</v>
      </c>
      <c r="B41" s="1890"/>
      <c r="C41" s="1504"/>
      <c r="D41" s="2539"/>
      <c r="E41" s="2539"/>
      <c r="F41" s="2539"/>
      <c r="G41" s="2539"/>
      <c r="H41" s="2539"/>
      <c r="I41" s="1708"/>
      <c r="J41" s="2610"/>
      <c r="K41" s="2787"/>
      <c r="L41" s="2784"/>
      <c r="M41" s="2784"/>
      <c r="N41" s="2610"/>
      <c r="O41" s="2621"/>
      <c r="P41" s="2610"/>
      <c r="Q41" s="2610"/>
      <c r="R41" s="2610"/>
      <c r="S41" s="2610"/>
      <c r="T41" s="2610"/>
      <c r="U41" s="2610"/>
      <c r="V41" s="2610"/>
    </row>
    <row r="42" spans="1:30" ht="25.5">
      <c r="A42" s="329" t="s">
        <v>2734</v>
      </c>
      <c r="B42" s="11" t="s">
        <v>2735</v>
      </c>
      <c r="C42" s="11" t="s">
        <v>2736</v>
      </c>
      <c r="D42" s="11" t="s">
        <v>2737</v>
      </c>
      <c r="E42" s="11" t="s">
        <v>2738</v>
      </c>
      <c r="F42" s="11" t="s">
        <v>2739</v>
      </c>
      <c r="G42" s="11" t="s">
        <v>2740</v>
      </c>
      <c r="H42" s="11" t="s">
        <v>2741</v>
      </c>
      <c r="I42" s="11" t="s">
        <v>2742</v>
      </c>
      <c r="J42" s="2798" t="s">
        <v>2743</v>
      </c>
      <c r="K42" s="2799" t="s">
        <v>2744</v>
      </c>
      <c r="L42" s="2799" t="s">
        <v>2745</v>
      </c>
      <c r="M42" s="2799" t="s">
        <v>2746</v>
      </c>
      <c r="N42" s="2792" t="s">
        <v>2747</v>
      </c>
      <c r="O42" s="2792" t="s">
        <v>2748</v>
      </c>
      <c r="P42" s="2792" t="s">
        <v>2749</v>
      </c>
      <c r="Q42" s="2793" t="s">
        <v>2750</v>
      </c>
      <c r="R42" s="2793" t="s">
        <v>2751</v>
      </c>
      <c r="S42" s="2610"/>
      <c r="T42" s="2610"/>
      <c r="U42" s="2610"/>
      <c r="V42" s="2610"/>
    </row>
    <row r="43" spans="1:30" s="1876"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6"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6"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6"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6"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6"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6"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6"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6" customFormat="1">
      <c r="A51" s="1702"/>
      <c r="B51" s="1702"/>
      <c r="C51" s="1159"/>
      <c r="D51" s="1159"/>
      <c r="E51" s="1159"/>
      <c r="F51" s="1159"/>
      <c r="G51" s="1159"/>
      <c r="H51" s="1159"/>
      <c r="I51" s="1159"/>
      <c r="J51" s="2608"/>
      <c r="K51" s="2609"/>
      <c r="L51" s="2609"/>
      <c r="M51" s="1159"/>
      <c r="N51" s="1159"/>
      <c r="O51" s="1159"/>
      <c r="P51" s="1159"/>
      <c r="Q51" s="1159"/>
      <c r="R51" s="1159"/>
    </row>
    <row r="52" spans="1:22" s="1876" customFormat="1">
      <c r="A52" s="1702"/>
      <c r="B52" s="1702"/>
      <c r="C52" s="1702"/>
      <c r="D52" s="1702"/>
      <c r="E52" s="1702"/>
      <c r="F52" s="1159"/>
      <c r="G52" s="1702"/>
      <c r="H52" s="1702"/>
      <c r="I52" s="1702"/>
      <c r="J52" s="2611"/>
      <c r="K52" s="2609"/>
      <c r="L52" s="2609"/>
      <c r="M52" s="2609"/>
      <c r="N52" s="1702"/>
      <c r="O52" s="1702"/>
      <c r="P52" s="1702"/>
      <c r="Q52" s="1702"/>
      <c r="R52" s="1702"/>
    </row>
    <row r="53" spans="1:22" s="1876" customFormat="1">
      <c r="A53" s="1702"/>
      <c r="B53" s="1702"/>
      <c r="C53" s="1702"/>
      <c r="D53" s="1702"/>
      <c r="E53" s="1702"/>
      <c r="F53" s="1159"/>
      <c r="G53" s="1702"/>
      <c r="H53" s="1702"/>
      <c r="I53" s="1702"/>
      <c r="J53" s="2611"/>
      <c r="K53" s="2609"/>
      <c r="L53" s="2609"/>
      <c r="M53" s="2609"/>
      <c r="N53" s="1702"/>
      <c r="O53" s="1702"/>
      <c r="P53" s="1702"/>
      <c r="Q53" s="1702"/>
      <c r="R53" s="1702"/>
    </row>
    <row r="54" spans="1:22" s="1876" customFormat="1">
      <c r="A54" s="1702"/>
      <c r="B54" s="1702"/>
      <c r="C54" s="1702"/>
      <c r="D54" s="1702"/>
      <c r="E54" s="1702"/>
      <c r="F54" s="1159"/>
      <c r="G54" s="1702"/>
      <c r="H54" s="1702"/>
      <c r="I54" s="1702"/>
      <c r="J54" s="2611"/>
      <c r="K54" s="2609"/>
      <c r="L54" s="2609"/>
      <c r="M54" s="2609"/>
      <c r="N54" s="1702"/>
      <c r="O54" s="1702"/>
      <c r="P54" s="1702"/>
      <c r="Q54" s="1702"/>
      <c r="R54" s="1702"/>
    </row>
    <row r="55" spans="1:22" s="1876" customFormat="1">
      <c r="A55" s="1702"/>
      <c r="B55" s="1702"/>
      <c r="C55" s="1702"/>
      <c r="D55" s="1702"/>
      <c r="E55" s="1702"/>
      <c r="F55" s="1159"/>
      <c r="G55" s="1702"/>
      <c r="H55" s="1702"/>
      <c r="I55" s="1702"/>
      <c r="J55" s="2611"/>
      <c r="K55" s="2609"/>
      <c r="L55" s="2609"/>
      <c r="M55" s="2609"/>
      <c r="N55" s="1702"/>
      <c r="O55" s="1702"/>
      <c r="P55" s="1702"/>
      <c r="Q55" s="1702"/>
      <c r="R55" s="1702"/>
    </row>
    <row r="56" spans="1:22" s="1876"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1507</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1508</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1509</v>
      </c>
      <c r="B2" s="11" t="s">
        <v>1510</v>
      </c>
      <c r="C2" s="11" t="s">
        <v>1511</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1512</v>
      </c>
      <c r="AZ2" s="1157" t="s">
        <v>1513</v>
      </c>
      <c r="BA2" s="11" t="s">
        <v>1514</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6030.52</v>
      </c>
      <c r="B3" s="14">
        <f>IF(C3="否",G5-AT5,G5)</f>
        <v>32060.45</v>
      </c>
      <c r="C3" s="1712" t="s">
        <v>1515</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1516</v>
      </c>
      <c r="B5" s="1478"/>
      <c r="C5" s="1478"/>
      <c r="D5" s="1480"/>
      <c r="E5" s="16" t="s">
        <v>1</v>
      </c>
      <c r="F5" s="16">
        <f>SUM(F13:F587)</f>
        <v>0</v>
      </c>
      <c r="G5" s="16">
        <f>SUM(G13:G587)</f>
        <v>32060.45</v>
      </c>
      <c r="H5" s="16">
        <f t="shared" ref="H5:AT5" si="0">SUM(H13:H656)</f>
        <v>32060.45</v>
      </c>
      <c r="I5" s="16">
        <f t="shared" si="0"/>
        <v>30117.4</v>
      </c>
      <c r="J5" s="16">
        <f t="shared" si="0"/>
        <v>0</v>
      </c>
      <c r="K5" s="16">
        <f t="shared" si="0"/>
        <v>1943.05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7"/>
      <c r="AV5" s="15" t="s">
        <v>1516</v>
      </c>
      <c r="AW5" s="1478"/>
      <c r="AX5" s="1478"/>
      <c r="AY5" s="17" t="s">
        <v>3</v>
      </c>
      <c r="AZ5" s="18">
        <f t="shared" ref="AZ5:BT5" si="1">SUM(AZ13:AZ656)</f>
        <v>32060.45</v>
      </c>
      <c r="BA5" s="18">
        <f t="shared" si="1"/>
        <v>32060.45</v>
      </c>
      <c r="BB5" s="18">
        <f t="shared" si="1"/>
        <v>30117.4</v>
      </c>
      <c r="BC5" s="18">
        <f t="shared" si="1"/>
        <v>1943.05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1517</v>
      </c>
      <c r="B6" s="1718"/>
      <c r="C6" s="1718"/>
      <c r="D6" s="1719"/>
      <c r="E6" s="16">
        <f>H6+AC6+AT6</f>
        <v>6030.52</v>
      </c>
      <c r="F6" s="16" t="s">
        <v>1</v>
      </c>
      <c r="G6" s="16" t="s">
        <v>2</v>
      </c>
      <c r="H6" s="20">
        <f>SUMIF(I$12:AB$12,"总值",I6:AB6)</f>
        <v>6030.52</v>
      </c>
      <c r="I6" s="16">
        <f t="shared" ref="I6:AB6" si="2">ROUND($A$3*I5/$B$3,2)</f>
        <v>5665.04</v>
      </c>
      <c r="J6" s="16">
        <f t="shared" si="2"/>
        <v>0</v>
      </c>
      <c r="K6" s="16">
        <f t="shared" si="2"/>
        <v>365.48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0"/>
      <c r="AV6" s="15" t="s">
        <v>1517</v>
      </c>
      <c r="AW6" s="1718"/>
      <c r="AX6" s="1718"/>
      <c r="AY6" s="21">
        <f>IF(AY3&gt;0,AY3,ROUND($A$3*AZ5/$B$3,2))</f>
        <v>6030.52</v>
      </c>
      <c r="AZ6" s="16" t="s">
        <v>3</v>
      </c>
      <c r="BA6" s="16">
        <f>ROUND($AY$6*BA5/$AZ$5,2)</f>
        <v>6030.52</v>
      </c>
      <c r="BB6" s="16">
        <f>ROUND($AY$6*BB5/$AZ$5,2)</f>
        <v>5665.04</v>
      </c>
      <c r="BC6" s="16">
        <f t="shared" ref="BC6:BH6" si="4">ROUND($AY$6*BC5/$AZ$5,2)</f>
        <v>365.48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1518</v>
      </c>
      <c r="B7" s="1701" t="s">
        <v>1519</v>
      </c>
      <c r="C7" s="1701" t="s">
        <v>1520</v>
      </c>
      <c r="D7" s="1701" t="s">
        <v>1521</v>
      </c>
      <c r="E7" s="1701" t="s">
        <v>1522</v>
      </c>
      <c r="F7" s="1701" t="s">
        <v>1523</v>
      </c>
      <c r="G7" s="1722" t="s">
        <v>1524</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1525</v>
      </c>
      <c r="AV7" s="23" t="s">
        <v>1526</v>
      </c>
      <c r="AW7" s="1710" t="s">
        <v>1527</v>
      </c>
      <c r="AX7" s="23" t="s">
        <v>1520</v>
      </c>
      <c r="AY7" s="1478" t="s">
        <v>1528</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1529</v>
      </c>
      <c r="H8" s="1728" t="s">
        <v>1530</v>
      </c>
      <c r="I8" s="1729"/>
      <c r="J8" s="1491"/>
      <c r="K8" s="1491"/>
      <c r="L8" s="1491"/>
      <c r="M8" s="1491"/>
      <c r="N8" s="1491"/>
      <c r="O8" s="1491"/>
      <c r="P8" s="1491"/>
      <c r="Q8" s="1491"/>
      <c r="R8" s="1491"/>
      <c r="S8" s="1491"/>
      <c r="T8" s="1491"/>
      <c r="U8" s="1491"/>
      <c r="V8" s="1730"/>
      <c r="W8" s="1491"/>
      <c r="X8" s="1491"/>
      <c r="Y8" s="1491"/>
      <c r="Z8" s="1491"/>
      <c r="AA8" s="1730"/>
      <c r="AB8" s="1731"/>
      <c r="AC8" s="896" t="s">
        <v>1531</v>
      </c>
      <c r="AD8" s="1732"/>
      <c r="AE8" s="1724"/>
      <c r="AF8" s="1491"/>
      <c r="AG8" s="1491"/>
      <c r="AH8" s="1491"/>
      <c r="AI8" s="1491"/>
      <c r="AJ8" s="1491"/>
      <c r="AK8" s="1491"/>
      <c r="AL8" s="1491"/>
      <c r="AM8" s="1491"/>
      <c r="AN8" s="1491"/>
      <c r="AO8" s="1491"/>
      <c r="AP8" s="1491"/>
      <c r="AQ8" s="1491"/>
      <c r="AR8" s="1491"/>
      <c r="AS8" s="1491"/>
      <c r="AT8" s="1179" t="s">
        <v>1532</v>
      </c>
      <c r="AU8" s="1726" t="s">
        <v>1533</v>
      </c>
      <c r="AV8" s="1179"/>
      <c r="AW8" s="1709"/>
      <c r="AX8" s="1179"/>
      <c r="AY8" s="1710" t="s">
        <v>1534</v>
      </c>
      <c r="AZ8" s="1490" t="s">
        <v>1535</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79"/>
      <c r="H9" s="1734" t="s">
        <v>1536</v>
      </c>
      <c r="I9" s="1735" t="s">
        <v>3192</v>
      </c>
      <c r="J9" s="896"/>
      <c r="K9" s="1735" t="s">
        <v>3196</v>
      </c>
      <c r="L9" s="896"/>
      <c r="M9" s="1735"/>
      <c r="N9" s="896"/>
      <c r="O9" s="1735"/>
      <c r="P9" s="896"/>
      <c r="Q9" s="1735"/>
      <c r="R9" s="896"/>
      <c r="S9" s="1735"/>
      <c r="T9" s="896"/>
      <c r="U9" s="1735"/>
      <c r="V9" s="896"/>
      <c r="W9" s="1735"/>
      <c r="X9" s="1736"/>
      <c r="Y9" s="1735"/>
      <c r="Z9" s="896"/>
      <c r="AA9" s="1735"/>
      <c r="AB9" s="896"/>
      <c r="AC9" s="1727" t="s">
        <v>1536</v>
      </c>
      <c r="AD9" s="15" t="s">
        <v>1537</v>
      </c>
      <c r="AE9" s="1185"/>
      <c r="AF9" s="15" t="s">
        <v>1538</v>
      </c>
      <c r="AG9" s="1185"/>
      <c r="AH9" s="15" t="s">
        <v>1537</v>
      </c>
      <c r="AI9" s="1185"/>
      <c r="AJ9" s="15" t="s">
        <v>1538</v>
      </c>
      <c r="AK9" s="1185"/>
      <c r="AL9" s="15" t="s">
        <v>1537</v>
      </c>
      <c r="AM9" s="1185"/>
      <c r="AN9" s="15" t="s">
        <v>1538</v>
      </c>
      <c r="AO9" s="1185"/>
      <c r="AP9" s="15" t="s">
        <v>1537</v>
      </c>
      <c r="AQ9" s="1185"/>
      <c r="AR9" s="15" t="s">
        <v>1538</v>
      </c>
      <c r="AS9" s="1737"/>
      <c r="AT9" s="1726"/>
      <c r="AU9" s="1726" t="s">
        <v>1539</v>
      </c>
      <c r="AV9" s="1179"/>
      <c r="AW9" s="1709"/>
      <c r="AX9" s="1179"/>
      <c r="AY9" s="28"/>
      <c r="AZ9" s="28" t="s">
        <v>1529</v>
      </c>
      <c r="BA9" s="1738" t="s">
        <v>1540</v>
      </c>
      <c r="BB9" s="1739"/>
      <c r="BC9" s="1197"/>
      <c r="BD9" s="1197"/>
      <c r="BE9" s="1197"/>
      <c r="BF9" s="1197"/>
      <c r="BG9" s="1197"/>
      <c r="BH9" s="1197"/>
      <c r="BI9" s="1197"/>
      <c r="BJ9" s="1197"/>
      <c r="BK9" s="1740"/>
      <c r="BL9" s="15" t="s">
        <v>1541</v>
      </c>
      <c r="BM9" s="1491"/>
      <c r="BN9" s="1729"/>
      <c r="BO9" s="1491"/>
      <c r="BP9" s="1491"/>
      <c r="BQ9" s="1491"/>
      <c r="BR9" s="1491"/>
      <c r="BS9" s="1491"/>
      <c r="BT9" s="26"/>
    </row>
    <row r="10" spans="1:72" s="1733" customFormat="1" ht="12.75">
      <c r="A10" s="1726"/>
      <c r="B10" s="1726"/>
      <c r="C10" s="1726"/>
      <c r="D10" s="1726"/>
      <c r="E10" s="1726"/>
      <c r="F10" s="1726"/>
      <c r="G10" s="1179"/>
      <c r="H10" s="28"/>
      <c r="I10" s="1735" t="s">
        <v>3205</v>
      </c>
      <c r="J10" s="896"/>
      <c r="K10" s="1741" t="s">
        <v>3646</v>
      </c>
      <c r="L10" s="896"/>
      <c r="M10" s="1741"/>
      <c r="N10" s="896"/>
      <c r="O10" s="1741"/>
      <c r="P10" s="896"/>
      <c r="Q10" s="1741"/>
      <c r="R10" s="896"/>
      <c r="S10" s="1741"/>
      <c r="T10" s="896"/>
      <c r="U10" s="1741"/>
      <c r="V10" s="896"/>
      <c r="W10" s="1741"/>
      <c r="X10" s="896"/>
      <c r="Y10" s="1741"/>
      <c r="Z10" s="896"/>
      <c r="AA10" s="1741"/>
      <c r="AB10" s="896"/>
      <c r="AC10" s="1179"/>
      <c r="AD10" s="15" t="s">
        <v>1542</v>
      </c>
      <c r="AE10" s="1742"/>
      <c r="AF10" s="15" t="s">
        <v>1542</v>
      </c>
      <c r="AG10" s="1742"/>
      <c r="AH10" s="15" t="s">
        <v>1543</v>
      </c>
      <c r="AI10" s="1742"/>
      <c r="AJ10" s="15" t="s">
        <v>1543</v>
      </c>
      <c r="AK10" s="1742"/>
      <c r="AL10" s="15" t="s">
        <v>1544</v>
      </c>
      <c r="AM10" s="1185"/>
      <c r="AN10" s="15" t="s">
        <v>1544</v>
      </c>
      <c r="AO10" s="1185"/>
      <c r="AP10" s="15" t="s">
        <v>1545</v>
      </c>
      <c r="AQ10" s="1185"/>
      <c r="AR10" s="15" t="s">
        <v>1545</v>
      </c>
      <c r="AS10" s="1185"/>
      <c r="AT10" s="1726"/>
      <c r="AU10" s="1726"/>
      <c r="AV10" s="1179"/>
      <c r="AW10" s="1709"/>
      <c r="AX10" s="1179"/>
      <c r="AY10" s="28"/>
      <c r="AZ10" s="28"/>
      <c r="BA10" s="1743" t="s">
        <v>1536</v>
      </c>
      <c r="BB10" s="1744" t="str">
        <f>I9</f>
        <v>地上</v>
      </c>
      <c r="BC10" s="29" t="str">
        <f>K9</f>
        <v>地下</v>
      </c>
      <c r="BD10" s="29">
        <f>M9</f>
        <v>0</v>
      </c>
      <c r="BE10" s="29">
        <f>O9</f>
        <v>0</v>
      </c>
      <c r="BF10" s="29">
        <f>Q9</f>
        <v>0</v>
      </c>
      <c r="BG10" s="29">
        <f>S9</f>
        <v>0</v>
      </c>
      <c r="BH10" s="29">
        <f>U9</f>
        <v>0</v>
      </c>
      <c r="BI10" s="29">
        <f>W9</f>
        <v>0</v>
      </c>
      <c r="BJ10" s="29">
        <f>Y9</f>
        <v>0</v>
      </c>
      <c r="BK10" s="29">
        <f>AA9</f>
        <v>0</v>
      </c>
      <c r="BL10" s="25" t="s">
        <v>1536</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79"/>
      <c r="H11" s="1743"/>
      <c r="I11" s="1746"/>
      <c r="J11" s="1747"/>
      <c r="K11" s="1746"/>
      <c r="L11" s="1747"/>
      <c r="M11" s="1746"/>
      <c r="N11" s="1747"/>
      <c r="O11" s="1746"/>
      <c r="P11" s="1747"/>
      <c r="Q11" s="1746"/>
      <c r="R11" s="1747"/>
      <c r="S11" s="1746"/>
      <c r="T11" s="1747"/>
      <c r="U11" s="1746"/>
      <c r="V11" s="1747"/>
      <c r="W11" s="1746"/>
      <c r="X11" s="1747"/>
      <c r="Y11" s="1746"/>
      <c r="Z11" s="1747"/>
      <c r="AA11" s="1746"/>
      <c r="AB11" s="1747"/>
      <c r="AC11" s="1179"/>
      <c r="AD11" s="1748" t="s">
        <v>1546</v>
      </c>
      <c r="AE11" s="1492"/>
      <c r="AF11" s="1748" t="s">
        <v>1546</v>
      </c>
      <c r="AG11" s="1492"/>
      <c r="AH11" s="1748" t="s">
        <v>1547</v>
      </c>
      <c r="AI11" s="1749"/>
      <c r="AJ11" s="1748" t="s">
        <v>1547</v>
      </c>
      <c r="AK11" s="1492"/>
      <c r="AL11" s="1490"/>
      <c r="AM11" s="1492"/>
      <c r="AN11" s="1490"/>
      <c r="AO11" s="1492"/>
      <c r="AP11" s="1490"/>
      <c r="AQ11" s="1492"/>
      <c r="AR11" s="1490"/>
      <c r="AS11" s="1492"/>
      <c r="AT11" s="1709"/>
      <c r="AU11" s="1726"/>
      <c r="AV11" s="1179"/>
      <c r="AW11" s="1709"/>
      <c r="AX11" s="1179"/>
      <c r="AY11" s="28"/>
      <c r="AZ11" s="28"/>
      <c r="BA11" s="28"/>
      <c r="BB11" s="1731" t="str">
        <f>I10</f>
        <v>住宅</v>
      </c>
      <c r="BC11" s="1731" t="str">
        <f>K10</f>
        <v>车库</v>
      </c>
      <c r="BD11" s="1731">
        <f>M10</f>
        <v>0</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7" t="s">
        <v>1549</v>
      </c>
      <c r="W12" s="11" t="s">
        <v>1548</v>
      </c>
      <c r="X12" s="11" t="s">
        <v>1549</v>
      </c>
      <c r="Y12" s="11" t="s">
        <v>1548</v>
      </c>
      <c r="Z12" s="11" t="s">
        <v>1549</v>
      </c>
      <c r="AA12" s="11" t="s">
        <v>1548</v>
      </c>
      <c r="AB12" s="11" t="s">
        <v>1549</v>
      </c>
      <c r="AC12" s="1753"/>
      <c r="AD12" s="1480"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1" t="s">
        <v>1549</v>
      </c>
      <c r="AT12" s="1754"/>
      <c r="AU12" s="1751"/>
      <c r="AV12" s="31"/>
      <c r="AW12" s="1710"/>
      <c r="AX12" s="31"/>
      <c r="AY12" s="1755"/>
      <c r="AZ12" s="28"/>
      <c r="BA12" s="1743"/>
      <c r="BB12" s="24">
        <f>I11</f>
        <v>0</v>
      </c>
      <c r="BC12" s="1756">
        <f>K11</f>
        <v>0</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59"/>
      <c r="B13" s="1159"/>
      <c r="C13" s="1159"/>
      <c r="D13" s="1757" t="s">
        <v>3645</v>
      </c>
      <c r="E13" s="16">
        <f>IF($C$3="是",ROUND($A$3*G13/$B$3,2),ROUND($A$3*(G13-AT13)/$B$3,2))</f>
        <v>6030.52</v>
      </c>
      <c r="F13" s="32"/>
      <c r="G13" s="33">
        <f>H13+AC13+AT13</f>
        <v>32060.45</v>
      </c>
      <c r="H13" s="20">
        <f>SUMIF(I$12:AB$12,"总值",I13:AB13)</f>
        <v>32060.45</v>
      </c>
      <c r="I13" s="1758">
        <f>抵押物清单!H210</f>
        <v>30117.4</v>
      </c>
      <c r="J13" s="1758"/>
      <c r="K13" s="1758">
        <f>抵押物清单!H211</f>
        <v>1943.05</v>
      </c>
      <c r="L13" s="1758"/>
      <c r="M13" s="1758"/>
      <c r="N13" s="1758"/>
      <c r="O13" s="1758"/>
      <c r="P13" s="1758"/>
      <c r="Q13" s="1758"/>
      <c r="R13" s="1758"/>
      <c r="S13" s="1758"/>
      <c r="T13" s="1758"/>
      <c r="U13" s="1758"/>
      <c r="V13" s="1758"/>
      <c r="W13" s="1758"/>
      <c r="X13" s="1758"/>
      <c r="Y13" s="1758"/>
      <c r="Z13" s="1758"/>
      <c r="AA13" s="1758"/>
      <c r="AB13" s="1758"/>
      <c r="AC13" s="16">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6030.52</v>
      </c>
      <c r="AZ13" s="16">
        <f>BA13+BL13</f>
        <v>32060.45</v>
      </c>
      <c r="BA13" s="16">
        <f>SUM(BB13:BK13)</f>
        <v>32060.45</v>
      </c>
      <c r="BB13" s="16">
        <f>IF($D13="是",I13-J13,0)</f>
        <v>30117.4</v>
      </c>
      <c r="BC13" s="16">
        <f>IF($D13="是",K13-L13,0)</f>
        <v>1943.05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59"/>
      <c r="B14" s="1159"/>
      <c r="C14" s="1702"/>
      <c r="D14" s="1757"/>
      <c r="E14" s="16">
        <f>IF($C$3="是",ROUND($A$3*G14/$B$3,2),ROUND($A$3*(G14-AT14)/$B$3,2))</f>
        <v>0</v>
      </c>
      <c r="F14" s="32"/>
      <c r="G14" s="33">
        <f>H14+AC14+AT14</f>
        <v>0</v>
      </c>
      <c r="H14" s="20">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59"/>
      <c r="B15" s="1159"/>
      <c r="C15" s="1702"/>
      <c r="D15" s="1757"/>
      <c r="E15" s="16">
        <f>IF($C$3="是",ROUND($A$3*G15/$B$3,2),ROUND($A$3*(G15-AT15)/$B$3,2))</f>
        <v>0</v>
      </c>
      <c r="F15" s="32"/>
      <c r="G15" s="33">
        <f>H15+AC15+AT15</f>
        <v>0</v>
      </c>
      <c r="H15" s="20">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59"/>
      <c r="B16" s="1159"/>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59"/>
      <c r="B17" s="1159"/>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0" t="s">
        <v>0</v>
      </c>
      <c r="B1" s="3550" t="s">
        <v>4</v>
      </c>
      <c r="C1" s="3550" t="s">
        <v>5</v>
      </c>
      <c r="D1" s="3551" t="s">
        <v>53</v>
      </c>
      <c r="E1" s="3551" t="s">
        <v>54</v>
      </c>
      <c r="F1" s="3551"/>
      <c r="G1" s="3551"/>
      <c r="H1" s="3551"/>
      <c r="I1" s="3551"/>
      <c r="J1" s="3551"/>
      <c r="K1" s="3551"/>
      <c r="L1" s="3551"/>
      <c r="M1" s="3551"/>
    </row>
    <row r="2" spans="1:13" ht="27" customHeight="1">
      <c r="A2" s="3550"/>
      <c r="B2" s="3550"/>
      <c r="C2" s="3550"/>
      <c r="D2" s="3551"/>
      <c r="E2" s="3551" t="s">
        <v>37</v>
      </c>
      <c r="F2" s="3551" t="s">
        <v>38</v>
      </c>
      <c r="G2" s="3551"/>
      <c r="H2" s="3551"/>
      <c r="I2" s="3551"/>
      <c r="J2" s="3551" t="s">
        <v>39</v>
      </c>
      <c r="K2" s="3551"/>
      <c r="L2" s="3551"/>
      <c r="M2" s="3551"/>
    </row>
    <row r="3" spans="1:13" ht="28.5">
      <c r="A3" s="3550"/>
      <c r="B3" s="3550"/>
      <c r="C3" s="3550"/>
      <c r="D3" s="3551"/>
      <c r="E3" s="35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1" t="s">
        <v>55</v>
      </c>
      <c r="B9" s="3551"/>
      <c r="C9" s="35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80" zoomScaleNormal="100" zoomScaleSheetLayoutView="80" workbookViewId="0">
      <selection activeCell="H35" sqref="H35"/>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1"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1575</v>
      </c>
      <c r="B1" s="1250"/>
      <c r="C1" s="1250"/>
      <c r="D1" s="1250"/>
      <c r="E1" s="1250"/>
      <c r="F1" s="1250"/>
      <c r="G1" s="1250"/>
      <c r="H1" s="1250"/>
      <c r="I1" s="1250"/>
      <c r="J1" s="1250"/>
      <c r="K1" s="1250"/>
      <c r="L1" s="1250"/>
      <c r="M1" s="1250"/>
      <c r="N1" s="1250"/>
      <c r="O1" s="1250"/>
      <c r="P1" s="1250"/>
    </row>
    <row r="2" spans="1:16" ht="15">
      <c r="A2" s="3561" t="s">
        <v>1576</v>
      </c>
      <c r="B2" s="3561"/>
      <c r="C2" s="3561"/>
      <c r="D2" s="882" t="s">
        <v>1552</v>
      </c>
      <c r="E2" s="1771" t="s">
        <v>1553</v>
      </c>
      <c r="F2" s="2831"/>
      <c r="G2" s="2822"/>
      <c r="H2" s="2823"/>
      <c r="I2" s="2494" t="s">
        <v>1577</v>
      </c>
      <c r="J2" s="2831"/>
      <c r="K2" s="2831"/>
      <c r="L2" s="2831"/>
      <c r="M2" s="2831"/>
      <c r="N2" s="2833"/>
      <c r="O2" s="2831"/>
      <c r="P2" s="2831"/>
    </row>
    <row r="3" spans="1:16" ht="15.75" thickBot="1">
      <c r="A3" s="3562" t="s">
        <v>1550</v>
      </c>
      <c r="B3" s="3562"/>
      <c r="C3" s="3562"/>
      <c r="D3" s="46">
        <f>'数据-基础表'!AY6</f>
        <v>6030.52</v>
      </c>
      <c r="E3" s="46">
        <f>'数据-基础表'!AZ5</f>
        <v>32060.45</v>
      </c>
      <c r="F3" s="2831"/>
      <c r="G3" s="1256"/>
      <c r="H3" s="1134" t="s">
        <v>1551</v>
      </c>
      <c r="I3" s="942">
        <f>ROUND('数据-基础表'!B3/'数据-基础表'!A3,2)</f>
        <v>5.32</v>
      </c>
      <c r="J3" s="2831"/>
      <c r="K3" s="2831"/>
      <c r="L3" s="2831"/>
      <c r="M3" s="2831"/>
      <c r="N3" s="2833"/>
      <c r="O3" s="2831"/>
      <c r="P3" s="2831"/>
    </row>
    <row r="4" spans="1:16" ht="15">
      <c r="A4" s="3563"/>
      <c r="B4" s="3564"/>
      <c r="C4" s="3565"/>
      <c r="D4" s="1773" t="s">
        <v>1552</v>
      </c>
      <c r="E4" s="1774" t="s">
        <v>1553</v>
      </c>
      <c r="F4" s="2831"/>
      <c r="G4" s="2824" t="s">
        <v>1578</v>
      </c>
      <c r="H4" s="1134" t="s">
        <v>1558</v>
      </c>
      <c r="I4" s="942">
        <f>ROUND(SUMIF('数据-基础表'!I9:AS9,"地上",'数据-基础表'!I5:AS5)/'数据-基础表'!A3,2)</f>
        <v>4.99</v>
      </c>
      <c r="J4" s="2831"/>
      <c r="K4" s="2831"/>
      <c r="L4" s="2831"/>
      <c r="M4" s="2831"/>
      <c r="N4" s="2833"/>
      <c r="O4" s="2831"/>
      <c r="P4" s="2831"/>
    </row>
    <row r="5" spans="1:16">
      <c r="A5" s="47" t="s">
        <v>1554</v>
      </c>
      <c r="B5" s="3566" t="s">
        <v>1555</v>
      </c>
      <c r="C5" s="3566"/>
      <c r="D5" s="48">
        <f>ROUND($D$3*E5/$E$3,2)</f>
        <v>5665.04</v>
      </c>
      <c r="E5" s="49">
        <f>SUMIF('数据-基础表'!$11:$11,"住宅",'数据-基础表'!$5:$5)</f>
        <v>30117.4</v>
      </c>
      <c r="F5" s="2831"/>
      <c r="G5" s="1256"/>
      <c r="H5" s="1134" t="s">
        <v>1551</v>
      </c>
      <c r="I5" s="942">
        <f>ROUND(E31/D31,2)</f>
        <v>5.32</v>
      </c>
      <c r="J5" s="2831"/>
      <c r="K5" s="2831"/>
      <c r="L5" s="2831"/>
      <c r="M5" s="2831"/>
      <c r="N5" s="2831"/>
      <c r="O5" s="2831"/>
      <c r="P5" s="2831"/>
    </row>
    <row r="6" spans="1:16" ht="15" thickBot="1">
      <c r="A6" s="1776"/>
      <c r="B6" s="3566" t="s">
        <v>1556</v>
      </c>
      <c r="C6" s="3566"/>
      <c r="D6" s="48">
        <f>ROUND($D$3*E6/$E$3,2)</f>
        <v>365.48</v>
      </c>
      <c r="E6" s="49">
        <f>E3-E5</f>
        <v>1943.0499999999993</v>
      </c>
      <c r="F6" s="2831"/>
      <c r="G6" s="2825" t="s">
        <v>1557</v>
      </c>
      <c r="H6" s="1257" t="s">
        <v>1558</v>
      </c>
      <c r="I6" s="2826">
        <f>ROUND(F31/D31,2)</f>
        <v>4.99</v>
      </c>
      <c r="J6" s="2831"/>
      <c r="K6" s="2831"/>
      <c r="L6" s="2831"/>
      <c r="M6" s="2831"/>
      <c r="N6" s="2831"/>
      <c r="O6" s="2831"/>
      <c r="P6" s="2831"/>
    </row>
    <row r="7" spans="1:16" ht="15.75" thickBot="1">
      <c r="A7" s="3558"/>
      <c r="B7" s="3559"/>
      <c r="C7" s="3560"/>
      <c r="D7" s="1773" t="s">
        <v>1552</v>
      </c>
      <c r="E7" s="1777"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5665.04</v>
      </c>
      <c r="E8" s="51">
        <f>SUMIF('数据-基础表'!BB10:BK10,"地上",'数据-基础表'!BB5:BK5)</f>
        <v>30117.4</v>
      </c>
      <c r="F8" s="2831"/>
      <c r="G8" s="2832"/>
      <c r="H8" s="2832"/>
      <c r="I8" s="2831"/>
      <c r="J8" s="2831"/>
      <c r="K8" s="2831"/>
      <c r="L8" s="2831"/>
      <c r="M8" s="2831"/>
      <c r="N8" s="2831"/>
      <c r="O8" s="2831"/>
      <c r="P8" s="2831"/>
    </row>
    <row r="9" spans="1:16">
      <c r="A9" s="1778"/>
      <c r="B9" s="1779"/>
      <c r="C9" s="48" t="s">
        <v>1564</v>
      </c>
      <c r="D9" s="48">
        <f t="shared" si="0"/>
        <v>0</v>
      </c>
      <c r="E9" s="52">
        <v>0</v>
      </c>
      <c r="F9" s="2831"/>
      <c r="G9" s="2832"/>
      <c r="H9" s="2832"/>
      <c r="I9" s="2831"/>
      <c r="J9" s="2831"/>
      <c r="K9" s="2831"/>
      <c r="L9" s="2831"/>
      <c r="M9" s="2831"/>
      <c r="N9" s="2831"/>
      <c r="O9" s="2831"/>
      <c r="P9" s="2831"/>
    </row>
    <row r="10" spans="1:16">
      <c r="A10" s="1778"/>
      <c r="B10" s="1779"/>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8"/>
      <c r="B11" s="1779"/>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8"/>
      <c r="B12" s="1779"/>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8"/>
      <c r="B13" s="1779"/>
      <c r="C13" s="48" t="s">
        <v>1567</v>
      </c>
      <c r="D13" s="48">
        <f t="shared" si="0"/>
        <v>365.48</v>
      </c>
      <c r="E13" s="51">
        <f>SUMPRODUCT(('数据-基础表'!BB10:BK10="地下")*('数据-基础表'!BB11:BK11="车库")*('数据-基础表'!BB5:BK5))</f>
        <v>1943.05</v>
      </c>
      <c r="F13" s="2831"/>
      <c r="G13" s="2832"/>
      <c r="H13" s="2832"/>
      <c r="I13" s="2831"/>
      <c r="J13" s="2831"/>
      <c r="K13" s="2831"/>
      <c r="L13" s="2831"/>
      <c r="M13" s="2831"/>
      <c r="N13" s="2831"/>
      <c r="O13" s="2831"/>
      <c r="P13" s="2831"/>
    </row>
    <row r="14" spans="1:16">
      <c r="A14" s="1778"/>
      <c r="B14" s="1779"/>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8"/>
      <c r="B15" s="1779"/>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6"/>
      <c r="B16" s="1779"/>
      <c r="C16" s="50" t="s">
        <v>1568</v>
      </c>
      <c r="D16" s="50">
        <f>SUM(D8:D15)</f>
        <v>6030.52</v>
      </c>
      <c r="E16" s="53">
        <f>SUM(E8:E15)</f>
        <v>32060.45</v>
      </c>
      <c r="F16" s="2831"/>
      <c r="G16" s="2832"/>
      <c r="H16" s="1780" t="s">
        <v>1580</v>
      </c>
      <c r="I16" s="1781"/>
      <c r="J16" s="1250"/>
      <c r="K16" s="3555" t="s">
        <v>1580</v>
      </c>
      <c r="L16" s="3556"/>
      <c r="M16" s="3556"/>
      <c r="N16" s="3556"/>
      <c r="O16" s="3556"/>
      <c r="P16" s="3557"/>
    </row>
    <row r="17" spans="1:19" ht="15">
      <c r="A17" s="1782" t="s">
        <v>1581</v>
      </c>
      <c r="B17" s="1783" t="s">
        <v>1582</v>
      </c>
      <c r="C17" s="1784" t="s">
        <v>1583</v>
      </c>
      <c r="D17" s="1785" t="s">
        <v>1571</v>
      </c>
      <c r="E17" s="1786" t="s">
        <v>1572</v>
      </c>
      <c r="F17" s="1787"/>
      <c r="G17" s="1788"/>
      <c r="H17" s="1789" t="s">
        <v>1584</v>
      </c>
      <c r="I17" s="1790" t="s">
        <v>1569</v>
      </c>
      <c r="J17" s="1250"/>
      <c r="K17" s="3552" t="s">
        <v>1585</v>
      </c>
      <c r="L17" s="3553"/>
      <c r="M17" s="3554"/>
      <c r="N17" s="3552" t="s">
        <v>1586</v>
      </c>
      <c r="O17" s="3553"/>
      <c r="P17" s="3554"/>
      <c r="R17" s="1772" t="s">
        <v>1587</v>
      </c>
      <c r="S17" s="60"/>
    </row>
    <row r="18" spans="1:19" ht="15">
      <c r="A18" s="1778"/>
      <c r="B18" s="1791"/>
      <c r="C18" s="1792"/>
      <c r="D18" s="1793"/>
      <c r="E18" s="1794" t="s">
        <v>1588</v>
      </c>
      <c r="F18" s="1795" t="s">
        <v>1589</v>
      </c>
      <c r="G18" s="1796" t="s">
        <v>1590</v>
      </c>
      <c r="H18" s="1149" t="s">
        <v>1591</v>
      </c>
      <c r="I18" s="1797" t="s">
        <v>1592</v>
      </c>
      <c r="J18" s="1250"/>
      <c r="K18" s="1149" t="s">
        <v>1593</v>
      </c>
      <c r="L18" s="1798" t="s">
        <v>1594</v>
      </c>
      <c r="M18" s="942" t="s">
        <v>1595</v>
      </c>
      <c r="N18" s="1149" t="s">
        <v>1593</v>
      </c>
      <c r="O18" s="1798" t="s">
        <v>1594</v>
      </c>
      <c r="P18" s="942" t="s">
        <v>1595</v>
      </c>
      <c r="R18" s="1134" t="s">
        <v>1596</v>
      </c>
      <c r="S18" s="1134" t="s">
        <v>1597</v>
      </c>
    </row>
    <row r="19" spans="1:19">
      <c r="A19" s="1799"/>
      <c r="B19" s="50" t="s">
        <v>1570</v>
      </c>
      <c r="C19" s="3264" t="s">
        <v>3649</v>
      </c>
      <c r="D19" s="48">
        <f>ROUND($D$3*E19/$E$3,2)</f>
        <v>5665.04</v>
      </c>
      <c r="E19" s="56">
        <f t="shared" ref="E19:E26" si="1">SUM(F19:G19)</f>
        <v>30117.4</v>
      </c>
      <c r="F19" s="2971">
        <f>'数据-基础表'!I13</f>
        <v>30117.4</v>
      </c>
      <c r="G19" s="2972"/>
      <c r="H19" s="676">
        <f>ROUND($D$3*I19/$E$3,2)</f>
        <v>0</v>
      </c>
      <c r="I19" s="51">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5665.04</v>
      </c>
      <c r="S19" s="1135">
        <f t="shared" si="5"/>
        <v>30117.4</v>
      </c>
    </row>
    <row r="20" spans="1:19">
      <c r="A20" s="1803"/>
      <c r="B20" s="50" t="s">
        <v>1598</v>
      </c>
      <c r="C20" s="3264" t="s">
        <v>3650</v>
      </c>
      <c r="D20" s="48">
        <f t="shared" ref="D20:D26" si="6">ROUND($D$3*E20/$E$3,2)</f>
        <v>365.48</v>
      </c>
      <c r="E20" s="56">
        <f t="shared" si="1"/>
        <v>1943.05</v>
      </c>
      <c r="F20" s="2971"/>
      <c r="G20" s="2972">
        <f>'数据-基础表'!K13</f>
        <v>1943.05</v>
      </c>
      <c r="H20" s="676">
        <f t="shared" ref="H20:H26" si="7">ROUND($D$3*I20/$E$3,2)</f>
        <v>0</v>
      </c>
      <c r="I20" s="51">
        <f t="shared" si="2"/>
        <v>0</v>
      </c>
      <c r="J20" s="1250"/>
      <c r="K20" s="1249">
        <f t="shared" si="3"/>
        <v>0</v>
      </c>
      <c r="L20" s="1134">
        <f t="shared" si="4"/>
        <v>0</v>
      </c>
      <c r="M20" s="1261">
        <f t="shared" ref="M20:M26" si="8">K20+L20</f>
        <v>0</v>
      </c>
      <c r="N20" s="1801"/>
      <c r="O20" s="1802"/>
      <c r="P20" s="1261">
        <f t="shared" ref="P20:P26" si="9">N20+O20</f>
        <v>0</v>
      </c>
      <c r="R20" s="1134">
        <f t="shared" si="5"/>
        <v>365.48</v>
      </c>
      <c r="S20" s="1135">
        <f t="shared" si="5"/>
        <v>1943.05</v>
      </c>
    </row>
    <row r="21" spans="1:19">
      <c r="A21" s="1803"/>
      <c r="B21" s="50" t="s">
        <v>1598</v>
      </c>
      <c r="C21" s="1800"/>
      <c r="D21" s="48">
        <f t="shared" si="6"/>
        <v>0</v>
      </c>
      <c r="E21" s="56">
        <f t="shared" si="1"/>
        <v>0</v>
      </c>
      <c r="F21" s="2971"/>
      <c r="G21" s="2972"/>
      <c r="H21" s="676">
        <f t="shared" si="7"/>
        <v>0</v>
      </c>
      <c r="I21" s="51">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50" t="s">
        <v>1598</v>
      </c>
      <c r="C22" s="58"/>
      <c r="D22" s="48">
        <f t="shared" si="6"/>
        <v>0</v>
      </c>
      <c r="E22" s="56">
        <f t="shared" si="1"/>
        <v>0</v>
      </c>
      <c r="F22" s="2973"/>
      <c r="G22" s="2974"/>
      <c r="H22" s="676">
        <f t="shared" si="7"/>
        <v>0</v>
      </c>
      <c r="I22" s="51">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50" t="s">
        <v>1598</v>
      </c>
      <c r="C23" s="58"/>
      <c r="D23" s="48">
        <f>ROUND($D$3*E23/$E$3,2)</f>
        <v>0</v>
      </c>
      <c r="E23" s="56">
        <f>SUM(F23:G23)</f>
        <v>0</v>
      </c>
      <c r="F23" s="2973"/>
      <c r="G23" s="2974"/>
      <c r="H23" s="676">
        <f>ROUND($D$3*I23/$E$3,2)</f>
        <v>0</v>
      </c>
      <c r="I23" s="51">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50" t="s">
        <v>1598</v>
      </c>
      <c r="C24" s="58"/>
      <c r="D24" s="48">
        <f>ROUND($D$3*E24/$E$3,2)</f>
        <v>0</v>
      </c>
      <c r="E24" s="56">
        <f>SUM(F24:G24)</f>
        <v>0</v>
      </c>
      <c r="F24" s="2973"/>
      <c r="G24" s="2974"/>
      <c r="H24" s="676">
        <f>ROUND($D$3*I24/$E$3,2)</f>
        <v>0</v>
      </c>
      <c r="I24" s="51">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50" t="s">
        <v>1598</v>
      </c>
      <c r="C25" s="58"/>
      <c r="D25" s="48">
        <f t="shared" si="6"/>
        <v>0</v>
      </c>
      <c r="E25" s="56">
        <f t="shared" si="1"/>
        <v>0</v>
      </c>
      <c r="F25" s="2973"/>
      <c r="G25" s="2974"/>
      <c r="H25" s="47">
        <f t="shared" si="7"/>
        <v>0</v>
      </c>
      <c r="I25" s="51">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50" t="s">
        <v>1598</v>
      </c>
      <c r="C26" s="59"/>
      <c r="D26" s="48">
        <f t="shared" si="6"/>
        <v>0</v>
      </c>
      <c r="E26" s="56">
        <f t="shared" si="1"/>
        <v>0</v>
      </c>
      <c r="F26" s="2973"/>
      <c r="G26" s="2974"/>
      <c r="H26" s="47">
        <f t="shared" si="7"/>
        <v>0</v>
      </c>
      <c r="I26" s="51">
        <f t="shared" si="2"/>
        <v>0</v>
      </c>
      <c r="J26" s="1250"/>
      <c r="K26" s="1256">
        <f t="shared" si="3"/>
        <v>0</v>
      </c>
      <c r="L26" s="1257">
        <f t="shared" si="4"/>
        <v>0</v>
      </c>
      <c r="M26" s="63">
        <f t="shared" si="8"/>
        <v>0</v>
      </c>
      <c r="N26" s="1804"/>
      <c r="O26" s="1805"/>
      <c r="P26" s="63">
        <f t="shared" si="9"/>
        <v>0</v>
      </c>
      <c r="R26" s="1134">
        <f t="shared" si="5"/>
        <v>0</v>
      </c>
      <c r="S26" s="1135">
        <f t="shared" si="5"/>
        <v>0</v>
      </c>
    </row>
    <row r="27" spans="1:19" ht="15.75" thickBot="1">
      <c r="A27" s="1803"/>
      <c r="B27" s="48"/>
      <c r="C27" s="1806" t="s">
        <v>1599</v>
      </c>
      <c r="D27" s="1251">
        <f>SUM(D19:D26)</f>
        <v>6030.52</v>
      </c>
      <c r="E27" s="1252">
        <f>IF(SUM(E19:E26)='数据-基础表'!BA5,SUM(E19:E26),IF(F27="地上面积有误","面积有误","地下面积有误"))</f>
        <v>32060.45</v>
      </c>
      <c r="F27" s="1251">
        <f>IF(SUM(F19:F26)=E8,SUM(F19:F26),"地上面积有误")</f>
        <v>30117.4</v>
      </c>
      <c r="G27" s="1253">
        <f>SUM(G19:G26)</f>
        <v>1943.05</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6030.52</v>
      </c>
      <c r="S27" s="1134">
        <f>IF(SUM(S19:S26)=$E$3,SUM(S19:S26),SUM(S19:S26)&amp;"误差"&amp;ROUND(SUM(S19:S26)-E3,2))</f>
        <v>32060.45</v>
      </c>
    </row>
    <row r="28" spans="1:19">
      <c r="A28" s="1803"/>
      <c r="B28" s="50" t="s">
        <v>1600</v>
      </c>
      <c r="C28" s="1146"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3"/>
      <c r="B29" s="50" t="s">
        <v>1600</v>
      </c>
      <c r="C29" s="1807"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3"/>
      <c r="B30" s="50"/>
      <c r="C30" s="1808" t="s">
        <v>1599</v>
      </c>
      <c r="D30" s="1251">
        <f>SUM(D28:D29)</f>
        <v>0</v>
      </c>
      <c r="E30" s="1251">
        <f>SUM(E28:E29)</f>
        <v>0</v>
      </c>
      <c r="F30" s="1251">
        <f>SUM(F28:F29)</f>
        <v>0</v>
      </c>
      <c r="G30" s="1253">
        <f>SUM(G28:G29)</f>
        <v>0</v>
      </c>
      <c r="H30" s="2831"/>
      <c r="I30" s="2831"/>
      <c r="J30" s="2831"/>
      <c r="K30" s="2831"/>
      <c r="L30" s="2831"/>
      <c r="M30" s="2831"/>
      <c r="N30" s="2831"/>
      <c r="O30" s="2831"/>
      <c r="P30" s="2831"/>
    </row>
    <row r="31" spans="1:19" ht="15.75" thickBot="1">
      <c r="A31" s="1809"/>
      <c r="B31" s="1810"/>
      <c r="C31" s="922" t="s">
        <v>1603</v>
      </c>
      <c r="D31" s="682">
        <f>D27+D30</f>
        <v>6030.52</v>
      </c>
      <c r="E31" s="682">
        <f>E27+E30</f>
        <v>32060.45</v>
      </c>
      <c r="F31" s="683">
        <f>F27+F30</f>
        <v>30117.4</v>
      </c>
      <c r="G31" s="684">
        <f>G27+G30</f>
        <v>1943.05</v>
      </c>
      <c r="H31" s="2831"/>
      <c r="I31" s="2831"/>
      <c r="J31" s="2831"/>
      <c r="K31" s="2831"/>
      <c r="L31" s="2831"/>
      <c r="M31" s="2831"/>
      <c r="N31" s="2831"/>
      <c r="O31" s="2831"/>
      <c r="P31" s="2831"/>
    </row>
    <row r="32" spans="1:19">
      <c r="A32" s="1775"/>
      <c r="B32" s="1775" t="s">
        <v>1604</v>
      </c>
      <c r="C32" s="1775"/>
      <c r="D32" s="1775"/>
      <c r="E32" s="1161">
        <f>SUMIF(C19:C26,"*住宅*",E19:E26)</f>
        <v>30117.4</v>
      </c>
      <c r="F32" s="1775"/>
      <c r="G32" s="1775"/>
      <c r="H32" s="2831"/>
      <c r="I32" s="2831"/>
      <c r="J32" s="2831"/>
      <c r="K32" s="2831"/>
      <c r="L32" s="2831"/>
      <c r="M32" s="2831"/>
      <c r="N32" s="2831"/>
      <c r="O32" s="2831"/>
      <c r="P32" s="2831"/>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3" sqref="J13"/>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1605</v>
      </c>
      <c r="B1" s="685"/>
      <c r="C1" s="1302"/>
      <c r="D1" s="1813"/>
      <c r="E1" s="1302"/>
      <c r="F1" s="1302"/>
      <c r="G1" s="1302"/>
      <c r="H1" s="1302"/>
      <c r="I1" s="1302"/>
      <c r="J1" s="1302"/>
      <c r="K1" s="164"/>
      <c r="L1" s="164"/>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5"/>
      <c r="AO1" s="2845"/>
      <c r="AP1" s="2845"/>
      <c r="AQ1" s="2845"/>
      <c r="AR1" s="2845"/>
    </row>
    <row r="2" spans="1:67" s="1691" customFormat="1" ht="15.75" thickBot="1">
      <c r="A2" s="1816" t="s">
        <v>1606</v>
      </c>
      <c r="B2" s="1153">
        <f>项目基本情况!D3</f>
        <v>44901</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7"/>
      <c r="AO2" s="2847"/>
      <c r="AP2" s="2847"/>
      <c r="AQ2" s="2847"/>
      <c r="AR2" s="2847"/>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7"/>
      <c r="AO3" s="2847"/>
      <c r="AP3" s="2847"/>
      <c r="AQ3" s="2847"/>
      <c r="AR3" s="2847"/>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4" t="s">
        <v>1607</v>
      </c>
      <c r="B4" s="1821"/>
      <c r="C4" s="1822"/>
      <c r="D4" s="1823"/>
      <c r="E4" s="1822" t="s">
        <v>1608</v>
      </c>
      <c r="F4" s="1822"/>
      <c r="G4" s="1822"/>
      <c r="H4" s="1822"/>
      <c r="I4" s="1822"/>
      <c r="J4" s="1824"/>
      <c r="K4" s="1825"/>
      <c r="L4" s="1826"/>
      <c r="M4" s="1822"/>
      <c r="N4" s="1822" t="s">
        <v>1609</v>
      </c>
      <c r="O4" s="1822"/>
      <c r="P4" s="1822"/>
      <c r="Q4" s="1822"/>
      <c r="R4" s="1822"/>
      <c r="S4" s="1824"/>
      <c r="T4" s="2830" t="str">
        <f>'数据-汇总表'!I17</f>
        <v>按面积比例</v>
      </c>
      <c r="U4" s="1821" t="s">
        <v>1610</v>
      </c>
      <c r="V4" s="1822"/>
      <c r="W4" s="1822"/>
      <c r="X4" s="1822"/>
      <c r="Y4" s="1824"/>
      <c r="Z4" s="1784" t="s">
        <v>1611</v>
      </c>
      <c r="AA4" s="1784"/>
      <c r="AB4" s="1784"/>
      <c r="AC4" s="1784"/>
      <c r="AD4" s="1784"/>
      <c r="AE4" s="1782" t="s">
        <v>1612</v>
      </c>
      <c r="AF4" s="1784"/>
      <c r="AG4" s="1827"/>
      <c r="AH4" s="1821"/>
      <c r="AI4" s="1822"/>
      <c r="AJ4" s="1822"/>
      <c r="AK4" s="1822"/>
      <c r="AL4" s="1822"/>
      <c r="AM4" s="1824"/>
      <c r="AN4" s="2847"/>
      <c r="AO4" s="2847"/>
      <c r="AP4" s="2847"/>
      <c r="AQ4" s="2847"/>
      <c r="AR4" s="2847"/>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1613</v>
      </c>
      <c r="B5" s="1829" t="s">
        <v>1614</v>
      </c>
      <c r="C5" s="1830" t="s">
        <v>1615</v>
      </c>
      <c r="D5" s="1831" t="s">
        <v>1616</v>
      </c>
      <c r="E5" s="1155" t="s">
        <v>1617</v>
      </c>
      <c r="F5" s="1832" t="s">
        <v>1618</v>
      </c>
      <c r="G5" s="1155" t="s">
        <v>1619</v>
      </c>
      <c r="H5" s="1155" t="s">
        <v>1620</v>
      </c>
      <c r="I5" s="1155" t="s">
        <v>1621</v>
      </c>
      <c r="J5" s="1833" t="s">
        <v>1622</v>
      </c>
      <c r="K5" s="1834" t="s">
        <v>1623</v>
      </c>
      <c r="L5" s="1835" t="s">
        <v>1624</v>
      </c>
      <c r="M5" s="1836" t="s">
        <v>1625</v>
      </c>
      <c r="N5" s="1837" t="s">
        <v>3654</v>
      </c>
      <c r="O5" s="1835" t="s">
        <v>1626</v>
      </c>
      <c r="P5" s="1838" t="s">
        <v>1627</v>
      </c>
      <c r="Q5" s="65" t="s">
        <v>1628</v>
      </c>
      <c r="R5" s="1839" t="s">
        <v>1629</v>
      </c>
      <c r="S5" s="1840" t="s">
        <v>1630</v>
      </c>
      <c r="T5" s="1841" t="s">
        <v>1631</v>
      </c>
      <c r="U5" s="1154" t="s">
        <v>1632</v>
      </c>
      <c r="V5" s="1155" t="s">
        <v>1633</v>
      </c>
      <c r="W5" s="1155" t="s">
        <v>1634</v>
      </c>
      <c r="X5" s="67"/>
      <c r="Y5" s="66" t="s">
        <v>1635</v>
      </c>
      <c r="Z5" s="1842" t="s">
        <v>1632</v>
      </c>
      <c r="AA5" s="1155" t="s">
        <v>1633</v>
      </c>
      <c r="AB5" s="1155" t="s">
        <v>1634</v>
      </c>
      <c r="AC5" s="67"/>
      <c r="AD5" s="67" t="s">
        <v>1635</v>
      </c>
      <c r="AE5" s="1154" t="s">
        <v>1636</v>
      </c>
      <c r="AF5" s="1155" t="s">
        <v>1637</v>
      </c>
      <c r="AG5" s="66" t="s">
        <v>1638</v>
      </c>
      <c r="AH5" s="1154" t="s">
        <v>1639</v>
      </c>
      <c r="AI5" s="1842" t="s">
        <v>1640</v>
      </c>
      <c r="AJ5" s="1842" t="s">
        <v>1641</v>
      </c>
      <c r="AK5" s="1155" t="s">
        <v>1642</v>
      </c>
      <c r="AL5" s="1155" t="s">
        <v>1643</v>
      </c>
      <c r="AM5" s="66" t="s">
        <v>1644</v>
      </c>
      <c r="AN5" s="1843" t="s">
        <v>1645</v>
      </c>
      <c r="AO5" s="1694" t="s">
        <v>1646</v>
      </c>
      <c r="AP5" s="1136" t="s">
        <v>1647</v>
      </c>
      <c r="AQ5" s="1844" t="s">
        <v>1648</v>
      </c>
      <c r="AR5" s="1844" t="s">
        <v>1649</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住宅</v>
      </c>
      <c r="B6" s="1846" t="str">
        <f>IF(A6=0,"","经营性")</f>
        <v>经营性</v>
      </c>
      <c r="C6" s="1847" t="s">
        <v>3205</v>
      </c>
      <c r="D6" s="945">
        <f>SUMIF(项目基本情况!D$12:I$12,C6,项目基本情况!D$14:I$14)</f>
        <v>70</v>
      </c>
      <c r="E6" s="944">
        <f>IF(B6="","",SUMIF(项目基本情况!D$12:I$12,C6,项目基本情况!D$13:I$13))</f>
        <v>60455</v>
      </c>
      <c r="F6" s="68">
        <f>SUMIF(项目基本情况!D$12:I$12,C6,项目基本情况!D$15:I$15)</f>
        <v>42.61</v>
      </c>
      <c r="G6" s="69">
        <f>IF(ISERROR(ROUND(POWER(1+H6,D6-F6)*(POWER(1+H6,F6)-1)/(POWER(1+H6,D6)-1),3)),0,ROUND(POWER(1+H6,D6-F6)*(POWER(1+H6,F6)-1)/(POWER(1+H6,D6)-1),3))</f>
        <v>0.86799999999999999</v>
      </c>
      <c r="H6" s="738">
        <v>0.04</v>
      </c>
      <c r="I6" s="3472">
        <v>4.4999999999999998E-2</v>
      </c>
      <c r="J6" s="70">
        <v>0.06</v>
      </c>
      <c r="K6" s="1138">
        <f>SUMIF('数据-汇总表'!C$19:C$33,A6,'数据-汇总表'!E$19:E$33)</f>
        <v>30117.4</v>
      </c>
      <c r="L6" s="739">
        <v>4500</v>
      </c>
      <c r="M6" s="71">
        <f t="shared" ref="M6:M14" si="0">ROUND(K6*L6/10000,0)</f>
        <v>13553</v>
      </c>
      <c r="N6" s="737">
        <v>0.75</v>
      </c>
      <c r="O6" s="71" t="str">
        <f>IF($N$5="成新度","——",ROUND(M6*N6,0))</f>
        <v>——</v>
      </c>
      <c r="P6" s="72" t="str">
        <f>IF($N$5="成新度","——",M6-O6)</f>
        <v>——</v>
      </c>
      <c r="Q6" s="740">
        <v>0.15</v>
      </c>
      <c r="R6" s="73">
        <f ca="1">SUMIF('数据-汇总表'!C$19:C$33,A6,'数据-汇总表'!R$19:R$27)</f>
        <v>5665.04</v>
      </c>
      <c r="S6" s="54">
        <f>IF('数据-汇总表'!$I$17="按面积比例",SUMIF('数据-汇总表'!C$19:C$33,A6,'数据-汇总表'!K$19:K$33),SUMIF('数据-汇总表'!C$19:C$33,A6,'数据-汇总表'!N$19:N$33))</f>
        <v>0</v>
      </c>
      <c r="T6" s="1283">
        <f>ROUND($L$14*S6/10000,0)</f>
        <v>0</v>
      </c>
      <c r="U6" s="3464">
        <v>4.3</v>
      </c>
      <c r="V6" s="75">
        <v>0</v>
      </c>
      <c r="W6" s="75">
        <v>0.05</v>
      </c>
      <c r="X6" s="1148"/>
      <c r="Y6" s="76">
        <f>N6</f>
        <v>0.75</v>
      </c>
      <c r="Z6" s="77"/>
      <c r="AA6" s="70"/>
      <c r="AB6" s="70"/>
      <c r="AC6" s="1148"/>
      <c r="AD6" s="78"/>
      <c r="AE6" s="1149">
        <f ca="1">IF(AN6="",0,SUMIF(INDIRECT("'"&amp;AN6&amp;"'"&amp;"!E:E"),$AE$5,INDIRECT("'"&amp;AN6&amp;"'"&amp;"!F:F")))</f>
        <v>42.61</v>
      </c>
      <c r="AF6" s="1479"/>
      <c r="AG6" s="143">
        <f>IF(AF6="",0,AE6-AF6)</f>
        <v>0</v>
      </c>
      <c r="AH6" s="79"/>
      <c r="AI6" s="81">
        <v>365</v>
      </c>
      <c r="AJ6" s="82"/>
      <c r="AK6" s="3466">
        <v>0.01</v>
      </c>
      <c r="AL6" s="3467">
        <v>1E-3</v>
      </c>
      <c r="AM6" s="3465">
        <v>0.03</v>
      </c>
      <c r="AN6" s="1848" t="s">
        <v>3657</v>
      </c>
      <c r="AO6" s="55">
        <f ca="1">SUMIF(INDIRECT("'"&amp;AN6&amp;"'"&amp;"!A:A"),"总价",INDIRECT("'"&amp;AN6&amp;"'"&amp;"!B:B"))</f>
        <v>63655</v>
      </c>
      <c r="AP6" s="1849">
        <f>IF(C6="住宅",K6*L6,0)</f>
        <v>135528300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地下车库</v>
      </c>
      <c r="B7" s="1846" t="str">
        <f t="shared" ref="B7:B13" si="1">IF(A7=0,"","经营性")</f>
        <v>经营性</v>
      </c>
      <c r="C7" s="1847" t="s">
        <v>3646</v>
      </c>
      <c r="D7" s="945">
        <f>SUMIF(项目基本情况!D$12:I$12,C7,项目基本情况!D$14:I$14)</f>
        <v>70</v>
      </c>
      <c r="E7" s="944">
        <f>IF(B7="","",SUMIF(项目基本情况!D$12:I$12,C7,项目基本情况!D$13:I$13))</f>
        <v>53150</v>
      </c>
      <c r="F7" s="68">
        <f>SUMIF(项目基本情况!D$12:I$12,C7,项目基本情况!D$15:I$15)</f>
        <v>22.6</v>
      </c>
      <c r="G7" s="69">
        <f t="shared" ref="G7:G11" si="2">IF(ISERROR(ROUND(POWER(1+H7,D7-F7)*(POWER(1+H7,F7)-1)/(POWER(1+H7,D7)-1),3)),0,ROUND(POWER(1+H7,D7-F7)*(POWER(1+H7,F7)-1)/(POWER(1+H7,D7)-1),3))</f>
        <v>0.66100000000000003</v>
      </c>
      <c r="H7" s="3470">
        <v>4.4999999999999998E-2</v>
      </c>
      <c r="I7" s="3470">
        <v>0.05</v>
      </c>
      <c r="J7" s="3471">
        <v>7.4999999999999997E-2</v>
      </c>
      <c r="K7" s="1138">
        <f>SUMIF('数据-汇总表'!C$19:C$33,A7,'数据-汇总表'!E$19:E$33)</f>
        <v>1943.05</v>
      </c>
      <c r="L7" s="739">
        <v>3000</v>
      </c>
      <c r="M7" s="71">
        <f t="shared" si="0"/>
        <v>583</v>
      </c>
      <c r="N7" s="737">
        <f>N6</f>
        <v>0.75</v>
      </c>
      <c r="O7" s="71" t="str">
        <f t="shared" ref="O7:O14" si="3">IF($N$5="成新度","——",ROUND(M7*N7,0))</f>
        <v>——</v>
      </c>
      <c r="P7" s="72" t="str">
        <f t="shared" ref="P7:P14" si="4">IF($N$5="成新度","——",M7-O7)</f>
        <v>——</v>
      </c>
      <c r="Q7" s="740">
        <v>0.05</v>
      </c>
      <c r="R7" s="73">
        <f ca="1">SUMIF('数据-汇总表'!C$19:C$33,A7,'数据-汇总表'!R$19:R$27)</f>
        <v>365.48</v>
      </c>
      <c r="S7" s="54">
        <f>IF('数据-汇总表'!$I$17="按面积比例",SUMIF('数据-汇总表'!C$19:C$33,A7,'数据-汇总表'!K$19:K$33),SUMIF('数据-汇总表'!C$19:C$33,A7,'数据-汇总表'!N$19:N$33))</f>
        <v>0</v>
      </c>
      <c r="T7" s="1283">
        <f t="shared" ref="T7:T13" si="5">ROUND($L$14*S7/10000,0)</f>
        <v>0</v>
      </c>
      <c r="U7" s="74">
        <v>800</v>
      </c>
      <c r="V7" s="75">
        <v>0</v>
      </c>
      <c r="W7" s="3468">
        <v>0.05</v>
      </c>
      <c r="X7" s="1148"/>
      <c r="Y7" s="76">
        <f>N6</f>
        <v>0.75</v>
      </c>
      <c r="Z7" s="77"/>
      <c r="AA7" s="70"/>
      <c r="AB7" s="70"/>
      <c r="AC7" s="1148"/>
      <c r="AD7" s="78"/>
      <c r="AE7" s="1149">
        <f t="shared" ref="AE7:AE13" ca="1" si="6">IF(AN7="",0,SUMIF(INDIRECT("'"&amp;AN7&amp;"'"&amp;"!E:E"),$AE$5,INDIRECT("'"&amp;AN7&amp;"'"&amp;"!F:F")))</f>
        <v>22.6</v>
      </c>
      <c r="AF7" s="1479"/>
      <c r="AG7" s="143">
        <f t="shared" ref="AG7:AG13" si="7">IF(AF7="",0,AE7-AF7)</f>
        <v>0</v>
      </c>
      <c r="AH7" s="79">
        <v>80</v>
      </c>
      <c r="AI7" s="81">
        <v>12</v>
      </c>
      <c r="AJ7" s="82"/>
      <c r="AK7" s="3466">
        <v>0.01</v>
      </c>
      <c r="AL7" s="84">
        <v>1E-3</v>
      </c>
      <c r="AM7" s="3465">
        <v>0.03</v>
      </c>
      <c r="AN7" s="1848" t="s">
        <v>4009</v>
      </c>
      <c r="AO7" s="55">
        <f t="shared" ref="AO7:AO13" ca="1" si="8">SUMIF(INDIRECT("'"&amp;AN7&amp;"'"&amp;"!A:A"),"总价",INDIRECT("'"&amp;AN7&amp;"'"&amp;"!B:B"))</f>
        <v>723</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1"/>
        <v/>
      </c>
      <c r="C8" s="1847"/>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3">
        <f t="shared" si="5"/>
        <v>0</v>
      </c>
      <c r="U8" s="741"/>
      <c r="V8" s="742"/>
      <c r="W8" s="742"/>
      <c r="X8" s="1148"/>
      <c r="Y8" s="743"/>
      <c r="Z8" s="77"/>
      <c r="AA8" s="70"/>
      <c r="AB8" s="70"/>
      <c r="AC8" s="1148"/>
      <c r="AD8" s="78"/>
      <c r="AE8" s="1149">
        <f t="shared" ca="1" si="6"/>
        <v>0</v>
      </c>
      <c r="AF8" s="1479"/>
      <c r="AG8" s="143">
        <f t="shared" si="7"/>
        <v>0</v>
      </c>
      <c r="AH8" s="744"/>
      <c r="AI8" s="81"/>
      <c r="AJ8" s="82"/>
      <c r="AK8" s="745"/>
      <c r="AL8" s="746"/>
      <c r="AM8" s="747"/>
      <c r="AN8" s="1848"/>
      <c r="AO8" s="55" t="e">
        <f t="shared" ca="1" si="8"/>
        <v>#REF!</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1"/>
        <v/>
      </c>
      <c r="C9" s="1847"/>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3">
        <f t="shared" si="5"/>
        <v>0</v>
      </c>
      <c r="U9" s="74"/>
      <c r="V9" s="75"/>
      <c r="W9" s="75"/>
      <c r="X9" s="1148"/>
      <c r="Y9" s="76"/>
      <c r="Z9" s="77"/>
      <c r="AA9" s="70"/>
      <c r="AB9" s="70"/>
      <c r="AC9" s="1148"/>
      <c r="AD9" s="78"/>
      <c r="AE9" s="1149">
        <f t="shared" ca="1" si="6"/>
        <v>0</v>
      </c>
      <c r="AF9" s="1479"/>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9"/>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9"/>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9"/>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9"/>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1650</v>
      </c>
      <c r="B14" s="1846" t="s">
        <v>1651</v>
      </c>
      <c r="C14" s="1851" t="s">
        <v>1650</v>
      </c>
      <c r="D14" s="945"/>
      <c r="E14" s="944"/>
      <c r="F14" s="68"/>
      <c r="G14" s="69"/>
      <c r="H14" s="1137"/>
      <c r="I14" s="1137"/>
      <c r="J14" s="1137"/>
      <c r="K14" s="1138">
        <f>SUMIF('数据-汇总表'!C$19:C$33,A14,'数据-汇总表'!E$19:E$33)</f>
        <v>0</v>
      </c>
      <c r="L14" s="87"/>
      <c r="M14" s="71">
        <f t="shared" si="0"/>
        <v>0</v>
      </c>
      <c r="N14" s="88"/>
      <c r="O14" s="71" t="str">
        <f t="shared" si="3"/>
        <v>——</v>
      </c>
      <c r="P14" s="72" t="str">
        <f t="shared" si="4"/>
        <v>——</v>
      </c>
      <c r="Q14" s="1141"/>
      <c r="R14" s="73"/>
      <c r="S14" s="54"/>
      <c r="T14" s="1283"/>
      <c r="U14" s="676"/>
      <c r="V14" s="1143"/>
      <c r="W14" s="1143"/>
      <c r="X14" s="1144"/>
      <c r="Y14" s="1145"/>
      <c r="Z14" s="1146"/>
      <c r="AA14" s="1147"/>
      <c r="AB14" s="1147"/>
      <c r="AC14" s="1148"/>
      <c r="AD14" s="1144"/>
      <c r="AE14" s="1149"/>
      <c r="AF14" s="55"/>
      <c r="AG14" s="143"/>
      <c r="AH14" s="1149"/>
      <c r="AI14" s="1488"/>
      <c r="AJ14" s="710"/>
      <c r="AK14" s="1150"/>
      <c r="AL14" s="1151"/>
      <c r="AM14" s="1152"/>
      <c r="AN14" s="2845"/>
      <c r="AO14" s="2847"/>
      <c r="AP14" s="2847"/>
      <c r="AQ14" s="2847"/>
      <c r="AR14" s="2847"/>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1652</v>
      </c>
      <c r="B15" s="1846" t="s">
        <v>1651</v>
      </c>
      <c r="C15" s="1851" t="s">
        <v>1653</v>
      </c>
      <c r="D15" s="945"/>
      <c r="E15" s="944"/>
      <c r="F15" s="68"/>
      <c r="G15" s="69"/>
      <c r="H15" s="1137"/>
      <c r="I15" s="1137"/>
      <c r="J15" s="1137"/>
      <c r="K15" s="1138">
        <f>SUMIF('数据-汇总表'!C$19:C$33,A15,'数据-汇总表'!E$19:E$33)</f>
        <v>0</v>
      </c>
      <c r="L15" s="1139"/>
      <c r="M15" s="71"/>
      <c r="N15" s="1140"/>
      <c r="O15" s="71"/>
      <c r="P15" s="72"/>
      <c r="Q15" s="1141"/>
      <c r="R15" s="73"/>
      <c r="S15" s="54"/>
      <c r="T15" s="1283"/>
      <c r="U15" s="676"/>
      <c r="V15" s="1143"/>
      <c r="W15" s="1143"/>
      <c r="X15" s="1144"/>
      <c r="Y15" s="1145"/>
      <c r="Z15" s="1146"/>
      <c r="AA15" s="1147"/>
      <c r="AB15" s="1147"/>
      <c r="AC15" s="1148"/>
      <c r="AD15" s="1144"/>
      <c r="AE15" s="1149"/>
      <c r="AF15" s="55"/>
      <c r="AG15" s="143"/>
      <c r="AH15" s="1149"/>
      <c r="AI15" s="1488"/>
      <c r="AJ15" s="710"/>
      <c r="AK15" s="1150"/>
      <c r="AL15" s="1151"/>
      <c r="AM15" s="1152"/>
      <c r="AN15" s="2845"/>
      <c r="AO15" s="2847"/>
      <c r="AP15" s="2847"/>
      <c r="AQ15" s="2847"/>
      <c r="AR15" s="2847"/>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1654</v>
      </c>
      <c r="B16" s="93"/>
      <c r="C16" s="920"/>
      <c r="D16" s="1853"/>
      <c r="E16" s="93"/>
      <c r="F16" s="93"/>
      <c r="G16" s="94">
        <f>ROUND(SUMPRODUCT(G6:G13,K6:K13)/SUMPRODUCT((G6:G13&gt;0)*(K6:K13)),3)</f>
        <v>0.85499999999999998</v>
      </c>
      <c r="H16" s="95">
        <f>ROUND(SUMPRODUCT(H6:H13,K6:K13)/SUMPRODUCT((H6:H13&gt;0)*(K6:K13)),3)</f>
        <v>0.04</v>
      </c>
      <c r="I16" s="96"/>
      <c r="J16" s="96"/>
      <c r="K16" s="97">
        <f>SUM(K6:K15)</f>
        <v>32060.45</v>
      </c>
      <c r="L16" s="98">
        <f>ROUND(M16*10000/SUM(K6:K14),0)</f>
        <v>4409</v>
      </c>
      <c r="M16" s="98">
        <f>SUM(M6:M14)</f>
        <v>14136</v>
      </c>
      <c r="N16" s="99">
        <f>ROUND(SUMPRODUCT(M6:M14,N6:N14)/M16,3)</f>
        <v>0.75</v>
      </c>
      <c r="O16" s="98">
        <f>SUM(O6:O14)</f>
        <v>0</v>
      </c>
      <c r="P16" s="98">
        <f>SUM(P6:P14)</f>
        <v>0</v>
      </c>
      <c r="Q16" s="100">
        <f>ROUND(SUMPRODUCT(Q6:Q13,K6:K13)/SUMPRODUCT((Q6:Q13&gt;0)*(K6:K13)),2)</f>
        <v>0.14000000000000001</v>
      </c>
      <c r="R16" s="1142">
        <f ca="1">SUM(R6:R13)</f>
        <v>6030.52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5" t="s">
        <v>1656</v>
      </c>
      <c r="B19" s="108">
        <v>0</v>
      </c>
      <c r="C19" s="2975" t="s">
        <v>2805</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6" t="s">
        <v>1657</v>
      </c>
      <c r="B20" s="109">
        <v>2</v>
      </c>
      <c r="C20" s="2976" t="s">
        <v>2803</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7"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6"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7" t="s">
        <v>1660</v>
      </c>
      <c r="B23" s="110">
        <f>B19+B21</f>
        <v>2</v>
      </c>
      <c r="C23" s="2847"/>
      <c r="D23" s="2850"/>
      <c r="E23" s="2847"/>
      <c r="F23" s="2847"/>
      <c r="G23" s="2847"/>
      <c r="H23" s="2847"/>
      <c r="I23" s="2847"/>
      <c r="J23" s="2847"/>
      <c r="K23" s="2846"/>
      <c r="L23" s="3265" t="s">
        <v>3655</v>
      </c>
      <c r="M23" s="2845">
        <v>1999</v>
      </c>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8" t="s">
        <v>1661</v>
      </c>
      <c r="B24" s="111">
        <f>B20-B21</f>
        <v>0</v>
      </c>
      <c r="C24" s="2847"/>
      <c r="D24" s="2850"/>
      <c r="E24" s="2847"/>
      <c r="F24" s="2847"/>
      <c r="G24" s="2847"/>
      <c r="H24" s="2847"/>
      <c r="I24" s="2847"/>
      <c r="J24" s="2847"/>
      <c r="K24" s="2846"/>
      <c r="L24" s="2846"/>
      <c r="M24" s="2845">
        <f>ROUND(1-(2022-M23)/60,2)</f>
        <v>0.62</v>
      </c>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89"/>
      <c r="B25" s="1820"/>
      <c r="C25" s="2847"/>
      <c r="D25" s="2850"/>
      <c r="E25" s="2847"/>
      <c r="F25" s="2847"/>
      <c r="G25" s="2847"/>
      <c r="H25" s="2847"/>
      <c r="I25" s="2847"/>
      <c r="J25" s="2847"/>
      <c r="K25" s="2846"/>
      <c r="L25" s="3265" t="s">
        <v>3656</v>
      </c>
      <c r="M25" s="2845">
        <v>2007</v>
      </c>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6" t="s">
        <v>1662</v>
      </c>
      <c r="B26" s="1859" t="s">
        <v>1663</v>
      </c>
      <c r="C26" s="2851" t="s">
        <v>1664</v>
      </c>
      <c r="D26" s="2850"/>
      <c r="E26" s="2847"/>
      <c r="F26" s="2847"/>
      <c r="G26" s="2847"/>
      <c r="H26" s="2847"/>
      <c r="I26" s="2847"/>
      <c r="J26" s="2847"/>
      <c r="K26" s="2846"/>
      <c r="L26" s="2846"/>
      <c r="M26" s="2845">
        <f>ROUND(1-(2022-M25)/60,2)</f>
        <v>0.75</v>
      </c>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1" customFormat="1" ht="27.75">
      <c r="A27" s="1860" t="s">
        <v>1665</v>
      </c>
      <c r="B27" s="112"/>
      <c r="C27" s="2977" t="s">
        <v>2807</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4"/>
      <c r="D28" s="2853"/>
      <c r="E28" s="2833"/>
      <c r="F28" s="2833"/>
      <c r="G28" s="2847"/>
      <c r="H28" s="2847"/>
      <c r="I28" s="2847"/>
      <c r="J28" s="2847"/>
      <c r="K28" s="2846"/>
      <c r="L28" s="2846"/>
      <c r="M28" s="2845"/>
      <c r="N28" s="2845"/>
      <c r="O28" s="2845"/>
      <c r="P28" s="2845"/>
      <c r="Q28" s="2845"/>
      <c r="R28" s="2845"/>
      <c r="S28" s="2845"/>
      <c r="T28" s="2845">
        <f>U6/'数据-汇总表'!F19/365</f>
        <v>3.9116331150126564E-7</v>
      </c>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c r="C29" s="2978" t="s">
        <v>2794</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77">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79">
        <v>0.03</v>
      </c>
      <c r="C33" s="2979" t="s">
        <v>2795</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0.05</v>
      </c>
      <c r="C34" s="2979" t="s">
        <v>2796</v>
      </c>
      <c r="D34" s="2858" t="s">
        <v>2804</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79" t="s">
        <v>2797</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79" t="s">
        <v>2798</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4" t="s">
        <v>1675</v>
      </c>
      <c r="B37" s="120">
        <v>0.02</v>
      </c>
      <c r="C37" s="2979" t="s">
        <v>2799</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2" t="s">
        <v>1676</v>
      </c>
      <c r="B38" s="118">
        <v>0.02</v>
      </c>
      <c r="C38" s="2979" t="s">
        <v>2799</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5"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3658</v>
      </c>
      <c r="B40" s="1187">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0"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6"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6"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7" t="s">
        <v>1681</v>
      </c>
      <c r="B44" s="124">
        <v>7.0000000000000007E-2</v>
      </c>
      <c r="C44" s="2979" t="s">
        <v>2808</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7" t="s">
        <v>1682</v>
      </c>
      <c r="B45" s="122">
        <v>0.03</v>
      </c>
      <c r="C45" s="2978" t="s">
        <v>2800</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7" t="s">
        <v>1683</v>
      </c>
      <c r="B46" s="122">
        <v>0.02</v>
      </c>
      <c r="C46" s="2978" t="s">
        <v>2801</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8" t="s">
        <v>1684</v>
      </c>
      <c r="B47" s="125"/>
      <c r="C47" s="2981" t="s">
        <v>2809</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69" t="s">
        <v>1685</v>
      </c>
      <c r="B48" s="126">
        <v>0.03</v>
      </c>
      <c r="C48" s="2978" t="s">
        <v>2800</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5" t="s">
        <v>1686</v>
      </c>
      <c r="B49" s="122">
        <v>5.0000000000000001E-4</v>
      </c>
      <c r="C49" s="2978" t="s">
        <v>2802</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0"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3"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0" t="s">
        <v>1689</v>
      </c>
      <c r="B52" s="129">
        <f>SUMIF(A54:A63,B53,B54:B63)</f>
        <v>12</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2" t="s">
        <v>1690</v>
      </c>
      <c r="B53" s="1871" t="s">
        <v>137</v>
      </c>
      <c r="C53" s="2833" t="s">
        <v>1691</v>
      </c>
      <c r="D53" s="2980" t="s">
        <v>2806</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2" t="s">
        <v>1692</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2" t="s">
        <v>1693</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2" t="s">
        <v>1694</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2"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2" t="s">
        <v>1696</v>
      </c>
      <c r="B58" s="80"/>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2" t="s">
        <v>1697</v>
      </c>
      <c r="B59" s="80"/>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2"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2"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2"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3"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4" customWidth="1"/>
    <col min="3" max="3" width="24.5" style="2681" customWidth="1"/>
    <col min="4" max="4" width="2.625" style="2681" customWidth="1"/>
    <col min="5" max="5" width="5.875" style="2681" customWidth="1"/>
    <col min="6" max="6" width="27" style="1704"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19"/>
  </cols>
  <sheetData>
    <row r="1" spans="1:29" s="2628" customFormat="1" ht="18.75" thickBot="1">
      <c r="A1" s="3567" t="s">
        <v>2786</v>
      </c>
      <c r="B1" s="3568"/>
      <c r="C1" s="3568"/>
      <c r="D1" s="3568"/>
      <c r="E1" s="3568"/>
      <c r="F1" s="3568"/>
      <c r="G1" s="3568"/>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2781</v>
      </c>
      <c r="D2" s="2632"/>
      <c r="E2" s="2629"/>
      <c r="F2" s="2633"/>
      <c r="G2" s="2631" t="s">
        <v>2782</v>
      </c>
      <c r="H2" s="885"/>
      <c r="I2" s="885"/>
      <c r="J2" s="885"/>
      <c r="K2" s="885"/>
      <c r="L2" s="885"/>
      <c r="M2" s="885"/>
      <c r="N2" s="885"/>
      <c r="O2" s="885"/>
      <c r="P2" s="885"/>
      <c r="Q2" s="885"/>
      <c r="R2" s="885"/>
    </row>
    <row r="3" spans="1:29" ht="48">
      <c r="A3" s="2612" t="s">
        <v>2783</v>
      </c>
      <c r="B3" s="2634" t="s">
        <v>2752</v>
      </c>
      <c r="C3" s="2635" t="s">
        <v>2784</v>
      </c>
      <c r="D3" s="2636"/>
      <c r="E3" s="2613" t="s">
        <v>2783</v>
      </c>
      <c r="F3" s="2637" t="s">
        <v>2753</v>
      </c>
      <c r="G3" s="2638" t="s">
        <v>2785</v>
      </c>
      <c r="H3" s="885"/>
      <c r="I3" s="885"/>
      <c r="J3" s="885"/>
      <c r="K3" s="885"/>
      <c r="L3" s="885"/>
      <c r="M3" s="885"/>
      <c r="N3" s="885"/>
      <c r="O3" s="885"/>
      <c r="P3" s="885"/>
      <c r="Q3" s="885"/>
      <c r="R3" s="885"/>
    </row>
    <row r="4" spans="1:29" ht="36.75">
      <c r="A4" s="2613"/>
      <c r="B4" s="329" t="s">
        <v>2754</v>
      </c>
      <c r="C4" s="2639" t="s">
        <v>2755</v>
      </c>
      <c r="D4" s="2636"/>
      <c r="E4" s="2640"/>
      <c r="F4" s="1504" t="s">
        <v>2756</v>
      </c>
      <c r="G4" s="2641" t="s">
        <v>2757</v>
      </c>
      <c r="H4" s="885"/>
      <c r="I4" s="885"/>
      <c r="J4" s="885"/>
      <c r="K4" s="885"/>
      <c r="L4" s="885"/>
      <c r="M4" s="885"/>
      <c r="N4" s="885"/>
      <c r="O4" s="885"/>
      <c r="P4" s="885"/>
      <c r="Q4" s="885"/>
      <c r="R4" s="885"/>
    </row>
    <row r="5" spans="1:29" ht="36.75">
      <c r="A5" s="2613"/>
      <c r="B5" s="329" t="s">
        <v>2758</v>
      </c>
      <c r="C5" s="2639" t="s">
        <v>2759</v>
      </c>
      <c r="D5" s="2636"/>
      <c r="E5" s="2640"/>
      <c r="F5" s="329" t="s">
        <v>2760</v>
      </c>
      <c r="G5" s="2641" t="s">
        <v>2761</v>
      </c>
      <c r="H5" s="885"/>
      <c r="I5" s="885"/>
      <c r="J5" s="885"/>
      <c r="K5" s="885"/>
      <c r="L5" s="885"/>
      <c r="M5" s="885"/>
      <c r="N5" s="885"/>
      <c r="O5" s="885"/>
      <c r="P5" s="885"/>
      <c r="Q5" s="885"/>
      <c r="R5" s="885"/>
    </row>
    <row r="6" spans="1:29" ht="36">
      <c r="A6" s="2613"/>
      <c r="B6" s="329" t="s">
        <v>2762</v>
      </c>
      <c r="C6" s="2641" t="s">
        <v>2757</v>
      </c>
      <c r="D6" s="2636"/>
      <c r="E6" s="2640"/>
      <c r="F6" s="329" t="s">
        <v>2763</v>
      </c>
      <c r="G6" s="2641" t="s">
        <v>2764</v>
      </c>
      <c r="H6" s="885"/>
      <c r="I6" s="885"/>
      <c r="J6" s="885"/>
      <c r="K6" s="885"/>
      <c r="L6" s="885"/>
      <c r="M6" s="885"/>
      <c r="N6" s="885"/>
      <c r="O6" s="885"/>
      <c r="P6" s="885"/>
      <c r="Q6" s="885"/>
      <c r="R6" s="885"/>
    </row>
    <row r="7" spans="1:29" ht="24.75" thickBot="1">
      <c r="A7" s="2613"/>
      <c r="B7" s="329" t="s">
        <v>2760</v>
      </c>
      <c r="C7" s="2641" t="s">
        <v>2761</v>
      </c>
      <c r="D7" s="2642"/>
      <c r="E7" s="2643"/>
      <c r="F7" s="2644" t="s">
        <v>2765</v>
      </c>
      <c r="G7" s="2645" t="s">
        <v>2766</v>
      </c>
      <c r="H7" s="885"/>
      <c r="I7" s="885"/>
      <c r="J7" s="885"/>
      <c r="K7" s="885"/>
      <c r="L7" s="885"/>
      <c r="M7" s="885"/>
      <c r="N7" s="885"/>
      <c r="O7" s="885"/>
      <c r="P7" s="885"/>
      <c r="Q7" s="885"/>
      <c r="R7" s="885"/>
    </row>
    <row r="8" spans="1:29">
      <c r="A8" s="2613"/>
      <c r="B8" s="329" t="s">
        <v>2763</v>
      </c>
      <c r="C8" s="2641" t="s">
        <v>2764</v>
      </c>
      <c r="D8" s="2642"/>
      <c r="E8" s="2642"/>
      <c r="F8" s="2646"/>
      <c r="G8" s="2646"/>
      <c r="H8" s="885"/>
      <c r="I8" s="885"/>
      <c r="J8" s="885"/>
      <c r="K8" s="885"/>
      <c r="L8" s="885"/>
      <c r="M8" s="885"/>
      <c r="N8" s="885"/>
      <c r="O8" s="885"/>
      <c r="P8" s="885"/>
      <c r="Q8" s="885"/>
      <c r="R8" s="885"/>
    </row>
    <row r="9" spans="1:29" ht="24">
      <c r="A9" s="2613"/>
      <c r="B9" s="329" t="s">
        <v>2767</v>
      </c>
      <c r="C9" s="2639" t="s">
        <v>2768</v>
      </c>
      <c r="D9" s="2636"/>
      <c r="E9" s="2642"/>
      <c r="F9" s="2646"/>
      <c r="G9" s="2646"/>
      <c r="H9" s="885"/>
      <c r="I9" s="885"/>
      <c r="J9" s="885"/>
      <c r="K9" s="885"/>
      <c r="L9" s="885"/>
      <c r="M9" s="885"/>
      <c r="N9" s="885"/>
      <c r="O9" s="885"/>
      <c r="P9" s="885"/>
      <c r="Q9" s="885"/>
      <c r="R9" s="885"/>
    </row>
    <row r="10" spans="1:29" s="2652" customFormat="1" ht="15" thickBot="1">
      <c r="A10" s="2614"/>
      <c r="B10" s="2647" t="s">
        <v>2769</v>
      </c>
      <c r="C10" s="2648"/>
      <c r="D10" s="2636"/>
      <c r="E10" s="2636"/>
      <c r="F10" s="2646"/>
      <c r="G10" s="2646"/>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2787</v>
      </c>
      <c r="B13" s="2655"/>
      <c r="C13" s="2655"/>
      <c r="D13" s="2653"/>
      <c r="E13" s="2655"/>
      <c r="F13" s="2655"/>
      <c r="G13" s="2655"/>
    </row>
    <row r="14" spans="1:29" ht="15" thickBot="1">
      <c r="A14" s="2665"/>
      <c r="B14" s="2665"/>
      <c r="C14" s="2666" t="s">
        <v>2770</v>
      </c>
      <c r="D14" s="2636"/>
      <c r="E14" s="2667"/>
      <c r="F14" s="2667"/>
      <c r="G14" s="2631" t="s">
        <v>2771</v>
      </c>
    </row>
    <row r="15" spans="1:29" ht="51">
      <c r="A15" s="2615" t="s">
        <v>2772</v>
      </c>
      <c r="B15" s="2668" t="s">
        <v>2752</v>
      </c>
      <c r="C15" s="2669" t="str">
        <f>C3</f>
        <v>估价对象周边居住用地比例、居住小区规模和社区发展完善程度，综合评价居住社区成熟度一般</v>
      </c>
      <c r="D15" s="2636"/>
      <c r="E15" s="2616" t="s">
        <v>2773</v>
      </c>
      <c r="F15" s="2668" t="s">
        <v>2774</v>
      </c>
      <c r="G15" s="2670" t="str">
        <f>G3</f>
        <v>估价对象位于XX开发区，园区建设成熟度XX，产业集聚程度XX</v>
      </c>
    </row>
    <row r="16" spans="1:29" ht="38.25">
      <c r="A16" s="2617"/>
      <c r="B16" s="2671" t="s">
        <v>2754</v>
      </c>
      <c r="C16" s="2672" t="str">
        <f>C4</f>
        <v>估价对象位于XX商圈，周边商业氛围成熟，人流量大，商业繁华度好</v>
      </c>
      <c r="D16" s="2636"/>
      <c r="E16" s="2618"/>
      <c r="F16" s="2673" t="s">
        <v>2756</v>
      </c>
      <c r="G16" s="2674" t="str">
        <f>G4</f>
        <v>估价对象周边道路状况、公共交通通达情况、停车便捷程度，综合评价交通便捷度较好</v>
      </c>
    </row>
    <row r="17" spans="1:18" ht="38.25">
      <c r="A17" s="2617"/>
      <c r="B17" s="2671" t="s">
        <v>2758</v>
      </c>
      <c r="C17" s="2672" t="str">
        <f>C5</f>
        <v>估价对象位于XX商圈，周边办公楼项目较多，入驻率高，办公集聚程度较好</v>
      </c>
      <c r="D17" s="2642"/>
      <c r="E17" s="2618"/>
      <c r="F17" s="2673" t="s">
        <v>2775</v>
      </c>
      <c r="G17" s="2675"/>
    </row>
    <row r="18" spans="1:18" ht="38.25">
      <c r="A18" s="2617"/>
      <c r="B18" s="2673" t="s">
        <v>2762</v>
      </c>
      <c r="C18" s="2674" t="str">
        <f>C6</f>
        <v>估价对象周边道路状况、公共交通通达情况、停车便捷程度，综合评价交通便捷度较好</v>
      </c>
      <c r="D18" s="2642"/>
      <c r="E18" s="2618"/>
      <c r="F18" s="2673" t="s">
        <v>2765</v>
      </c>
      <c r="G18" s="2674" t="str">
        <f>G7</f>
        <v>该园区内是否有污染型企业，绿化情况，卫生条件，整体环境状况判断</v>
      </c>
    </row>
    <row r="19" spans="1:18" ht="25.5">
      <c r="A19" s="2617"/>
      <c r="B19" s="2673" t="s">
        <v>2776</v>
      </c>
      <c r="C19" s="2675"/>
      <c r="D19" s="2636"/>
      <c r="E19" s="2618"/>
      <c r="F19" s="329" t="s">
        <v>2760</v>
      </c>
      <c r="G19" s="2674" t="str">
        <f>G5</f>
        <v>估价对象所在区域公共配套设施齐备情况</v>
      </c>
    </row>
    <row r="20" spans="1:18" ht="25.5">
      <c r="A20" s="2617"/>
      <c r="B20" s="2673" t="s">
        <v>2777</v>
      </c>
      <c r="C20" s="2672" t="str">
        <f>C9</f>
        <v>区域自然环境：；人文环境；综合评价环境状况一般</v>
      </c>
      <c r="D20" s="2642"/>
      <c r="E20" s="2618"/>
      <c r="F20" s="329" t="s">
        <v>2763</v>
      </c>
      <c r="G20" s="2674" t="str">
        <f>G6</f>
        <v>估价对象所在区域基础设施水平</v>
      </c>
    </row>
    <row r="21" spans="1:18" ht="25.5">
      <c r="A21" s="2617"/>
      <c r="B21" s="329" t="s">
        <v>2760</v>
      </c>
      <c r="C21" s="2674" t="str">
        <f>C7</f>
        <v>估价对象所在区域公共配套设施齐备情况</v>
      </c>
      <c r="D21" s="2636"/>
      <c r="E21" s="2618"/>
      <c r="F21" s="2673" t="s">
        <v>2778</v>
      </c>
      <c r="G21" s="2676"/>
    </row>
    <row r="22" spans="1:18" ht="13.5" customHeight="1">
      <c r="A22" s="2617"/>
      <c r="B22" s="329" t="s">
        <v>2763</v>
      </c>
      <c r="C22" s="2674" t="str">
        <f>C8</f>
        <v>估价对象所在区域基础设施水平</v>
      </c>
      <c r="D22" s="2636"/>
      <c r="E22" s="2618"/>
      <c r="F22" s="2673" t="s">
        <v>2769</v>
      </c>
      <c r="G22" s="2675"/>
    </row>
    <row r="23" spans="1:18" s="885" customFormat="1" ht="15" thickBot="1">
      <c r="A23" s="2617"/>
      <c r="B23" s="2673" t="s">
        <v>2778</v>
      </c>
      <c r="C23" s="2676"/>
      <c r="D23" s="1874"/>
      <c r="E23" s="2619"/>
      <c r="F23" s="2677" t="s">
        <v>2779</v>
      </c>
      <c r="G23" s="2678"/>
      <c r="H23" s="2662"/>
      <c r="I23" s="2663"/>
      <c r="J23" s="2662"/>
      <c r="K23" s="2662"/>
      <c r="L23" s="2663"/>
      <c r="M23" s="2662"/>
      <c r="N23" s="2662"/>
      <c r="O23" s="2663"/>
      <c r="P23" s="2662"/>
      <c r="Q23" s="2662"/>
      <c r="R23" s="2664"/>
    </row>
    <row r="24" spans="1:18" s="885" customFormat="1" ht="15" thickBot="1">
      <c r="A24" s="2620"/>
      <c r="B24" s="2677" t="s">
        <v>2780</v>
      </c>
      <c r="C24" s="2679">
        <f>C10</f>
        <v>0</v>
      </c>
      <c r="D24" s="1874"/>
      <c r="E24" s="2610"/>
      <c r="F24" s="2610"/>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1" sqref="F11"/>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32060.45</v>
      </c>
      <c r="C1" s="2860"/>
      <c r="D1" s="2860"/>
      <c r="E1" s="2860"/>
      <c r="F1" s="2860"/>
      <c r="G1" s="2861"/>
      <c r="H1" s="2862"/>
      <c r="I1" s="2862"/>
      <c r="J1" s="2862"/>
      <c r="K1" s="2862"/>
    </row>
    <row r="2" spans="1:11" ht="16.5">
      <c r="A2" s="2683" t="s">
        <v>1078</v>
      </c>
      <c r="B2" s="2683">
        <f>SUM(C14:C23)</f>
        <v>6030.52</v>
      </c>
      <c r="C2" s="2860"/>
      <c r="D2" s="2860"/>
      <c r="E2" s="2860"/>
      <c r="F2" s="2860"/>
      <c r="G2" s="2861"/>
      <c r="H2" s="2862"/>
      <c r="I2" s="2862"/>
      <c r="J2" s="2862"/>
      <c r="K2" s="2862"/>
    </row>
    <row r="3" spans="1:11" ht="16.5">
      <c r="A3" s="2683" t="s">
        <v>1087</v>
      </c>
      <c r="B3" s="2685">
        <f>项目基本情况!D3</f>
        <v>44901</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121561</v>
      </c>
      <c r="C5" s="2683">
        <f ca="1">ROUND(B5*10000/$B$1,0)</f>
        <v>37916</v>
      </c>
      <c r="D5" s="2683">
        <f ca="1">ROUND(B5*10000/$B$2,0)</f>
        <v>201576</v>
      </c>
      <c r="E5" s="2860"/>
      <c r="F5" s="2861"/>
      <c r="G5" s="2861"/>
      <c r="H5" s="2862"/>
      <c r="I5" s="2862"/>
      <c r="J5" s="2862"/>
      <c r="K5" s="2862"/>
    </row>
    <row r="6" spans="1:11" ht="16.5">
      <c r="A6" s="2683" t="s">
        <v>1081</v>
      </c>
      <c r="B6" s="2683">
        <f ca="1">SUM(G14:G23)</f>
        <v>121561</v>
      </c>
      <c r="C6" s="2683">
        <f ca="1">ROUND(B6*10000/$B$1,0)</f>
        <v>37916</v>
      </c>
      <c r="D6" s="2683">
        <f ca="1">ROUND(B6*10000/$B$2,0)</f>
        <v>201576</v>
      </c>
      <c r="E6" s="2860"/>
      <c r="F6" s="2861"/>
      <c r="G6" s="2861"/>
      <c r="H6" s="2862"/>
      <c r="I6" s="2862"/>
      <c r="J6" s="2862"/>
      <c r="K6" s="2862"/>
    </row>
    <row r="7" spans="1:11" ht="16.5">
      <c r="A7" s="2683" t="s">
        <v>1089</v>
      </c>
      <c r="B7" s="2683">
        <f>SUM(H14:H23)</f>
        <v>0</v>
      </c>
      <c r="C7" s="2683">
        <f>ROUND(B7*10000/$B$1,0)</f>
        <v>0</v>
      </c>
      <c r="D7" s="2683">
        <f>ROUND(B7*10000/$B$2,0)</f>
        <v>0</v>
      </c>
      <c r="E7" s="2860"/>
      <c r="F7" s="2861"/>
      <c r="G7" s="2861"/>
      <c r="H7" s="2862"/>
      <c r="I7" s="2862"/>
      <c r="J7" s="2862"/>
      <c r="K7" s="2862"/>
    </row>
    <row r="8" spans="1:11" ht="16.5">
      <c r="A8" s="2683" t="s">
        <v>1012</v>
      </c>
      <c r="B8" s="2683">
        <f>SUM(I14:I23)</f>
        <v>0</v>
      </c>
      <c r="C8" s="2683">
        <f>ROUND(B8*10000/$B$1,0)</f>
        <v>0</v>
      </c>
      <c r="D8" s="2683">
        <f>ROUND(B8*10000/$B$2,0)</f>
        <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结果表!B118</f>
        <v>30117.4</v>
      </c>
      <c r="C14" s="2689">
        <f>结果表!C118</f>
        <v>5665.04</v>
      </c>
      <c r="D14" s="2689">
        <f ca="1">结果表!H118</f>
        <v>120359</v>
      </c>
      <c r="E14" s="2689">
        <f ca="1">ROUND(D14*10000/B14,0)</f>
        <v>39963</v>
      </c>
      <c r="F14" s="2689">
        <f ca="1">ROUND(D14*10000/C14,0)</f>
        <v>212459</v>
      </c>
      <c r="G14" s="2689">
        <f ca="1">结果表!D122</f>
        <v>120359</v>
      </c>
      <c r="H14" s="2689" t="str">
        <f>结果表!D124</f>
        <v>——</v>
      </c>
      <c r="I14" s="2689" t="str">
        <f>结果表!D126</f>
        <v>——</v>
      </c>
      <c r="J14" s="2861"/>
      <c r="K14" s="2862"/>
    </row>
    <row r="15" spans="1:11" ht="16.5">
      <c r="A15" s="2688" t="s">
        <v>1074</v>
      </c>
      <c r="B15" s="2690">
        <f>'结果表-车位'!B118</f>
        <v>1943.05</v>
      </c>
      <c r="C15" s="2690">
        <f>'结果表-车位'!C118</f>
        <v>365.48</v>
      </c>
      <c r="D15" s="2690">
        <f ca="1">'结果表-车位'!H118</f>
        <v>1202</v>
      </c>
      <c r="E15" s="2689">
        <f t="shared" ref="E15:E23" ca="1" si="0">ROUND(D15*10000/B15,0)</f>
        <v>6186</v>
      </c>
      <c r="F15" s="2689">
        <f t="shared" ref="F15:F23" ca="1" si="1">ROUND(D15*10000/C15,0)</f>
        <v>32888</v>
      </c>
      <c r="G15" s="1448">
        <f ca="1">D15</f>
        <v>1202</v>
      </c>
      <c r="H15" s="1448"/>
      <c r="I15" s="2690"/>
      <c r="J15" s="2861"/>
      <c r="K15" s="2862"/>
    </row>
    <row r="16" spans="1:11" ht="16.5">
      <c r="A16" s="2688" t="s">
        <v>1073</v>
      </c>
      <c r="B16" s="2690"/>
      <c r="C16" s="2690"/>
      <c r="D16" s="2690"/>
      <c r="E16" s="2689" t="e">
        <f t="shared" si="0"/>
        <v>#DIV/0!</v>
      </c>
      <c r="F16" s="2689" t="e">
        <f t="shared" si="1"/>
        <v>#DIV/0!</v>
      </c>
      <c r="G16" s="1448"/>
      <c r="H16" s="1448"/>
      <c r="I16" s="2690"/>
      <c r="J16" s="2862"/>
      <c r="K16" s="2862"/>
    </row>
    <row r="17" spans="1:11" ht="16.5">
      <c r="A17" s="2688" t="s">
        <v>1072</v>
      </c>
      <c r="B17" s="2690"/>
      <c r="C17" s="2690"/>
      <c r="D17" s="2690"/>
      <c r="E17" s="2689" t="e">
        <f t="shared" si="0"/>
        <v>#DIV/0!</v>
      </c>
      <c r="F17" s="2689" t="e">
        <f t="shared" si="1"/>
        <v>#DIV/0!</v>
      </c>
      <c r="G17" s="1448"/>
      <c r="H17" s="1448"/>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80" zoomScaleNormal="100" zoomScaleSheetLayoutView="80" zoomScalePageLayoutView="80" workbookViewId="0">
      <selection activeCell="F26" sqref="F26"/>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3205</v>
      </c>
      <c r="D1" s="1880"/>
      <c r="E1" s="1880"/>
      <c r="F1" s="1882" t="s">
        <v>1708</v>
      </c>
      <c r="G1" s="1693"/>
      <c r="H1" s="1883" t="str">
        <f>IF(G1="现房","——","估价对象范围")</f>
        <v>估价对象范围</v>
      </c>
      <c r="I1" s="1884"/>
    </row>
    <row r="2" spans="1:12" ht="21.75" customHeight="1" thickBot="1">
      <c r="A2" s="3639" t="str">
        <f>项目基本情况!S2</f>
        <v>北京市房地产</v>
      </c>
      <c r="B2" s="3640"/>
      <c r="C2" s="3640"/>
      <c r="D2" s="3640"/>
      <c r="E2" s="3640"/>
      <c r="F2" s="3640"/>
      <c r="G2" s="3640"/>
      <c r="H2" s="3640"/>
      <c r="I2" s="3641"/>
    </row>
    <row r="3" spans="1:12" ht="12.75">
      <c r="A3" s="3643" t="s">
        <v>1709</v>
      </c>
      <c r="B3" s="3644"/>
      <c r="C3" s="3644"/>
      <c r="D3" s="3644"/>
      <c r="E3" s="3644"/>
      <c r="F3" s="3644"/>
      <c r="G3" s="3644"/>
      <c r="H3" s="3644"/>
      <c r="I3" s="3644"/>
    </row>
    <row r="4" spans="1:12" ht="14.25">
      <c r="A4" s="1887" t="s">
        <v>1710</v>
      </c>
      <c r="B4" s="1888" t="s">
        <v>1711</v>
      </c>
      <c r="C4" s="1889" t="s">
        <v>3688</v>
      </c>
      <c r="D4" s="1889" t="s">
        <v>3657</v>
      </c>
      <c r="E4" s="3648" t="s">
        <v>1712</v>
      </c>
      <c r="F4" s="3649"/>
      <c r="G4" s="3649"/>
      <c r="H4" s="3649"/>
      <c r="I4" s="365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84" t="s">
        <v>1713</v>
      </c>
      <c r="B5" s="3642">
        <v>25</v>
      </c>
      <c r="C5" s="3645"/>
      <c r="D5" s="3633"/>
      <c r="E5" s="136" t="s">
        <v>1714</v>
      </c>
      <c r="F5" s="1890"/>
      <c r="G5" s="1890"/>
      <c r="H5" s="1890"/>
      <c r="I5" s="1504"/>
    </row>
    <row r="6" spans="1:12" ht="12.75">
      <c r="A6" s="3584"/>
      <c r="B6" s="3642"/>
      <c r="C6" s="3647"/>
      <c r="D6" s="3633"/>
      <c r="E6" s="136" t="s">
        <v>1715</v>
      </c>
      <c r="F6" s="1890"/>
      <c r="G6" s="1890"/>
      <c r="H6" s="1890"/>
      <c r="I6" s="1504"/>
    </row>
    <row r="7" spans="1:12" ht="12.75">
      <c r="A7" s="3584"/>
      <c r="B7" s="3642"/>
      <c r="C7" s="3646"/>
      <c r="D7" s="3633"/>
      <c r="E7" s="136" t="s">
        <v>1716</v>
      </c>
      <c r="F7" s="1890"/>
      <c r="G7" s="1890"/>
      <c r="H7" s="1890"/>
      <c r="I7" s="1504"/>
    </row>
    <row r="8" spans="1:12" ht="12.75">
      <c r="A8" s="3584" t="s">
        <v>1717</v>
      </c>
      <c r="B8" s="3642">
        <v>15</v>
      </c>
      <c r="C8" s="3645"/>
      <c r="D8" s="3633"/>
      <c r="E8" s="136" t="s">
        <v>1718</v>
      </c>
      <c r="F8" s="1890"/>
      <c r="G8" s="1890"/>
      <c r="H8" s="1890"/>
      <c r="I8" s="1504"/>
    </row>
    <row r="9" spans="1:12" ht="12.75">
      <c r="A9" s="3584"/>
      <c r="B9" s="3642"/>
      <c r="C9" s="3646"/>
      <c r="D9" s="3633"/>
      <c r="E9" s="136" t="s">
        <v>1719</v>
      </c>
      <c r="F9" s="1890"/>
      <c r="G9" s="1890"/>
      <c r="H9" s="1890"/>
      <c r="I9" s="1504"/>
    </row>
    <row r="10" spans="1:12" ht="12.75">
      <c r="A10" s="3584" t="s">
        <v>1720</v>
      </c>
      <c r="B10" s="3642">
        <v>15</v>
      </c>
      <c r="C10" s="3645"/>
      <c r="D10" s="3633"/>
      <c r="E10" s="136" t="s">
        <v>1721</v>
      </c>
      <c r="F10" s="1890"/>
      <c r="G10" s="1890"/>
      <c r="H10" s="1890"/>
      <c r="I10" s="1504"/>
    </row>
    <row r="11" spans="1:12" ht="12.75">
      <c r="A11" s="3584"/>
      <c r="B11" s="3642"/>
      <c r="C11" s="3646"/>
      <c r="D11" s="3633"/>
      <c r="E11" s="136" t="s">
        <v>1722</v>
      </c>
      <c r="F11" s="1890"/>
      <c r="G11" s="1890"/>
      <c r="H11" s="1890"/>
      <c r="I11" s="1504"/>
    </row>
    <row r="12" spans="1:12" ht="12.75">
      <c r="A12" s="3584" t="s">
        <v>1723</v>
      </c>
      <c r="B12" s="3642">
        <v>15</v>
      </c>
      <c r="C12" s="3645"/>
      <c r="D12" s="3633"/>
      <c r="E12" s="136" t="s">
        <v>1724</v>
      </c>
      <c r="F12" s="1890"/>
      <c r="G12" s="1890"/>
      <c r="H12" s="1890"/>
      <c r="I12" s="1504"/>
    </row>
    <row r="13" spans="1:12" ht="12.75">
      <c r="A13" s="3584"/>
      <c r="B13" s="3642"/>
      <c r="C13" s="3646"/>
      <c r="D13" s="3633"/>
      <c r="E13" s="136" t="s">
        <v>1725</v>
      </c>
      <c r="F13" s="1890"/>
      <c r="G13" s="1890"/>
      <c r="H13" s="1890"/>
      <c r="I13" s="1504"/>
    </row>
    <row r="14" spans="1:12" ht="12.75">
      <c r="A14" s="3584" t="s">
        <v>1726</v>
      </c>
      <c r="B14" s="3642">
        <v>30</v>
      </c>
      <c r="C14" s="3645">
        <v>5</v>
      </c>
      <c r="D14" s="3633">
        <v>5</v>
      </c>
      <c r="E14" s="136" t="s">
        <v>1727</v>
      </c>
      <c r="F14" s="1890"/>
      <c r="G14" s="1890"/>
      <c r="H14" s="1890"/>
      <c r="I14" s="1504"/>
    </row>
    <row r="15" spans="1:12" ht="12.75">
      <c r="A15" s="3584"/>
      <c r="B15" s="3642"/>
      <c r="C15" s="3647"/>
      <c r="D15" s="3633"/>
      <c r="E15" s="136" t="s">
        <v>1728</v>
      </c>
      <c r="F15" s="1890"/>
      <c r="G15" s="1890"/>
      <c r="H15" s="1890"/>
      <c r="I15" s="1504"/>
    </row>
    <row r="16" spans="1:12" ht="12.75">
      <c r="A16" s="3584"/>
      <c r="B16" s="3642"/>
      <c r="C16" s="3646"/>
      <c r="D16" s="3633"/>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64" t="s">
        <v>2631</v>
      </c>
      <c r="F18" s="3665"/>
      <c r="G18" s="3665"/>
      <c r="H18" s="3665"/>
      <c r="I18" s="3665"/>
      <c r="K18" s="308" t="s">
        <v>1734</v>
      </c>
      <c r="L18" s="308">
        <f>IF(C1="",'数据-汇总表'!E3,SUMIF(项目类型,C1,'数据-汇总表'!E17:E26)+SUMIF(项目类型,C1,'数据-汇总表'!I17:I26))</f>
        <v>30117.4</v>
      </c>
      <c r="M18" s="308">
        <f>IF(C1="",'数据-汇总表'!E3,SUMIF(项目类型,C1,'数据-汇总表'!E17:E26))</f>
        <v>30117.4</v>
      </c>
    </row>
    <row r="19" spans="1:36" ht="15">
      <c r="A19" s="1894" t="s">
        <v>1735</v>
      </c>
      <c r="B19" s="1895" t="s">
        <v>1736</v>
      </c>
      <c r="C19" s="139">
        <f ca="1">SUMIF(INDIRECT("'"&amp;C4&amp;"'"&amp;"!A:A"),结果表!B19,INDIRECT("'"&amp;C4&amp;"'"&amp;"!B:B"))</f>
        <v>177063</v>
      </c>
      <c r="D19" s="140">
        <f ca="1">SUMIF(INDIRECT("'"&amp;D4&amp;"'"&amp;"!A:A"),结果表!B19,INDIRECT("'"&amp;D4&amp;"'"&amp;"!B:B"))</f>
        <v>63655</v>
      </c>
      <c r="E19" s="1894" t="s">
        <v>1737</v>
      </c>
      <c r="F19" s="1895" t="s">
        <v>1736</v>
      </c>
      <c r="G19" s="141">
        <f ca="1">ROUND(C19*$C$18+D19*$D$18,0)</f>
        <v>120359</v>
      </c>
      <c r="H19" s="1896" t="s">
        <v>1738</v>
      </c>
      <c r="I19" s="134"/>
      <c r="K19" s="308" t="s">
        <v>1739</v>
      </c>
      <c r="L19" s="308">
        <f>IF(C1="",'数据-汇总表'!D3,SUMIF(项目类型,C1,'数据-汇总表'!D17:D26)+SUMIF(项目类型,C1,'数据-汇总表'!H17:H27))</f>
        <v>5665.04</v>
      </c>
      <c r="M19" s="308">
        <f>IF(C1="",'数据-汇总表'!D3,SUMIF(项目类型,C1,'数据-汇总表'!D17:D26))</f>
        <v>5665.04</v>
      </c>
    </row>
    <row r="20" spans="1:36" ht="15">
      <c r="A20" s="1897"/>
      <c r="B20" s="1134" t="s">
        <v>1740</v>
      </c>
      <c r="C20" s="142">
        <f ca="1">SUMIF(INDIRECT("'"&amp;C4&amp;"'"&amp;"!A:A"),结果表!B20,INDIRECT("'"&amp;C4&amp;"'"&amp;"!B:B"))</f>
        <v>58791</v>
      </c>
      <c r="D20" s="143">
        <f ca="1">SUMIF(INDIRECT("'"&amp;D4&amp;"'"&amp;"!A:A"),结果表!B20,INDIRECT("'"&amp;D4&amp;"'"&amp;"!B:B"))</f>
        <v>21136</v>
      </c>
      <c r="E20" s="1897"/>
      <c r="F20" s="1134" t="s">
        <v>1740</v>
      </c>
      <c r="G20" s="144">
        <f ca="1">ROUND(C20*$C$18+D20*$D$18,0)</f>
        <v>39964</v>
      </c>
      <c r="H20" s="895" t="s">
        <v>1741</v>
      </c>
      <c r="I20" s="134"/>
    </row>
    <row r="21" spans="1:36" ht="15" customHeight="1" thickBot="1">
      <c r="A21" s="915"/>
      <c r="B21" s="1898" t="s">
        <v>1742</v>
      </c>
      <c r="C21" s="725">
        <f ca="1">ROUND(C19*10000/L19,0)</f>
        <v>312554</v>
      </c>
      <c r="D21" s="726">
        <f ca="1">ROUND(D19*10000/L19,0)</f>
        <v>112365</v>
      </c>
      <c r="E21" s="915"/>
      <c r="F21" s="1898" t="s">
        <v>1742</v>
      </c>
      <c r="G21" s="145">
        <f ca="1">ROUND(G19*10000/L19,0)</f>
        <v>212459</v>
      </c>
      <c r="H21" s="1899" t="s">
        <v>1741</v>
      </c>
      <c r="I21" s="134"/>
    </row>
    <row r="22" spans="1:36" ht="15" thickBot="1">
      <c r="A22" s="1821" t="s">
        <v>1743</v>
      </c>
      <c r="B22" s="1900"/>
      <c r="C22" s="1901"/>
      <c r="D22" s="727">
        <f ca="1">IF(C19&lt;D19,D19/C19-1,C19/D19-1)</f>
        <v>1.7816039588406252</v>
      </c>
      <c r="E22" s="134"/>
      <c r="F22" s="134"/>
      <c r="G22" s="134"/>
      <c r="H22" s="134"/>
      <c r="I22" s="134"/>
    </row>
    <row r="23" spans="1:36" ht="13.5" thickBot="1">
      <c r="A23" s="1880"/>
      <c r="B23" s="1880"/>
      <c r="C23" s="1880"/>
      <c r="D23" s="1880"/>
      <c r="E23" s="134"/>
      <c r="F23" s="134"/>
      <c r="G23" s="134"/>
      <c r="H23" s="134"/>
      <c r="I23" s="134"/>
    </row>
    <row r="24" spans="1:36" ht="14.25">
      <c r="A24" s="3657" t="s">
        <v>1744</v>
      </c>
      <c r="B24" s="1895" t="s">
        <v>1736</v>
      </c>
      <c r="C24" s="141">
        <f>IF(B30=0,0,D30)</f>
        <v>0</v>
      </c>
      <c r="D24" s="1902"/>
      <c r="E24" s="134"/>
      <c r="F24" s="134"/>
      <c r="G24" s="134"/>
      <c r="H24" s="134"/>
      <c r="I24" s="134"/>
    </row>
    <row r="25" spans="1:36" ht="14.25">
      <c r="A25" s="365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120359</v>
      </c>
      <c r="D32" s="1908" t="s">
        <v>3689</v>
      </c>
      <c r="E32" s="134"/>
      <c r="F32" s="134"/>
      <c r="G32" s="134"/>
      <c r="H32" s="134"/>
      <c r="I32" s="134"/>
    </row>
    <row r="33" spans="1:15" ht="15">
      <c r="A33" s="872" t="s">
        <v>1751</v>
      </c>
      <c r="B33" s="1909"/>
      <c r="C33" s="1910" t="s">
        <v>4021</v>
      </c>
      <c r="D33" s="1911" t="s">
        <v>3657</v>
      </c>
      <c r="E33" s="1912" t="s">
        <v>1752</v>
      </c>
      <c r="F33" s="1913" t="str">
        <f>IF(D32="楼面单价","取值（单价）","取值（总价）")</f>
        <v>取值（总价）</v>
      </c>
      <c r="G33" s="134"/>
      <c r="H33" s="134"/>
      <c r="I33" s="134"/>
    </row>
    <row r="34" spans="1:15" ht="15">
      <c r="A34" s="1914"/>
      <c r="B34" s="1915" t="s">
        <v>1753</v>
      </c>
      <c r="C34" s="153">
        <f ca="1">IF(C33="自定义",F34,C32-C35)</f>
        <v>87862</v>
      </c>
      <c r="D34" s="948">
        <f ca="1">IF(C33="自定义",ROUND(C34/C32,3),IF(C33="收益比率",SUMIF(INDIRECT("'"&amp;D33&amp;"'"&amp;"!b:b"),"土地收益比率",INDIRECT("'"&amp;D33&amp;"'"&amp;"!c:c")),SUMIF(INDIRECT("'"&amp;D33&amp;"'"&amp;"!b:b"),"土地成本比率",INDIRECT("'"&amp;D33&amp;"'"&amp;"!c:c"))))</f>
        <v>0.73</v>
      </c>
      <c r="E34" s="1916" t="s">
        <v>1754</v>
      </c>
      <c r="F34" s="1447"/>
      <c r="G34" s="134"/>
      <c r="H34" s="134"/>
      <c r="I34" s="134"/>
    </row>
    <row r="35" spans="1:15" ht="15.75" thickBot="1">
      <c r="A35" s="1917"/>
      <c r="B35" s="1918" t="s">
        <v>1755</v>
      </c>
      <c r="C35" s="1281">
        <f ca="1">IF(C33="自定义",F35,ROUND(C32*D35,0))</f>
        <v>32497</v>
      </c>
      <c r="D35" s="1282">
        <f ca="1">IF(C33="自定义",ROUND(C35/C32,3),IF(C33="收益比率",SUMIF(INDIRECT("'"&amp;D33&amp;"'"&amp;"!b:b"),"建筑物收益比率",INDIRECT("'"&amp;D33&amp;"'"&amp;"!c:c")),SUMIF(INDIRECT("'"&amp;D33&amp;"'"&amp;"!b:b"),"建筑物成本比率",INDIRECT("'"&amp;D33&amp;"'"&amp;"!c:c"))))</f>
        <v>0.27</v>
      </c>
      <c r="E35" s="1919" t="s">
        <v>1756</v>
      </c>
      <c r="F35" s="159"/>
      <c r="G35" s="134"/>
      <c r="H35" s="134"/>
      <c r="I35" s="134"/>
    </row>
    <row r="36" spans="1:15" ht="15.75" thickBot="1">
      <c r="A36" s="3634" t="s">
        <v>1757</v>
      </c>
      <c r="B36" s="1920" t="s">
        <v>1758</v>
      </c>
      <c r="C36" s="150"/>
      <c r="D36" s="1921"/>
      <c r="E36" s="1922"/>
      <c r="F36" s="1923"/>
      <c r="G36" s="134"/>
      <c r="H36" s="134"/>
      <c r="I36" s="134"/>
    </row>
    <row r="37" spans="1:15" ht="15.75" thickBot="1">
      <c r="A37" s="3635"/>
      <c r="B37" s="1807" t="s">
        <v>1759</v>
      </c>
      <c r="C37" s="152"/>
      <c r="D37" s="1250"/>
      <c r="E37" s="1250"/>
      <c r="F37" s="1923"/>
      <c r="G37" s="134"/>
      <c r="H37" s="134"/>
      <c r="I37" s="134"/>
    </row>
    <row r="38" spans="1:15" ht="15.75" thickBot="1">
      <c r="A38" s="3636"/>
      <c r="B38" s="1924" t="s">
        <v>1760</v>
      </c>
      <c r="C38" s="680"/>
      <c r="D38" s="1925" t="s">
        <v>1761</v>
      </c>
      <c r="E38" s="1250"/>
      <c r="F38" s="1923"/>
      <c r="G38" s="134"/>
      <c r="H38" s="134"/>
      <c r="I38" s="134"/>
    </row>
    <row r="39" spans="1:15" ht="15">
      <c r="A39" s="1897" t="s">
        <v>1762</v>
      </c>
      <c r="B39" s="1926" t="s">
        <v>1763</v>
      </c>
      <c r="C39" s="1927" t="s">
        <v>1764</v>
      </c>
      <c r="D39" s="1927" t="s">
        <v>1765</v>
      </c>
      <c r="E39" s="1928" t="s">
        <v>1766</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654" t="s">
        <v>1771</v>
      </c>
      <c r="B45" s="3655"/>
      <c r="C45" s="3656"/>
      <c r="D45" s="160">
        <f ca="1">ROUND(H101*F45,0)</f>
        <v>120359</v>
      </c>
      <c r="E45" s="161" t="s">
        <v>1772</v>
      </c>
      <c r="F45" s="162">
        <v>1</v>
      </c>
      <c r="G45" s="163" t="s">
        <v>1773</v>
      </c>
      <c r="H45" s="134"/>
      <c r="I45" s="134"/>
      <c r="J45" s="3571" t="s">
        <v>1774</v>
      </c>
      <c r="K45" s="3571"/>
      <c r="L45" s="3571"/>
      <c r="M45" s="3571"/>
      <c r="N45" s="3571"/>
      <c r="O45" s="3571"/>
    </row>
    <row r="46" spans="1:15" ht="14.25" customHeight="1">
      <c r="A46" s="3651" t="s">
        <v>1775</v>
      </c>
      <c r="B46" s="3652"/>
      <c r="C46" s="3652"/>
      <c r="D46" s="3652"/>
      <c r="E46" s="3652"/>
      <c r="F46" s="3652"/>
      <c r="G46" s="3653"/>
      <c r="H46" s="1939"/>
      <c r="I46" s="164"/>
      <c r="J46" s="2694">
        <v>1</v>
      </c>
      <c r="K46" s="3572" t="s">
        <v>1776</v>
      </c>
      <c r="L46" s="3572"/>
      <c r="M46" s="3573"/>
      <c r="N46" s="3573"/>
      <c r="O46" s="3573"/>
    </row>
    <row r="47" spans="1:15" ht="12" customHeight="1">
      <c r="A47" s="165" t="s">
        <v>1777</v>
      </c>
      <c r="B47" s="166"/>
      <c r="C47" s="167"/>
      <c r="D47" s="1196" t="s">
        <v>1778</v>
      </c>
      <c r="E47" s="308" t="s">
        <v>1779</v>
      </c>
      <c r="F47" s="168" t="s">
        <v>1780</v>
      </c>
      <c r="G47" s="2717" t="s">
        <v>1781</v>
      </c>
      <c r="H47" s="2718"/>
      <c r="I47" s="164"/>
      <c r="J47" s="2694">
        <v>2</v>
      </c>
      <c r="K47" s="3572" t="s">
        <v>1782</v>
      </c>
      <c r="L47" s="3572"/>
      <c r="M47" s="3574">
        <f>'数据-取费表'!B2</f>
        <v>44901</v>
      </c>
      <c r="N47" s="3574"/>
      <c r="O47" s="3574"/>
    </row>
    <row r="48" spans="1:15" ht="25.5">
      <c r="A48" s="3637" t="s">
        <v>1783</v>
      </c>
      <c r="B48" s="3638"/>
      <c r="C48" s="3638"/>
      <c r="D48" s="2493" t="b">
        <f>IF(H48="情况1",0,IF(H48="情况2",D52,IF(H48="情况3",D53,IF(H48="情况4",D54))))</f>
        <v>0</v>
      </c>
      <c r="E48" s="2503" t="str">
        <f>IF(H48="情况4","(销售额-原购置价)×税（费）率","销售额×税（费）率")</f>
        <v>销售额×税（费）率</v>
      </c>
      <c r="F48" s="2719">
        <f>IF(H48="情况1","免征",'数据-取费表'!B41)</f>
        <v>5.6000000000000001E-2</v>
      </c>
      <c r="G48" s="2720" t="s">
        <v>1784</v>
      </c>
      <c r="H48" s="2721"/>
      <c r="I48" s="1939"/>
      <c r="J48" s="2694">
        <v>3</v>
      </c>
      <c r="K48" s="3572" t="s">
        <v>1785</v>
      </c>
      <c r="L48" s="3572"/>
      <c r="M48" s="3575">
        <f ca="1">H101</f>
        <v>120359</v>
      </c>
      <c r="N48" s="3575"/>
      <c r="O48" s="3575"/>
    </row>
    <row r="49" spans="1:35" ht="25.5" customHeight="1">
      <c r="A49" s="2502" t="s">
        <v>1786</v>
      </c>
      <c r="B49" s="3620" t="s">
        <v>1787</v>
      </c>
      <c r="C49" s="3620"/>
      <c r="D49" s="1722">
        <v>0</v>
      </c>
      <c r="E49" s="330" t="s">
        <v>1788</v>
      </c>
      <c r="F49" s="2595" t="s">
        <v>34</v>
      </c>
      <c r="G49" s="3603"/>
      <c r="H49" s="2474" t="s">
        <v>2634</v>
      </c>
      <c r="I49" s="2475"/>
      <c r="J49" s="2694">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722"/>
      <c r="B50" s="3620" t="s">
        <v>1789</v>
      </c>
      <c r="C50" s="3620"/>
      <c r="D50" s="2723"/>
      <c r="E50" s="338"/>
      <c r="F50" s="2595"/>
      <c r="G50" s="3604"/>
      <c r="H50" s="2476" t="s">
        <v>2635</v>
      </c>
      <c r="I50" s="2475"/>
      <c r="J50" s="3571" t="s">
        <v>1790</v>
      </c>
      <c r="K50" s="3571"/>
      <c r="L50" s="3571"/>
      <c r="M50" s="3571"/>
      <c r="N50" s="3571"/>
      <c r="O50" s="3571"/>
    </row>
    <row r="51" spans="1:35" ht="20.45" customHeight="1">
      <c r="A51" s="2724"/>
      <c r="B51" s="3620" t="s">
        <v>1791</v>
      </c>
      <c r="C51" s="3620"/>
      <c r="D51" s="1196"/>
      <c r="E51" s="333"/>
      <c r="F51" s="2595"/>
      <c r="G51" s="3605"/>
      <c r="H51" s="2476" t="s">
        <v>2636</v>
      </c>
      <c r="I51" s="2475"/>
      <c r="J51" s="2695" t="s">
        <v>1792</v>
      </c>
      <c r="K51" s="3572" t="s">
        <v>1793</v>
      </c>
      <c r="L51" s="3572"/>
      <c r="M51" s="2695" t="s">
        <v>1794</v>
      </c>
      <c r="N51" s="2695" t="s">
        <v>1795</v>
      </c>
      <c r="O51" s="2695" t="s">
        <v>1796</v>
      </c>
    </row>
    <row r="52" spans="1:35" ht="24" customHeight="1">
      <c r="A52" s="2504" t="s">
        <v>1797</v>
      </c>
      <c r="B52" s="3620" t="s">
        <v>1798</v>
      </c>
      <c r="C52" s="3620"/>
      <c r="D52" s="1196">
        <f ca="1">ROUND(D45*'数据-取费表'!B41/(1+'数据-取费表'!C42),0)</f>
        <v>6419</v>
      </c>
      <c r="E52" s="2503" t="s">
        <v>1799</v>
      </c>
      <c r="F52" s="2725">
        <f>'数据-取费表'!B41</f>
        <v>5.6000000000000001E-2</v>
      </c>
      <c r="G52" s="2726"/>
      <c r="H52" s="2715"/>
      <c r="I52" s="1940"/>
      <c r="J52" s="2694">
        <v>1</v>
      </c>
      <c r="K52" s="3597" t="s">
        <v>1800</v>
      </c>
      <c r="L52" s="3597"/>
      <c r="M52" s="2696" t="b">
        <f>D48</f>
        <v>0</v>
      </c>
      <c r="N52" s="2694" t="str">
        <f>E48</f>
        <v>销售额×税（费）率</v>
      </c>
      <c r="O52" s="2697">
        <f>F48</f>
        <v>5.6000000000000001E-2</v>
      </c>
    </row>
    <row r="53" spans="1:35" ht="12" customHeight="1">
      <c r="A53" s="2504" t="s">
        <v>1801</v>
      </c>
      <c r="B53" s="3621" t="s">
        <v>2791</v>
      </c>
      <c r="C53" s="3622"/>
      <c r="D53" s="1196">
        <f ca="1">ROUND(D45*'数据-取费表'!B41/(1+'数据-取费表'!C42),0)</f>
        <v>6419</v>
      </c>
      <c r="E53" s="2503" t="s">
        <v>1799</v>
      </c>
      <c r="F53" s="2725">
        <f>'数据-取费表'!B41</f>
        <v>5.6000000000000001E-2</v>
      </c>
      <c r="G53" s="2726"/>
      <c r="H53" s="2715"/>
      <c r="I53" s="1940"/>
      <c r="J53" s="2694">
        <v>2</v>
      </c>
      <c r="K53" s="3597" t="s">
        <v>1802</v>
      </c>
      <c r="L53" s="3597"/>
      <c r="M53" s="2696">
        <f t="shared" ref="M53:O54" ca="1" si="0">D55</f>
        <v>60</v>
      </c>
      <c r="N53" s="2694" t="str">
        <f t="shared" si="0"/>
        <v>销售额×税（费）率</v>
      </c>
      <c r="O53" s="2697" t="str">
        <f t="shared" si="0"/>
        <v>免征</v>
      </c>
    </row>
    <row r="54" spans="1:35" ht="12" customHeight="1">
      <c r="A54" s="2504" t="s">
        <v>1803</v>
      </c>
      <c r="B54" s="3621" t="s">
        <v>2792</v>
      </c>
      <c r="C54" s="3622"/>
      <c r="D54" s="1196">
        <f ca="1">C68</f>
        <v>6419</v>
      </c>
      <c r="E54" s="333" t="s">
        <v>1804</v>
      </c>
      <c r="F54" s="2725">
        <f>'数据-取费表'!B41</f>
        <v>5.6000000000000001E-2</v>
      </c>
      <c r="G54" s="2726"/>
      <c r="H54" s="2727"/>
      <c r="I54" s="1940"/>
      <c r="J54" s="2694">
        <v>3</v>
      </c>
      <c r="K54" s="3597" t="s">
        <v>1805</v>
      </c>
      <c r="L54" s="3597"/>
      <c r="M54" s="2696">
        <f t="shared" ca="1" si="0"/>
        <v>68123</v>
      </c>
      <c r="N54" s="2694" t="str">
        <f t="shared" si="0"/>
        <v>增值额×税（费）率</v>
      </c>
      <c r="O54" s="2698" t="str">
        <f t="shared" si="0"/>
        <v>免征</v>
      </c>
    </row>
    <row r="55" spans="1:35" ht="24" customHeight="1">
      <c r="A55" s="3660" t="s">
        <v>1806</v>
      </c>
      <c r="B55" s="3638"/>
      <c r="C55" s="3638"/>
      <c r="D55" s="2493">
        <f ca="1">IF(H55="个人住宅",0,ROUND(D45*I55,0))</f>
        <v>60</v>
      </c>
      <c r="E55" s="2503" t="s">
        <v>1807</v>
      </c>
      <c r="F55" s="2725" t="str">
        <f>IF(H55="正常",I55,"免征")</f>
        <v>免征</v>
      </c>
      <c r="G55" s="2726"/>
      <c r="H55" s="2721"/>
      <c r="I55" s="170">
        <f>'数据-取费表'!B49</f>
        <v>5.0000000000000001E-4</v>
      </c>
      <c r="J55" s="2694">
        <f>IF(H59="非个人房产","",4)</f>
        <v>4</v>
      </c>
      <c r="K55" s="3597" t="str">
        <f>IF(H59="非个人房产","——","个人所得税")</f>
        <v>个人所得税</v>
      </c>
      <c r="L55" s="3597"/>
      <c r="M55" s="2699">
        <f ca="1">D59</f>
        <v>1146</v>
      </c>
      <c r="N55" s="2174" t="str">
        <f>E59</f>
        <v>差额计税</v>
      </c>
      <c r="O55" s="2700">
        <f>F59</f>
        <v>0.01</v>
      </c>
    </row>
    <row r="56" spans="1:35" ht="24.75">
      <c r="A56" s="3660" t="s">
        <v>1808</v>
      </c>
      <c r="B56" s="3638"/>
      <c r="C56" s="3638"/>
      <c r="D56" s="2493">
        <f ca="1">IF(H56="个人住宅",D57,D58)</f>
        <v>68123</v>
      </c>
      <c r="E56" s="2503" t="s">
        <v>1809</v>
      </c>
      <c r="F56" s="2725" t="str">
        <f>IF(H56="正常",F58,"免征")</f>
        <v>免征</v>
      </c>
      <c r="G56" s="2728" t="s">
        <v>1810</v>
      </c>
      <c r="H56" s="2729"/>
      <c r="I56" s="1941"/>
      <c r="J56" s="2694" t="str">
        <f>IF(项目基本情况!K6="上海银行",IF(J55="",4,J55+1),"")</f>
        <v/>
      </c>
      <c r="K56" s="3578" t="str">
        <f>IF(项目基本情况!K6="上海银行","其他处置费用","")</f>
        <v/>
      </c>
      <c r="L56" s="3579"/>
      <c r="M56" s="2696" t="str">
        <f>IF(项目基本情况!K6="上海银行",M69,"")</f>
        <v/>
      </c>
      <c r="N56" s="3578" t="str">
        <f>IF(项目基本情况!K6="上海银行","包含处置中涉及的律师、诉讼、拍卖、评估等费用","")</f>
        <v/>
      </c>
      <c r="O56" s="3581"/>
    </row>
    <row r="57" spans="1:35" ht="12.75">
      <c r="A57" s="2504" t="s">
        <v>1786</v>
      </c>
      <c r="B57" s="3621" t="s">
        <v>1811</v>
      </c>
      <c r="C57" s="3622"/>
      <c r="D57" s="1722">
        <v>0</v>
      </c>
      <c r="E57" s="330" t="s">
        <v>1788</v>
      </c>
      <c r="F57" s="308"/>
      <c r="G57" s="2726"/>
      <c r="H57" s="2730"/>
      <c r="I57" s="1941"/>
      <c r="J57" s="3597">
        <f>IF(AND(J55="",J56=""),4,IF(项目基本情况!K6="上海银行",结果表!J56+1,结果表!J55+1))</f>
        <v>5</v>
      </c>
      <c r="K57" s="3597" t="s">
        <v>1812</v>
      </c>
      <c r="L57" s="2701" t="s">
        <v>1813</v>
      </c>
      <c r="M57" s="2702"/>
      <c r="N57" s="2703">
        <f ca="1">SUMIF(M52:M56,"&lt;9e307")</f>
        <v>69329</v>
      </c>
      <c r="O57" s="2704"/>
      <c r="P57" s="2864" t="e">
        <f ca="1">N57/M49</f>
        <v>#VALUE!</v>
      </c>
    </row>
    <row r="58" spans="1:35" ht="24.75">
      <c r="A58" s="2504" t="s">
        <v>1797</v>
      </c>
      <c r="B58" s="3621" t="s">
        <v>1814</v>
      </c>
      <c r="C58" s="3620"/>
      <c r="D58" s="2493">
        <f ca="1">IF(H58="转让取得",C81,C97)</f>
        <v>68123</v>
      </c>
      <c r="E58" s="2503" t="s">
        <v>1809</v>
      </c>
      <c r="F58" s="308" t="s">
        <v>34</v>
      </c>
      <c r="G58" s="2726"/>
      <c r="H58" s="2729"/>
      <c r="I58" s="1941"/>
      <c r="J58" s="3597"/>
      <c r="K58" s="3597"/>
      <c r="L58" s="2701" t="s">
        <v>1815</v>
      </c>
      <c r="M58" s="2705"/>
      <c r="N58" s="2706" t="str">
        <f ca="1">NUMBERSTRING(INT(N57*10000),2)&amp;"元整"</f>
        <v>陆亿玖仟叁佰贰拾玖万元整</v>
      </c>
      <c r="O58" s="2707"/>
    </row>
    <row r="59" spans="1:35" ht="24.75" thickBot="1">
      <c r="A59" s="3601" t="s">
        <v>1816</v>
      </c>
      <c r="B59" s="3602"/>
      <c r="C59" s="3602"/>
      <c r="D59" s="2731">
        <f ca="1">IF(H59="非个人房产","——",IF(H59="个人住宅（满五唯一有凭证）",0,IF(H59="个人其他（无凭证）",ROUND(D45*F59,0),ROUND(C67*F59,0))))</f>
        <v>1146</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599">
        <f>J57+1</f>
        <v>6</v>
      </c>
      <c r="K59" s="3597" t="s">
        <v>1817</v>
      </c>
      <c r="L59" s="2694" t="s">
        <v>1813</v>
      </c>
      <c r="M59" s="2708"/>
      <c r="N59" s="2709" t="e">
        <f ca="1">M49-N57</f>
        <v>#VALUE!</v>
      </c>
      <c r="O59" s="2710"/>
    </row>
    <row r="60" spans="1:35" ht="12" customHeight="1">
      <c r="A60" s="1942"/>
      <c r="B60" s="1880"/>
      <c r="C60" s="1880"/>
      <c r="D60" s="1880"/>
      <c r="E60" s="1710"/>
      <c r="F60" s="1941"/>
      <c r="G60" s="1941"/>
      <c r="H60" s="1943"/>
      <c r="I60" s="134"/>
      <c r="J60" s="3600"/>
      <c r="K60" s="3597"/>
      <c r="L60" s="2701" t="s">
        <v>1815</v>
      </c>
      <c r="M60" s="2705"/>
      <c r="N60" s="2706" t="e">
        <f ca="1">NUMBERSTRING(INT(N59*10000),2)&amp;"元整"</f>
        <v>#VALUE!</v>
      </c>
      <c r="O60" s="2707"/>
    </row>
    <row r="61" spans="1:35" ht="13.5" thickBot="1">
      <c r="A61" s="3659" t="s">
        <v>1818</v>
      </c>
      <c r="B61" s="3659"/>
      <c r="C61" s="3659"/>
      <c r="D61" s="3659"/>
      <c r="E61" s="3659"/>
      <c r="F61" s="1941"/>
      <c r="G61" s="1941"/>
      <c r="H61" s="1943"/>
      <c r="I61" s="134"/>
      <c r="J61" s="2694">
        <f>J59+1</f>
        <v>7</v>
      </c>
      <c r="K61" s="3597" t="s">
        <v>1819</v>
      </c>
      <c r="L61" s="3597"/>
      <c r="M61" s="2711"/>
      <c r="N61" s="2712" t="e">
        <f ca="1">ROUND(N59*10000/'数据-汇总表'!E3,0)</f>
        <v>#VALUE!</v>
      </c>
      <c r="O61" s="2713"/>
    </row>
    <row r="62" spans="1:35" ht="12.75">
      <c r="A62" s="3616" t="s">
        <v>1820</v>
      </c>
      <c r="B62" s="3617"/>
      <c r="C62" s="2155"/>
      <c r="D62" s="2155" t="s">
        <v>1821</v>
      </c>
      <c r="E62" s="171" t="s">
        <v>1822</v>
      </c>
      <c r="F62" s="1941"/>
      <c r="G62" s="1941"/>
      <c r="H62" s="1943"/>
      <c r="I62" s="134"/>
    </row>
    <row r="63" spans="1:35" ht="12.75">
      <c r="A63" s="178" t="s">
        <v>594</v>
      </c>
      <c r="B63" s="172" t="s">
        <v>1823</v>
      </c>
      <c r="C63" s="2735">
        <f ca="1">ROUND((C64+C65)/(1+'数据-取费表'!C42),0)</f>
        <v>114628</v>
      </c>
      <c r="D63" s="172"/>
      <c r="E63" s="173"/>
      <c r="F63" s="1941"/>
      <c r="G63" s="1941"/>
      <c r="H63" s="1943"/>
      <c r="I63" s="134"/>
      <c r="J63" s="3580" t="s">
        <v>1824</v>
      </c>
      <c r="K63" s="1449" t="s">
        <v>1825</v>
      </c>
      <c r="L63" s="1449"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120359</v>
      </c>
      <c r="D64" s="175" t="s">
        <v>32</v>
      </c>
      <c r="E64" s="177"/>
      <c r="F64" s="1941"/>
      <c r="G64" s="1941"/>
      <c r="H64" s="1943"/>
      <c r="I64" s="134"/>
      <c r="J64" s="3580"/>
      <c r="K64" s="1449" t="s">
        <v>1827</v>
      </c>
      <c r="L64" s="1449"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5" t="s">
        <v>1828</v>
      </c>
      <c r="Z64" s="1885"/>
      <c r="AI64" s="1886"/>
    </row>
    <row r="65" spans="1:35" ht="14.25" customHeight="1">
      <c r="A65" s="174" t="s">
        <v>590</v>
      </c>
      <c r="B65" s="175" t="s">
        <v>1829</v>
      </c>
      <c r="C65" s="2737"/>
      <c r="D65" s="175"/>
      <c r="E65" s="177"/>
      <c r="F65" s="1941"/>
      <c r="G65" s="1941"/>
      <c r="H65" s="1943"/>
      <c r="I65" s="134"/>
      <c r="J65" s="3580"/>
      <c r="K65" s="1449" t="s">
        <v>1830</v>
      </c>
      <c r="L65" s="1449" t="e">
        <f>IF(M49&gt;1000,M49*0.1%,IF(AND(M49&gt;500,M49&lt;=1000),M49*0.5%,IF(AND(M49&gt;50,M49&lt;=500),M49*1%,IF(AND(M49&gt;1,M49&lt;=50),M49*1.5%))))</f>
        <v>#VALUE!</v>
      </c>
      <c r="M65" s="308" t="e">
        <f t="shared" si="1"/>
        <v>#VALUE!</v>
      </c>
      <c r="N65" s="2715" t="s">
        <v>1828</v>
      </c>
      <c r="Z65" s="1885"/>
      <c r="AI65" s="1886"/>
    </row>
    <row r="66" spans="1:35" ht="14.25" customHeight="1">
      <c r="A66" s="178" t="s">
        <v>591</v>
      </c>
      <c r="B66" s="179" t="s">
        <v>1831</v>
      </c>
      <c r="C66" s="2738"/>
      <c r="D66" s="179" t="s">
        <v>32</v>
      </c>
      <c r="E66" s="1456" t="s">
        <v>1096</v>
      </c>
      <c r="F66" s="1941"/>
      <c r="G66" s="1941"/>
      <c r="H66" s="1943"/>
      <c r="I66" s="134"/>
      <c r="J66" s="3580"/>
      <c r="K66" s="1449" t="s">
        <v>1832</v>
      </c>
      <c r="L66" s="1449" t="e">
        <f>M49*0.5%</f>
        <v>#VALUE!</v>
      </c>
      <c r="M66" s="308" t="e">
        <f>IF(L66&gt;0.5,0.5,ROUND(L66,0))</f>
        <v>#VALUE!</v>
      </c>
      <c r="N66" s="2715" t="s">
        <v>1833</v>
      </c>
      <c r="Z66" s="1885"/>
      <c r="AI66" s="1886"/>
    </row>
    <row r="67" spans="1:35" ht="14.25" customHeight="1">
      <c r="A67" s="178" t="s">
        <v>592</v>
      </c>
      <c r="B67" s="179" t="s">
        <v>1834</v>
      </c>
      <c r="C67" s="2739">
        <f ca="1">C63-C66</f>
        <v>114628</v>
      </c>
      <c r="D67" s="175" t="s">
        <v>32</v>
      </c>
      <c r="E67" s="177"/>
      <c r="F67" s="1941"/>
      <c r="G67" s="1941"/>
      <c r="H67" s="1943"/>
      <c r="I67" s="134"/>
      <c r="J67" s="3580"/>
      <c r="K67" s="1449" t="s">
        <v>1835</v>
      </c>
      <c r="L67" s="144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6419</v>
      </c>
      <c r="D68" s="2741">
        <f>'数据-取费表'!B41</f>
        <v>5.6000000000000001E-2</v>
      </c>
      <c r="E68" s="184"/>
      <c r="F68" s="1941"/>
      <c r="G68" s="1941"/>
      <c r="H68" s="1943"/>
      <c r="I68" s="134"/>
      <c r="J68" s="3580"/>
      <c r="K68" s="1449" t="s">
        <v>1837</v>
      </c>
      <c r="L68" s="1449"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580"/>
      <c r="K69" s="1449" t="s">
        <v>1838</v>
      </c>
      <c r="L69" s="1449"/>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24" t="s">
        <v>1839</v>
      </c>
      <c r="B70" s="3625"/>
      <c r="C70" s="3625"/>
      <c r="D70" s="3625"/>
      <c r="E70" s="3625"/>
      <c r="F70" s="3625"/>
      <c r="G70" s="3625"/>
      <c r="H70" s="3625"/>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6" t="s">
        <v>1820</v>
      </c>
      <c r="B71" s="3617"/>
      <c r="C71" s="2155"/>
      <c r="D71" s="2155"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114628</v>
      </c>
      <c r="D72" s="175" t="s">
        <v>32</v>
      </c>
      <c r="E72" s="2500"/>
      <c r="F72" s="2499"/>
      <c r="G72" s="2499"/>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688</v>
      </c>
      <c r="D73" s="175" t="s">
        <v>32</v>
      </c>
      <c r="E73" s="2500"/>
      <c r="F73" s="2499"/>
      <c r="G73" s="2499"/>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2500"/>
      <c r="F74" s="2499"/>
      <c r="G74" s="2499"/>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21" t="s">
        <v>1847</v>
      </c>
      <c r="F76" s="3620"/>
      <c r="G76" s="3620"/>
      <c r="H76" s="3623"/>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2493" t="s">
        <v>1849</v>
      </c>
      <c r="F77" s="192"/>
      <c r="G77" s="1955"/>
      <c r="H77" s="25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688</v>
      </c>
      <c r="D78" s="2748">
        <f>'数据-取费表'!B43</f>
        <v>6.000000000000001E-3</v>
      </c>
      <c r="E78" s="3613" t="s">
        <v>1851</v>
      </c>
      <c r="F78" s="3614"/>
      <c r="G78" s="3614"/>
      <c r="H78" s="3615"/>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39">
        <f ca="1">C72-C73</f>
        <v>113940</v>
      </c>
      <c r="D79" s="175" t="s">
        <v>32</v>
      </c>
      <c r="E79" s="2500"/>
      <c r="F79" s="2499"/>
      <c r="G79" s="2499"/>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165.61046511627907</v>
      </c>
      <c r="D80" s="175"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68123</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24" t="s">
        <v>1855</v>
      </c>
      <c r="B83" s="3625"/>
      <c r="C83" s="3625"/>
      <c r="D83" s="3625"/>
      <c r="E83" s="3625"/>
      <c r="F83" s="3625"/>
      <c r="G83" s="3625"/>
      <c r="H83" s="3625"/>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6" t="s">
        <v>1820</v>
      </c>
      <c r="B84" s="3617"/>
      <c r="C84" s="2155"/>
      <c r="D84" s="2155"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114628</v>
      </c>
      <c r="D85" s="175" t="s">
        <v>32</v>
      </c>
      <c r="E85" s="2500"/>
      <c r="F85" s="2499"/>
      <c r="G85" s="2499"/>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688</v>
      </c>
      <c r="D86" s="2752"/>
      <c r="E86" s="2500"/>
      <c r="F86" s="2499"/>
      <c r="G86" s="2499"/>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2495"/>
      <c r="F87" s="2496"/>
      <c r="G87" s="2496"/>
      <c r="H87" s="2497"/>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2496"/>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2496"/>
      <c r="G89" s="2496"/>
      <c r="H89" s="2497"/>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2496"/>
      <c r="G90" s="3582" t="s">
        <v>2629</v>
      </c>
      <c r="H90" s="3583"/>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613" t="s">
        <v>1864</v>
      </c>
      <c r="F91" s="3614"/>
      <c r="G91" s="3614"/>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613" t="s">
        <v>1867</v>
      </c>
      <c r="F92" s="3614"/>
      <c r="G92" s="3614"/>
      <c r="H92" s="3615"/>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688</v>
      </c>
      <c r="D93" s="2748">
        <f>'数据-取费表'!B43</f>
        <v>6.000000000000001E-3</v>
      </c>
      <c r="E93" s="3613" t="s">
        <v>1851</v>
      </c>
      <c r="F93" s="3614"/>
      <c r="G93" s="3614"/>
      <c r="H93" s="3615"/>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61" t="s">
        <v>1871</v>
      </c>
      <c r="F94" s="3662"/>
      <c r="G94" s="3662"/>
      <c r="H94" s="3663"/>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39">
        <f ca="1">ROUND(C85-C86,0)</f>
        <v>113940</v>
      </c>
      <c r="D95" s="175" t="s">
        <v>32</v>
      </c>
      <c r="E95" s="2500"/>
      <c r="F95" s="2499"/>
      <c r="G95" s="2499"/>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165.61046511627907</v>
      </c>
      <c r="D96" s="175"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68123</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63" t="s">
        <v>1873</v>
      </c>
      <c r="B100" s="3564"/>
      <c r="C100" s="3564"/>
      <c r="D100" s="3598"/>
      <c r="E100" s="3564" t="s">
        <v>1874</v>
      </c>
      <c r="F100" s="3564"/>
      <c r="G100" s="3564"/>
      <c r="H100" s="3598"/>
      <c r="I100" s="134"/>
    </row>
    <row r="101" spans="1:35" ht="18.75" customHeight="1">
      <c r="A101" s="3606" t="s">
        <v>1875</v>
      </c>
      <c r="B101" s="3607"/>
      <c r="C101" s="2756" t="str">
        <f>C4</f>
        <v>典型户型修正</v>
      </c>
      <c r="D101" s="2757" t="str">
        <f>D4</f>
        <v>收益法</v>
      </c>
      <c r="E101" s="3576" t="s">
        <v>1876</v>
      </c>
      <c r="F101" s="3577"/>
      <c r="G101" s="1960" t="s">
        <v>1877</v>
      </c>
      <c r="H101" s="2766">
        <f ca="1">H118</f>
        <v>120359</v>
      </c>
      <c r="I101" s="134"/>
    </row>
    <row r="102" spans="1:35" ht="18.75" customHeight="1">
      <c r="A102" s="3608" t="s">
        <v>1878</v>
      </c>
      <c r="B102" s="2755" t="s">
        <v>1877</v>
      </c>
      <c r="C102" s="2756">
        <f ca="1">C19</f>
        <v>177063</v>
      </c>
      <c r="D102" s="2757">
        <f ca="1">D19</f>
        <v>63655</v>
      </c>
      <c r="E102" s="3576"/>
      <c r="F102" s="3577"/>
      <c r="G102" s="1960" t="s">
        <v>1879</v>
      </c>
      <c r="H102" s="2726">
        <f ca="1">I118</f>
        <v>39963</v>
      </c>
      <c r="I102" s="134"/>
    </row>
    <row r="103" spans="1:35" ht="42.75" customHeight="1">
      <c r="A103" s="3608"/>
      <c r="B103" s="2755" t="s">
        <v>1879</v>
      </c>
      <c r="C103" s="2758">
        <f ca="1">C20</f>
        <v>58791</v>
      </c>
      <c r="D103" s="2759">
        <f ca="1">D20</f>
        <v>21136</v>
      </c>
      <c r="E103" s="3569" t="s">
        <v>1880</v>
      </c>
      <c r="F103" s="3570"/>
      <c r="G103" s="1961" t="s">
        <v>1881</v>
      </c>
      <c r="H103" s="2766">
        <f>IF(D36="正常操作",H104+H105+H106,H105+H106)</f>
        <v>0</v>
      </c>
      <c r="I103" s="134"/>
    </row>
    <row r="104" spans="1:35" ht="18.75" customHeight="1">
      <c r="A104" s="3608" t="s">
        <v>1882</v>
      </c>
      <c r="B104" s="2760" t="s">
        <v>1877</v>
      </c>
      <c r="C104" s="2761">
        <f ca="1">H118</f>
        <v>120359</v>
      </c>
      <c r="D104" s="2762"/>
      <c r="E104" s="1807" t="s">
        <v>1883</v>
      </c>
      <c r="F104" s="1798"/>
      <c r="G104" s="1961" t="s">
        <v>1881</v>
      </c>
      <c r="H104" s="2767">
        <f>IF(D36="同一抵押权人同一抵押物续贷",C36&amp;"（续贷，未扣减，详见特别提示）",C36)</f>
        <v>0</v>
      </c>
      <c r="I104" s="134"/>
    </row>
    <row r="105" spans="1:35" ht="18.75" customHeight="1" thickBot="1">
      <c r="A105" s="3618"/>
      <c r="B105" s="2763" t="s">
        <v>1879</v>
      </c>
      <c r="C105" s="2764">
        <f ca="1">I118</f>
        <v>39963</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09" t="str">
        <f>IF(项目基本情况!E8="已注销","——","3.房地产抵押价值")</f>
        <v>3.房地产抵押价值</v>
      </c>
      <c r="F107" s="3577"/>
      <c r="G107" s="1960" t="s">
        <v>1877</v>
      </c>
      <c r="H107" s="2766">
        <f ca="1">IF(E107="——","——",H101-H103)</f>
        <v>120359</v>
      </c>
      <c r="I107" s="134"/>
    </row>
    <row r="108" spans="1:35" ht="18.75" customHeight="1">
      <c r="A108" s="134"/>
      <c r="B108" s="134"/>
      <c r="C108" s="134"/>
      <c r="D108" s="134"/>
      <c r="E108" s="3609"/>
      <c r="F108" s="3577"/>
      <c r="G108" s="1960" t="s">
        <v>1879</v>
      </c>
      <c r="H108" s="2726">
        <f ca="1">ROUND(H107*10000/'数据-汇总表'!E3,0)</f>
        <v>37541</v>
      </c>
      <c r="I108" s="134"/>
    </row>
    <row r="109" spans="1:35" ht="18.75" customHeight="1">
      <c r="A109" s="134"/>
      <c r="B109" s="134"/>
      <c r="C109" s="134"/>
      <c r="D109" s="134"/>
      <c r="E109" s="3609" t="str">
        <f>IF(项目基本情况!E8="已注销及未注销","4.抵押担保权已注销时的房地产抵押价值",IF(项目基本情况!E8="已注销","3.抵押担保权已注销时的房地产抵押价值","——"))</f>
        <v>——</v>
      </c>
      <c r="F109" s="3577"/>
      <c r="G109" s="1960" t="s">
        <v>1877</v>
      </c>
      <c r="H109" s="2769" t="str">
        <f>IF(E109="——","——",H101-H105-H106)</f>
        <v>——</v>
      </c>
      <c r="I109" s="134"/>
    </row>
    <row r="110" spans="1:35" ht="18.75" customHeight="1">
      <c r="A110" s="134"/>
      <c r="B110" s="134"/>
      <c r="C110" s="134"/>
      <c r="D110" s="134"/>
      <c r="E110" s="3609"/>
      <c r="F110" s="3577"/>
      <c r="G110" s="1960" t="s">
        <v>1879</v>
      </c>
      <c r="H110" s="2726" t="str">
        <f>IF(H109="——","——",ROUND(H109*10000/'数据-汇总表'!E3,0))</f>
        <v>——</v>
      </c>
      <c r="I110" s="134"/>
    </row>
    <row r="111" spans="1:35" ht="18.75" customHeight="1">
      <c r="A111" s="134"/>
      <c r="B111" s="134"/>
      <c r="C111" s="134"/>
      <c r="D111" s="134"/>
      <c r="E111" s="3610" t="str">
        <f>IF(项目基本情况!E9="抵押净值",IF(OR(项目基本情况!E8="已注销",项目基本情况!E8="房地产抵押价值"),"4.抵押净值","5.抵押净值"),"——")</f>
        <v>——</v>
      </c>
      <c r="F111" s="3596"/>
      <c r="G111" s="1960" t="s">
        <v>1877</v>
      </c>
      <c r="H111" s="2766" t="str">
        <f>IF(E111="——","——",N59)</f>
        <v>——</v>
      </c>
      <c r="I111" s="134"/>
    </row>
    <row r="112" spans="1:35" ht="18.75" customHeight="1" thickBot="1">
      <c r="A112" s="134"/>
      <c r="B112" s="134"/>
      <c r="C112" s="134"/>
      <c r="D112" s="134"/>
      <c r="E112" s="3611"/>
      <c r="F112" s="3612"/>
      <c r="G112" s="1963" t="s">
        <v>1879</v>
      </c>
      <c r="H112" s="2770" t="str">
        <f>IF(E111="——","——",N61)</f>
        <v>——</v>
      </c>
      <c r="I112" s="134"/>
    </row>
    <row r="113" spans="1:27" ht="18.75" customHeight="1">
      <c r="A113" s="134"/>
      <c r="B113" s="134"/>
      <c r="C113" s="134"/>
      <c r="D113" s="134"/>
      <c r="E113" s="3619" t="s">
        <v>1885</v>
      </c>
      <c r="F113" s="3619"/>
      <c r="G113" s="3619"/>
      <c r="H113" s="3619"/>
      <c r="I113" s="134"/>
    </row>
    <row r="114" spans="1:27" ht="3.75" customHeight="1">
      <c r="A114" s="1880"/>
      <c r="B114" s="1880"/>
      <c r="C114" s="1880"/>
      <c r="D114" s="1880"/>
      <c r="E114" s="1942"/>
      <c r="F114" s="1942"/>
      <c r="G114" s="1942"/>
      <c r="H114" s="1942"/>
      <c r="I114" s="1880"/>
    </row>
    <row r="115" spans="1:27" ht="18.75" customHeight="1">
      <c r="A115" s="3630" t="s">
        <v>1887</v>
      </c>
      <c r="B115" s="3631"/>
      <c r="C115" s="3631"/>
      <c r="D115" s="3631"/>
      <c r="E115" s="3631"/>
      <c r="F115" s="3631"/>
      <c r="G115" s="3631"/>
      <c r="H115" s="3631"/>
      <c r="I115" s="3632"/>
    </row>
    <row r="116" spans="1:27" ht="27" customHeight="1">
      <c r="A116" s="3584" t="s">
        <v>1888</v>
      </c>
      <c r="B116" s="3588" t="s">
        <v>1889</v>
      </c>
      <c r="C116" s="3588" t="s">
        <v>1890</v>
      </c>
      <c r="D116" s="3594" t="s">
        <v>1891</v>
      </c>
      <c r="E116" s="3595"/>
      <c r="F116" s="3626" t="s">
        <v>1892</v>
      </c>
      <c r="G116" s="3626"/>
      <c r="H116" s="3584" t="s">
        <v>1893</v>
      </c>
      <c r="I116" s="3584"/>
    </row>
    <row r="117" spans="1:27" ht="18.75" customHeight="1">
      <c r="A117" s="3584"/>
      <c r="B117" s="3589"/>
      <c r="C117" s="3589"/>
      <c r="D117" s="2498" t="s">
        <v>1894</v>
      </c>
      <c r="E117" s="2498" t="s">
        <v>1895</v>
      </c>
      <c r="F117" s="2498" t="s">
        <v>1894</v>
      </c>
      <c r="G117" s="2498" t="s">
        <v>1896</v>
      </c>
      <c r="H117" s="2498" t="s">
        <v>1894</v>
      </c>
      <c r="I117" s="2498" t="s">
        <v>1896</v>
      </c>
    </row>
    <row r="118" spans="1:27" ht="24.75" customHeight="1">
      <c r="A118" s="2771" t="str">
        <f>项目基本情况!S2</f>
        <v>北京市房地产</v>
      </c>
      <c r="B118" s="2498">
        <f>M18</f>
        <v>30117.4</v>
      </c>
      <c r="C118" s="2498">
        <f>M19</f>
        <v>5665.04</v>
      </c>
      <c r="D118" s="2498">
        <f ca="1">ROUND(IF(D32="总价",C34,E118*B118/10000),0)</f>
        <v>87862</v>
      </c>
      <c r="E118" s="2498">
        <f ca="1">ROUND(IF(C33="自定义",IF(D32="楼面单价",C34,D118*10000/B118),I118-G118),0)</f>
        <v>29173</v>
      </c>
      <c r="F118" s="2498">
        <f ca="1">ROUND(IF(D32="总价",C35,G118*B118/10000),0)</f>
        <v>32497</v>
      </c>
      <c r="G118" s="2498">
        <f ca="1">ROUND(IF(D32="楼面单价",C35,F118*10000/B118),0)</f>
        <v>10790</v>
      </c>
      <c r="H118" s="2498">
        <f ca="1">ROUND(IF(D32="总价",C32,I118*B118/10000),0)</f>
        <v>120359</v>
      </c>
      <c r="I118" s="2498">
        <f ca="1">ROUND(IF(D32="楼面单价",C32,H118*10000/B118),0)</f>
        <v>39963</v>
      </c>
    </row>
    <row r="119" spans="1:27" ht="18.75" customHeight="1">
      <c r="A119" s="3584" t="s">
        <v>1897</v>
      </c>
      <c r="B119" s="3584"/>
      <c r="C119" s="3584"/>
      <c r="D119" s="3590" t="str">
        <f ca="1">NUMBERSTRING(INT(D118*10000),2)&amp;"元整"</f>
        <v>捌亿柒仟捌佰陆拾贰万元整</v>
      </c>
      <c r="E119" s="3591"/>
      <c r="F119" s="3590" t="str">
        <f ca="1">NUMBERSTRING(INT(F118*10000),2)&amp;"元整"</f>
        <v>叁亿贰仟肆佰玖拾柒万元整</v>
      </c>
      <c r="G119" s="3591"/>
      <c r="H119" s="3590" t="str">
        <f ca="1">NUMBERSTRING(INT(H118*10000),2)&amp;"元整"</f>
        <v>壹拾贰亿零叁佰伍拾玖万元整</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27" t="s">
        <v>1897</v>
      </c>
      <c r="B121" s="3628"/>
      <c r="C121" s="3629"/>
      <c r="D121" s="3590" t="str">
        <f>IF(D120=0,"零元整",NUMBERSTRING(INT(D120*10000),2)&amp;"元整")</f>
        <v>零元整</v>
      </c>
      <c r="E121" s="3592"/>
      <c r="F121" s="3592"/>
      <c r="G121" s="3592"/>
      <c r="H121" s="3592"/>
      <c r="I121" s="3591"/>
      <c r="AA121" s="731"/>
    </row>
    <row r="122" spans="1:27" ht="18.75" customHeight="1">
      <c r="A122" s="3596" t="str">
        <f>IF(项目基本情况!B9="房地产市场价值","",MID(E107,3,LEN(E107)-2))</f>
        <v>房地产抵押价值</v>
      </c>
      <c r="B122" s="3596"/>
      <c r="C122" s="3596"/>
      <c r="D122" s="3585">
        <f ca="1">H107</f>
        <v>120359</v>
      </c>
      <c r="E122" s="3586"/>
      <c r="F122" s="3586"/>
      <c r="G122" s="3586"/>
      <c r="H122" s="3586"/>
      <c r="I122" s="3587"/>
      <c r="AA122" s="731"/>
    </row>
    <row r="123" spans="1:27" ht="18.75" customHeight="1">
      <c r="A123" s="3584" t="s">
        <v>1897</v>
      </c>
      <c r="B123" s="3584"/>
      <c r="C123" s="3584"/>
      <c r="D123" s="3590" t="str">
        <f ca="1">NUMBERSTRING(INT(D122*10000),2)&amp;"元整"</f>
        <v>壹拾贰亿零叁佰伍拾玖万元整</v>
      </c>
      <c r="E123" s="3592"/>
      <c r="F123" s="3592"/>
      <c r="G123" s="3592"/>
      <c r="H123" s="3592"/>
      <c r="I123" s="3591"/>
      <c r="AA123" s="731"/>
    </row>
    <row r="124" spans="1:27" ht="18.75" customHeight="1">
      <c r="A124" s="3596" t="str">
        <f>IF(项目基本情况!B9="房地产市场价值","",MID(E109,3,LEN(E109)-2))</f>
        <v/>
      </c>
      <c r="B124" s="3596"/>
      <c r="C124" s="3596"/>
      <c r="D124" s="3585" t="str">
        <f>H109</f>
        <v>——</v>
      </c>
      <c r="E124" s="3586"/>
      <c r="F124" s="3586"/>
      <c r="G124" s="3586"/>
      <c r="H124" s="3586"/>
      <c r="I124" s="3587"/>
      <c r="AA124" s="731"/>
    </row>
    <row r="125" spans="1:27" ht="18.75" customHeight="1">
      <c r="A125" s="3584" t="s">
        <v>1897</v>
      </c>
      <c r="B125" s="3584"/>
      <c r="C125" s="3584"/>
      <c r="D125" s="3590" t="e">
        <f>NUMBERSTRING(INT(D124*10000),2)&amp;"元整"</f>
        <v>#VALUE!</v>
      </c>
      <c r="E125" s="3592"/>
      <c r="F125" s="3592"/>
      <c r="G125" s="3592"/>
      <c r="H125" s="3592"/>
      <c r="I125" s="3591"/>
      <c r="AA125" s="731"/>
    </row>
    <row r="126" spans="1:27" ht="18.75" customHeight="1">
      <c r="A126" s="3596" t="str">
        <f>IF(项目基本情况!B9="房地产市场价值","",MID(E111,3,LEN(E111)-2))</f>
        <v/>
      </c>
      <c r="B126" s="3596"/>
      <c r="C126" s="3596"/>
      <c r="D126" s="3585" t="str">
        <f>H111</f>
        <v>——</v>
      </c>
      <c r="E126" s="3586"/>
      <c r="F126" s="3586"/>
      <c r="G126" s="3586"/>
      <c r="H126" s="3586"/>
      <c r="I126" s="3587"/>
      <c r="AA126" s="731"/>
    </row>
    <row r="127" spans="1:27" ht="18.75" customHeight="1">
      <c r="A127" s="3584" t="s">
        <v>1897</v>
      </c>
      <c r="B127" s="3584"/>
      <c r="C127" s="3584"/>
      <c r="D127" s="3590" t="e">
        <f>NUMBERSTRING(INT(D126*10000),2)&amp;"元整"</f>
        <v>#VALUE!</v>
      </c>
      <c r="E127" s="3592"/>
      <c r="F127" s="3592"/>
      <c r="G127" s="3592"/>
      <c r="H127" s="3592"/>
      <c r="I127" s="3591"/>
      <c r="AA127" s="731"/>
    </row>
    <row r="128" spans="1:27" ht="21.75" customHeight="1">
      <c r="A128" s="3593" t="s">
        <v>1898</v>
      </c>
      <c r="B128" s="3593"/>
      <c r="C128" s="3593"/>
      <c r="D128" s="3593"/>
      <c r="E128" s="3593"/>
      <c r="F128" s="3593"/>
      <c r="G128" s="3593"/>
      <c r="H128" s="3593"/>
      <c r="I128" s="359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61" sqref="A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1"/>
      <c r="C1" s="204"/>
      <c r="D1" s="204"/>
      <c r="E1" s="204"/>
      <c r="F1" s="204"/>
      <c r="G1" s="1237">
        <f>MATCH(B1,'数据-取费表'!A6:A16,0)+5</f>
        <v>8</v>
      </c>
    </row>
    <row r="2" spans="1:9" s="206" customFormat="1" ht="18" customHeight="1">
      <c r="A2" s="207" t="s">
        <v>1907</v>
      </c>
      <c r="B2" s="208">
        <f ca="1">IF(D2="——",C52,C52-E2)</f>
        <v>16623</v>
      </c>
      <c r="C2" s="205" t="s">
        <v>1908</v>
      </c>
      <c r="D2" s="1986" t="s">
        <v>70</v>
      </c>
      <c r="E2" s="1280"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5185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89"/>
    </row>
    <row r="9" spans="1:9" s="220" customFormat="1" ht="13.5" customHeight="1">
      <c r="A9" s="865" t="s">
        <v>619</v>
      </c>
      <c r="B9" s="230" t="s">
        <v>1923</v>
      </c>
      <c r="C9" s="231">
        <f ca="1">ROUND(D9*E9/10000,0)</f>
        <v>0</v>
      </c>
      <c r="D9" s="932">
        <f ca="1">IF(B1="",'数据-汇总表'!E5,IF(INDIRECT("'数据-取费表'!c"&amp;$G$1)="住宅",INDIRECT("'数据-取费表'!k"&amp;$G$1),0))</f>
        <v>30117.4</v>
      </c>
      <c r="E9" s="231">
        <f>'数据-取费表'!B27</f>
        <v>0</v>
      </c>
      <c r="F9" s="227"/>
      <c r="G9" s="1990"/>
      <c r="H9" s="1248"/>
      <c r="I9" s="1991" t="s">
        <v>1924</v>
      </c>
    </row>
    <row r="10" spans="1:9" s="220" customFormat="1" ht="13.5" customHeight="1">
      <c r="A10" s="865" t="s">
        <v>620</v>
      </c>
      <c r="B10" s="230" t="s">
        <v>1925</v>
      </c>
      <c r="C10" s="231">
        <f ca="1">ROUND(D10*E10/10000,0)</f>
        <v>39</v>
      </c>
      <c r="D10" s="932">
        <f ca="1">IF(B1="",'数据-汇总表'!E6,IF(INDIRECT("'数据-取费表'!c"&amp;$G$1)="住宅",INDIRECT("'数据-取费表'!s"&amp;$G$1),INDIRECT("'数据-取费表'!k"&amp;$G$1)+INDIRECT("'数据-取费表'!s"&amp;$G$1)))</f>
        <v>1943.0499999999993</v>
      </c>
      <c r="E10" s="231">
        <f>'数据-取费表'!B28</f>
        <v>200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641</v>
      </c>
      <c r="D19" s="936">
        <f ca="1">D9+D10</f>
        <v>32060.45</v>
      </c>
      <c r="E19" s="217">
        <f>'数据-取费表'!B31</f>
        <v>200</v>
      </c>
      <c r="F19" s="237"/>
      <c r="G19" s="1989"/>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3">
        <f ca="1">ROUND(SUM(C23:C25),0)</f>
        <v>55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6" t="s">
        <v>1947</v>
      </c>
      <c r="B23" s="221" t="s">
        <v>1948</v>
      </c>
      <c r="C23" s="1214">
        <f ca="1">ROUND(IF('数据-取费表'!B22&lt;=1,C5*F22*'数据-取费表'!B23,C5*(POWER((1+F22),'数据-取费表'!B23)-1)),0)</f>
        <v>0</v>
      </c>
      <c r="D23" s="244"/>
      <c r="E23" s="244"/>
      <c r="F23" s="245"/>
      <c r="G23" s="246" t="s">
        <v>1949</v>
      </c>
    </row>
    <row r="24" spans="1:7" s="220" customFormat="1" ht="13.5" customHeight="1">
      <c r="A24" s="866" t="s">
        <v>1950</v>
      </c>
      <c r="B24" s="221" t="s">
        <v>1951</v>
      </c>
      <c r="C24" s="1214">
        <f ca="1">ROUND(IF('数据-取费表'!B22&lt;=1,C19*F22*('数据-取费表'!B19/2+'数据-取费表'!B21),C19*(POWER((1+F22),('数据-取费表'!B19/2+'数据-取费表'!B21))-1)),0)</f>
        <v>54</v>
      </c>
      <c r="D24" s="244"/>
      <c r="E24" s="244"/>
      <c r="F24" s="245"/>
      <c r="G24" s="246" t="s">
        <v>1952</v>
      </c>
    </row>
    <row r="25" spans="1:7" s="220" customFormat="1" ht="24">
      <c r="A25" s="866" t="s">
        <v>1953</v>
      </c>
      <c r="B25" s="221" t="s">
        <v>1954</v>
      </c>
      <c r="C25" s="1214">
        <f ca="1">ROUND(IF('数据-取费表'!B22&lt;=1,C20*F22*'数据-取费表'!B23/2,C20*(POWER((1+F22),'数据-取费表'!B23/2)-1)),0)</f>
        <v>1</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92</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ROUND((C5+C19+C20)*F27*'数据-取费表'!B21/'数据-取费表'!B20,0)</f>
        <v>92</v>
      </c>
      <c r="D28" s="241"/>
      <c r="E28" s="242"/>
      <c r="F28" s="252"/>
      <c r="G28" s="253"/>
    </row>
    <row r="29" spans="1:7" s="220" customFormat="1" ht="13.5" customHeight="1">
      <c r="A29" s="866" t="s">
        <v>611</v>
      </c>
      <c r="B29" s="254" t="s">
        <v>1962</v>
      </c>
      <c r="C29" s="244">
        <f ca="1">ROUND(C21*F27*'数据-取费表'!B21/'数据-取费表'!B20,4)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16091</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14136</v>
      </c>
      <c r="D34" s="223"/>
      <c r="E34" s="226"/>
      <c r="F34" s="263">
        <f ca="1">IF('数据-取费表'!B24=0,1,IF(B1="",'数据-取费表'!N16,INDIRECT("'数据-取费表'!n"&amp;$G$1)))</f>
        <v>1</v>
      </c>
      <c r="G34" s="225" t="s">
        <v>1971</v>
      </c>
    </row>
    <row r="35" spans="1:7" ht="13.5" customHeight="1">
      <c r="A35" s="866" t="s">
        <v>615</v>
      </c>
      <c r="B35" s="221" t="s">
        <v>1972</v>
      </c>
      <c r="C35" s="226">
        <f ca="1">ROUND(C34*F35,0)</f>
        <v>424</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678</v>
      </c>
      <c r="D36" s="226"/>
      <c r="E36" s="226"/>
      <c r="F36" s="265">
        <f>'数据-取费表'!B34</f>
        <v>0.05</v>
      </c>
      <c r="G36" s="266" t="s">
        <v>1975</v>
      </c>
    </row>
    <row r="37" spans="1:7" s="264" customFormat="1" ht="13.5" customHeight="1">
      <c r="A37" s="866" t="s">
        <v>617</v>
      </c>
      <c r="B37" s="221" t="s">
        <v>1976</v>
      </c>
      <c r="C37" s="255">
        <f ca="1">ROUND(E37*D37*F34/10000,0)</f>
        <v>641</v>
      </c>
      <c r="D37" s="223">
        <f ca="1">D19</f>
        <v>32060.45</v>
      </c>
      <c r="E37" s="255">
        <f>'数据-取费表'!B35</f>
        <v>200</v>
      </c>
      <c r="F37" s="265"/>
      <c r="G37" s="267" t="s">
        <v>1977</v>
      </c>
    </row>
    <row r="38" spans="1:7" ht="13.5" customHeight="1">
      <c r="A38" s="866" t="s">
        <v>618</v>
      </c>
      <c r="B38" s="221" t="s">
        <v>1978</v>
      </c>
      <c r="C38" s="226">
        <f ca="1">ROUND(C34*F38,0)</f>
        <v>212</v>
      </c>
      <c r="D38" s="226"/>
      <c r="E38" s="226"/>
      <c r="F38" s="265">
        <f>'数据-取费表'!B36</f>
        <v>1.4999999999999999E-2</v>
      </c>
      <c r="G38" s="225" t="s">
        <v>1973</v>
      </c>
    </row>
    <row r="39" spans="1:7" s="220" customFormat="1" ht="13.5" customHeight="1">
      <c r="A39" s="261" t="s">
        <v>1979</v>
      </c>
      <c r="B39" s="216" t="s">
        <v>1980</v>
      </c>
      <c r="C39" s="238">
        <f ca="1">ROUND(C33*F20,0)</f>
        <v>322</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668</v>
      </c>
      <c r="D42" s="244"/>
      <c r="E42" s="244"/>
      <c r="F42" s="245"/>
      <c r="G42" s="3666" t="s">
        <v>1989</v>
      </c>
    </row>
    <row r="43" spans="1:7" ht="13.5" customHeight="1">
      <c r="A43" s="866" t="s">
        <v>611</v>
      </c>
      <c r="B43" s="221" t="s">
        <v>1990</v>
      </c>
      <c r="C43" s="244">
        <f ca="1">ROUND(IF('数据-取费表'!B22&lt;=1,C39*F22*'数据-取费表'!B21/2,C39*(POWER((1+F22),'数据-取费表'!B21/2)-1)),0)</f>
        <v>13</v>
      </c>
      <c r="D43" s="244"/>
      <c r="E43" s="244"/>
      <c r="F43" s="245"/>
      <c r="G43" s="3667"/>
    </row>
    <row r="44" spans="1:7" ht="13.5" customHeight="1">
      <c r="A44" s="866" t="s">
        <v>612</v>
      </c>
      <c r="B44" s="221" t="s">
        <v>1991</v>
      </c>
      <c r="C44" s="244">
        <f ca="1">ROUND(IF('数据-取费表'!B22&lt;=1,C40*F22*'数据-取费表'!B21/2,C40*(POWER((1+F22),'数据-取费表'!B21/2)-1)),4)</f>
        <v>8.0000000000000004E-4</v>
      </c>
      <c r="D44" s="244"/>
      <c r="E44" s="244"/>
      <c r="F44" s="245"/>
      <c r="G44" s="3668"/>
    </row>
    <row r="45" spans="1:7" s="220" customFormat="1" ht="13.5" customHeight="1">
      <c r="A45" s="261" t="s">
        <v>1992</v>
      </c>
      <c r="B45" s="250" t="s">
        <v>1958</v>
      </c>
      <c r="C45" s="251">
        <f ca="1">C46</f>
        <v>2298</v>
      </c>
      <c r="D45" s="241">
        <f ca="1">C47</f>
        <v>2.8E-3</v>
      </c>
      <c r="E45" s="242" t="s">
        <v>1984</v>
      </c>
      <c r="F45" s="2483">
        <f ca="1">F27</f>
        <v>0.14000000000000001</v>
      </c>
      <c r="G45" s="253" t="s">
        <v>1993</v>
      </c>
    </row>
    <row r="46" spans="1:7" s="220" customFormat="1" ht="13.5" customHeight="1">
      <c r="A46" s="866" t="s">
        <v>610</v>
      </c>
      <c r="B46" s="254" t="s">
        <v>1994</v>
      </c>
      <c r="C46" s="255">
        <f ca="1">ROUND((C33+C39)*F27,0)</f>
        <v>2298</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1444">
        <f>ROUND(F30/(1+'数据-取费表'!C42),4)</f>
        <v>5.33E-2</v>
      </c>
      <c r="D48" s="242" t="s">
        <v>1984</v>
      </c>
      <c r="E48" s="238"/>
      <c r="F48" s="2482">
        <f>F30</f>
        <v>5.6000000000000001E-2</v>
      </c>
      <c r="G48" s="240" t="s">
        <v>1997</v>
      </c>
    </row>
    <row r="49" spans="1:7" ht="16.5" customHeight="1">
      <c r="A49" s="261" t="s">
        <v>1963</v>
      </c>
      <c r="B49" s="216" t="s">
        <v>1998</v>
      </c>
      <c r="C49" s="238">
        <f ca="1">ROUND((C33+C39+C41+C45)/(1-C40-D41-D45-C48),0)</f>
        <v>21007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15755</v>
      </c>
      <c r="D51" s="238"/>
      <c r="E51" s="238"/>
      <c r="F51" s="270"/>
      <c r="G51" s="240" t="s">
        <v>2005</v>
      </c>
    </row>
    <row r="52" spans="1:7" s="214" customFormat="1" ht="16.5" thickBot="1">
      <c r="A52" s="271" t="s">
        <v>2006</v>
      </c>
      <c r="B52" s="272"/>
      <c r="C52" s="273">
        <f ca="1">C31+C51</f>
        <v>16623</v>
      </c>
      <c r="D52" s="272"/>
      <c r="E52" s="272"/>
      <c r="F52" s="272"/>
      <c r="G52" s="274"/>
    </row>
    <row r="55" spans="1:7" ht="15">
      <c r="B55" s="276" t="s">
        <v>2007</v>
      </c>
      <c r="C55" s="277"/>
    </row>
    <row r="56" spans="1:7">
      <c r="B56" s="279" t="s">
        <v>1237</v>
      </c>
      <c r="C56" s="281">
        <f ca="1">1-C57</f>
        <v>5.2000000000000046E-2</v>
      </c>
    </row>
    <row r="57" spans="1:7">
      <c r="B57" s="279" t="s">
        <v>1238</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477" t="str">
        <f>项目基本情况!B1</f>
        <v>北京市预评估</v>
      </c>
      <c r="C37" s="3477"/>
      <c r="D37" s="3477"/>
      <c r="E37" s="3477"/>
      <c r="F37" s="3477"/>
      <c r="G37" s="3477"/>
      <c r="H37" s="3477"/>
      <c r="I37" s="3477"/>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1"/>
      <c r="C1" s="1992" t="s">
        <v>2008</v>
      </c>
      <c r="D1" s="204"/>
      <c r="E1" s="204"/>
      <c r="F1" s="204"/>
      <c r="G1" s="1237">
        <f>MATCH(B1,'数据-取费表'!A6:A16,0)+5</f>
        <v>8</v>
      </c>
      <c r="H1" s="1169" t="str">
        <f>IF(ISERROR(FIND("住宅",B1)),"非住宅","住宅")</f>
        <v>非住宅</v>
      </c>
    </row>
    <row r="2" spans="1:8" s="206" customFormat="1" ht="18" customHeight="1">
      <c r="A2" s="207" t="s">
        <v>1907</v>
      </c>
      <c r="B2" s="208">
        <f ca="1">ROUND(IF(D2="——",C52/10000,C52/10000-E2),0)</f>
        <v>16675</v>
      </c>
      <c r="C2" s="205" t="s">
        <v>1908</v>
      </c>
      <c r="D2" s="1986" t="s">
        <v>70</v>
      </c>
      <c r="E2" s="1280"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5201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388610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388610</v>
      </c>
      <c r="D8" s="228"/>
      <c r="E8" s="226"/>
      <c r="F8" s="227"/>
      <c r="G8" s="1989"/>
    </row>
    <row r="9" spans="1:8" s="220" customFormat="1" ht="13.5" customHeight="1">
      <c r="A9" s="865" t="s">
        <v>619</v>
      </c>
      <c r="B9" s="230" t="s">
        <v>1923</v>
      </c>
      <c r="C9" s="231">
        <f ca="1">ROUND(D9*E9,0)</f>
        <v>0</v>
      </c>
      <c r="D9" s="932">
        <f ca="1">IF(B1="",'数据-汇总表'!E5,IF(INDIRECT("'数据-取费表'!c"&amp;$G$1)="住宅",INDIRECT("'数据-取费表'!k"&amp;$G$1),0))</f>
        <v>30117.4</v>
      </c>
      <c r="E9" s="231">
        <f>'数据-取费表'!B27</f>
        <v>0</v>
      </c>
      <c r="F9" s="227"/>
      <c r="G9" s="232"/>
    </row>
    <row r="10" spans="1:8" s="220" customFormat="1" ht="13.5" customHeight="1">
      <c r="A10" s="865" t="s">
        <v>620</v>
      </c>
      <c r="B10" s="230" t="s">
        <v>1925</v>
      </c>
      <c r="C10" s="231">
        <f ca="1">ROUND(D10*E10,0)</f>
        <v>388610</v>
      </c>
      <c r="D10" s="932">
        <f ca="1">IF(B1="",'数据-汇总表'!E6,IF(INDIRECT("'数据-取费表'!c"&amp;$G$1)="住宅",INDIRECT("'数据-取费表'!s"&amp;$G$1),INDIRECT("'数据-取费表'!k"&amp;$G$1)+INDIRECT("'数据-取费表'!s"&amp;$G$1)))</f>
        <v>1943.0499999999993</v>
      </c>
      <c r="E10" s="231">
        <f>'数据-取费表'!B28</f>
        <v>200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6412090</v>
      </c>
      <c r="D19" s="936">
        <f ca="1">D9+D10</f>
        <v>32060.45</v>
      </c>
      <c r="E19" s="217">
        <f>'数据-取费表'!B31</f>
        <v>200</v>
      </c>
      <c r="F19" s="237"/>
      <c r="G19" s="1989"/>
    </row>
    <row r="20" spans="1:7" s="220" customFormat="1" ht="13.5" customHeight="1">
      <c r="A20" s="261" t="s">
        <v>2019</v>
      </c>
      <c r="B20" s="216" t="s">
        <v>2020</v>
      </c>
      <c r="C20" s="238">
        <f ca="1">ROUND((C5+C19)*F20,0)</f>
        <v>136014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8">
        <f ca="1">ROUND(SUM(C23:C25),0)</f>
        <v>581816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6" t="s">
        <v>1917</v>
      </c>
      <c r="B23" s="221" t="s">
        <v>2028</v>
      </c>
      <c r="C23" s="1239">
        <f ca="1">ROUND(IF('数据-取费表'!B22&lt;=1,C5*F22*'数据-取费表'!B22,C5*(POWER((1+F22),'数据-取费表'!B22)-1)),0)</f>
        <v>32924</v>
      </c>
      <c r="D23" s="244"/>
      <c r="E23" s="244"/>
      <c r="F23" s="245"/>
      <c r="G23" s="246" t="s">
        <v>2029</v>
      </c>
    </row>
    <row r="24" spans="1:7" s="220" customFormat="1" ht="13.5" customHeight="1">
      <c r="A24" s="866" t="s">
        <v>1919</v>
      </c>
      <c r="B24" s="221" t="s">
        <v>2030</v>
      </c>
      <c r="C24" s="1239">
        <f ca="1">ROUND(IF('数据-取费表'!B22&lt;=1,C19*F22*('数据-取费表'!B19/2+'数据-取费表'!B20),C19*(POWER((1+F22),('数据-取费表'!B19/2+'数据-取费表'!B20))-1)),0)</f>
        <v>543247</v>
      </c>
      <c r="D24" s="244"/>
      <c r="E24" s="244"/>
      <c r="F24" s="245"/>
      <c r="G24" s="246" t="s">
        <v>2031</v>
      </c>
    </row>
    <row r="25" spans="1:7" s="220" customFormat="1" ht="24">
      <c r="A25" s="866" t="s">
        <v>1921</v>
      </c>
      <c r="B25" s="221" t="s">
        <v>2032</v>
      </c>
      <c r="C25" s="1239">
        <f ca="1">ROUND(IF('数据-取费表'!B22&lt;=1,C20*F22*'数据-取费表'!B22/2,C20*(POWER((1+F22),'数据-取费表'!B22/2)-1)),0)</f>
        <v>5645</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971140</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ROUND((C5+C19+C20)*F27,0)</f>
        <v>971140</v>
      </c>
      <c r="D28" s="241"/>
      <c r="E28" s="242"/>
      <c r="F28" s="252"/>
      <c r="G28" s="253"/>
    </row>
    <row r="29" spans="1:7" s="220" customFormat="1" ht="13.5" customHeight="1">
      <c r="A29" s="866" t="s">
        <v>611</v>
      </c>
      <c r="B29" s="254" t="s">
        <v>1962</v>
      </c>
      <c r="C29" s="244">
        <f ca="1">ROUND(C21*F27,4)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9196913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160907041</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141357450</v>
      </c>
      <c r="D34" s="223"/>
      <c r="E34" s="226"/>
      <c r="F34" s="263"/>
      <c r="G34" s="225"/>
    </row>
    <row r="35" spans="1:7" ht="13.5" customHeight="1">
      <c r="A35" s="866" t="s">
        <v>615</v>
      </c>
      <c r="B35" s="221" t="s">
        <v>1972</v>
      </c>
      <c r="C35" s="226">
        <f ca="1">ROUND(C34*F35,0)</f>
        <v>4240724</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6776415</v>
      </c>
      <c r="D36" s="226"/>
      <c r="E36" s="226"/>
      <c r="F36" s="265">
        <f>'数据-取费表'!B34</f>
        <v>0.05</v>
      </c>
      <c r="G36" s="266" t="s">
        <v>1975</v>
      </c>
    </row>
    <row r="37" spans="1:7" s="264" customFormat="1" ht="13.5" customHeight="1">
      <c r="A37" s="866" t="s">
        <v>617</v>
      </c>
      <c r="B37" s="221" t="s">
        <v>1976</v>
      </c>
      <c r="C37" s="255">
        <f ca="1">ROUND(E37*D37,0)</f>
        <v>6412090</v>
      </c>
      <c r="D37" s="223">
        <f ca="1">D19</f>
        <v>32060.45</v>
      </c>
      <c r="E37" s="255">
        <f>'数据-取费表'!B35</f>
        <v>200</v>
      </c>
      <c r="F37" s="265"/>
      <c r="G37" s="267"/>
    </row>
    <row r="38" spans="1:7" ht="13.5" customHeight="1">
      <c r="A38" s="866" t="s">
        <v>618</v>
      </c>
      <c r="B38" s="221" t="s">
        <v>1978</v>
      </c>
      <c r="C38" s="226">
        <f ca="1">ROUND(C34*F38,0)</f>
        <v>2120362</v>
      </c>
      <c r="D38" s="226"/>
      <c r="E38" s="226"/>
      <c r="F38" s="265">
        <f>'数据-取费表'!B36</f>
        <v>1.4999999999999999E-2</v>
      </c>
      <c r="G38" s="225" t="s">
        <v>1973</v>
      </c>
    </row>
    <row r="39" spans="1:7" s="220" customFormat="1" ht="13.5" customHeight="1">
      <c r="A39" s="261" t="s">
        <v>1979</v>
      </c>
      <c r="B39" s="216" t="s">
        <v>1980</v>
      </c>
      <c r="C39" s="238">
        <f ca="1">ROUND(C33*F20,0)</f>
        <v>3218141</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6811195</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6677642</v>
      </c>
      <c r="D42" s="244"/>
      <c r="E42" s="244"/>
      <c r="F42" s="245"/>
      <c r="G42" s="3666" t="s">
        <v>2036</v>
      </c>
    </row>
    <row r="43" spans="1:7" ht="13.5" customHeight="1">
      <c r="A43" s="866" t="s">
        <v>611</v>
      </c>
      <c r="B43" s="221" t="s">
        <v>1990</v>
      </c>
      <c r="C43" s="244">
        <f ca="1">ROUND(IF('数据-取费表'!B22&lt;=1,C39*F22*'数据-取费表'!B20/2,C39*(POWER((1+F22),'数据-取费表'!B20/2)-1)),0)</f>
        <v>133553</v>
      </c>
      <c r="D43" s="244"/>
      <c r="E43" s="244"/>
      <c r="F43" s="245"/>
      <c r="G43" s="3667"/>
    </row>
    <row r="44" spans="1:7" ht="13.5" customHeight="1">
      <c r="A44" s="866" t="s">
        <v>612</v>
      </c>
      <c r="B44" s="221" t="s">
        <v>1991</v>
      </c>
      <c r="C44" s="244">
        <f ca="1">ROUND(IF('数据-取费表'!B22&lt;=1,C40*F22*'数据-取费表'!B20/2,C40*(POWER((1+F22),'数据-取费表'!B20/2)-1)),4)</f>
        <v>8.0000000000000004E-4</v>
      </c>
      <c r="D44" s="244"/>
      <c r="E44" s="244"/>
      <c r="F44" s="245"/>
      <c r="G44" s="3668"/>
    </row>
    <row r="45" spans="1:7" s="220" customFormat="1" ht="13.5" customHeight="1">
      <c r="A45" s="261" t="s">
        <v>1992</v>
      </c>
      <c r="B45" s="250" t="s">
        <v>1958</v>
      </c>
      <c r="C45" s="251">
        <f ca="1">C46</f>
        <v>22977525</v>
      </c>
      <c r="D45" s="241">
        <f ca="1">C47</f>
        <v>2.8E-3</v>
      </c>
      <c r="E45" s="242" t="s">
        <v>1984</v>
      </c>
      <c r="F45" s="2483">
        <f ca="1">F27</f>
        <v>0.14000000000000001</v>
      </c>
      <c r="G45" s="253" t="s">
        <v>1993</v>
      </c>
    </row>
    <row r="46" spans="1:7" s="220" customFormat="1" ht="13.5" customHeight="1">
      <c r="A46" s="866" t="s">
        <v>610</v>
      </c>
      <c r="B46" s="254" t="s">
        <v>1994</v>
      </c>
      <c r="C46" s="255">
        <f ca="1">ROUND((C33+C39)*F27,0)</f>
        <v>22977525</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268">
        <f>ROUND(F30/(1+'数据-取费表'!C42),4)</f>
        <v>5.33E-2</v>
      </c>
      <c r="D48" s="242" t="s">
        <v>1984</v>
      </c>
      <c r="E48" s="238"/>
      <c r="F48" s="2482">
        <f>F30</f>
        <v>5.6000000000000001E-2</v>
      </c>
      <c r="G48" s="240" t="s">
        <v>1997</v>
      </c>
    </row>
    <row r="49" spans="1:7" ht="16.5" customHeight="1">
      <c r="A49" s="261" t="s">
        <v>1963</v>
      </c>
      <c r="B49" s="216" t="s">
        <v>2037</v>
      </c>
      <c r="C49" s="238">
        <f ca="1">ROUND((C33+C39+C41+C45)/(1-C40-D41-D45-C48),0)</f>
        <v>210068142</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157551107</v>
      </c>
      <c r="D51" s="238"/>
      <c r="E51" s="238"/>
      <c r="F51" s="270"/>
      <c r="G51" s="240" t="s">
        <v>2005</v>
      </c>
    </row>
    <row r="52" spans="1:7" s="214" customFormat="1" ht="16.5" thickBot="1">
      <c r="A52" s="271" t="s">
        <v>2006</v>
      </c>
      <c r="B52" s="272"/>
      <c r="C52" s="273">
        <f ca="1">C31+C51</f>
        <v>166748020</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2"/>
      <c r="C1" s="1303"/>
      <c r="D1" s="1301"/>
      <c r="E1" s="2982"/>
      <c r="F1" s="2982"/>
      <c r="G1" s="2845"/>
      <c r="H1" s="2982"/>
      <c r="I1" s="2982"/>
      <c r="J1" s="2982"/>
      <c r="K1" s="2983">
        <f>MATCH(C1,'数据-取费表'!A6:A16,0)+5</f>
        <v>8</v>
      </c>
    </row>
    <row r="2" spans="1:33" ht="18" customHeight="1">
      <c r="A2" s="207" t="s">
        <v>1907</v>
      </c>
      <c r="B2" s="210">
        <f ca="1">C32</f>
        <v>-45</v>
      </c>
      <c r="C2" s="282" t="s">
        <v>2040</v>
      </c>
      <c r="D2" s="282"/>
      <c r="E2" s="2982"/>
      <c r="F2" s="2982"/>
      <c r="G2" s="2982"/>
      <c r="H2" s="2982"/>
      <c r="I2" s="2982"/>
      <c r="J2" s="2982"/>
      <c r="K2" s="2982"/>
    </row>
    <row r="3" spans="1:33" ht="18" customHeight="1" thickBot="1">
      <c r="A3" s="209" t="s">
        <v>1909</v>
      </c>
      <c r="B3" s="210">
        <f ca="1">ROUND(B2*10000/IF(C1="",'数据-汇总表'!E3,INDIRECT("'数据-取费表'!K"&amp;$K$1)),0)</f>
        <v>-14</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3" t="s">
        <v>2045</v>
      </c>
      <c r="D5" s="1993" t="s">
        <v>2046</v>
      </c>
      <c r="E5" s="1993" t="s">
        <v>2047</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1943.05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0.05</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32060.45</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32060.45</v>
      </c>
      <c r="E17" s="24">
        <f>'数据-取费表'!B32</f>
        <v>0</v>
      </c>
      <c r="F17" s="893"/>
      <c r="G17" s="136" t="s">
        <v>2071</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39</v>
      </c>
      <c r="D18" s="933"/>
      <c r="E18" s="24"/>
      <c r="F18" s="891"/>
      <c r="G18" s="1995"/>
      <c r="H18" s="1298"/>
      <c r="I18" s="1996"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30117.4</v>
      </c>
      <c r="E19" s="24">
        <f>'数据-取费表'!B27</f>
        <v>0</v>
      </c>
      <c r="F19" s="891"/>
      <c r="G19" s="15"/>
      <c r="H19" s="1300"/>
      <c r="I19" s="896"/>
      <c r="J19" s="896"/>
      <c r="K19" s="897"/>
    </row>
    <row r="20" spans="1:33" s="890" customFormat="1" ht="13.5" customHeight="1">
      <c r="A20" s="886" t="s">
        <v>625</v>
      </c>
      <c r="B20" s="887" t="s">
        <v>2075</v>
      </c>
      <c r="C20" s="24">
        <f ca="1">ROUND(D20*E20/10000,0)</f>
        <v>39</v>
      </c>
      <c r="D20" s="933">
        <f ca="1">IF(C1="",'数据-汇总表'!E6,IF(INDIRECT("'数据-取费表'!c"&amp;$K$1)="住宅",INDIRECT("'数据-取费表'!s"&amp;$K$1),INDIRECT("'数据-取费表'!k"&amp;$K$1)+INDIRECT("'数据-取费表'!s"&amp;$K$1)))</f>
        <v>1943.0499999999993</v>
      </c>
      <c r="E20" s="24">
        <f>'数据-取费表'!B28</f>
        <v>200</v>
      </c>
      <c r="F20" s="891"/>
      <c r="G20" s="15"/>
      <c r="H20" s="896"/>
      <c r="I20" s="896"/>
      <c r="J20" s="896"/>
      <c r="K20" s="897"/>
    </row>
    <row r="21" spans="1:33" s="890" customFormat="1" ht="13.5" customHeight="1">
      <c r="A21" s="876" t="s">
        <v>621</v>
      </c>
      <c r="B21" s="900" t="s">
        <v>2076</v>
      </c>
      <c r="C21" s="901">
        <f ca="1">C16+C17+C18</f>
        <v>39</v>
      </c>
      <c r="D21" s="902"/>
      <c r="E21" s="287"/>
      <c r="F21" s="287"/>
      <c r="G21" s="136" t="s">
        <v>2077</v>
      </c>
      <c r="H21" s="894"/>
      <c r="I21" s="894"/>
      <c r="J21" s="894"/>
      <c r="K21" s="895"/>
    </row>
    <row r="22" spans="1:33" s="890" customFormat="1" ht="13.5" customHeight="1">
      <c r="A22" s="876" t="s">
        <v>2049</v>
      </c>
      <c r="B22" s="900" t="s">
        <v>2078</v>
      </c>
      <c r="C22" s="901">
        <f ca="1">ROUND(C21*F22,0)</f>
        <v>1</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5">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6">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7">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2089</v>
      </c>
      <c r="B28" s="1998" t="s">
        <v>2090</v>
      </c>
      <c r="C28" s="293">
        <f ca="1">C30</f>
        <v>6</v>
      </c>
      <c r="D28" s="286">
        <f ca="1">C29</f>
        <v>0</v>
      </c>
      <c r="E28" s="288" t="s">
        <v>15</v>
      </c>
      <c r="F28" s="294">
        <f ca="1">IF(C1="",'数据-取费表'!Q16,INDIRECT("'数据-取费表'!q"&amp;$K$1))</f>
        <v>0.14000000000000001</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6</v>
      </c>
      <c r="D30" s="290"/>
      <c r="E30" s="291"/>
      <c r="F30" s="296"/>
      <c r="G30" s="136"/>
      <c r="H30" s="894"/>
      <c r="I30" s="894"/>
      <c r="J30" s="894"/>
      <c r="K30" s="895"/>
    </row>
    <row r="31" spans="1:33" s="890" customFormat="1" ht="13.5" customHeight="1" thickBot="1">
      <c r="A31" s="1999"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-45</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90" zoomScaleNormal="60" zoomScaleSheetLayoutView="90" workbookViewId="0">
      <selection activeCell="B37" sqref="B37"/>
    </sheetView>
  </sheetViews>
  <sheetFormatPr defaultColWidth="9" defaultRowHeight="14.25"/>
  <cols>
    <col min="1" max="1" width="10.5" style="363" customWidth="1"/>
    <col min="2" max="2" width="15.75" style="363" customWidth="1"/>
    <col min="3" max="3" width="17.125" style="363" customWidth="1"/>
    <col min="4" max="4" width="12.25" style="363" customWidth="1"/>
    <col min="5" max="5" width="19" style="363" customWidth="1"/>
    <col min="6" max="6" width="12.25" style="363" customWidth="1"/>
    <col min="7" max="7" width="18.375" style="363" customWidth="1"/>
    <col min="8" max="8" width="12.25" style="363" customWidth="1"/>
    <col min="9" max="9" width="19.12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2109</v>
      </c>
      <c r="C1" s="1355" t="s">
        <v>2110</v>
      </c>
      <c r="D1" s="1342" t="s">
        <v>3205</v>
      </c>
      <c r="E1" s="2490"/>
      <c r="F1" s="2012" t="s">
        <v>2111</v>
      </c>
      <c r="G1" s="1352" t="s">
        <v>2112</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3" customFormat="1" ht="28.5" customHeight="1" thickTop="1">
      <c r="A2" s="1338" t="s">
        <v>1118</v>
      </c>
      <c r="B2" s="1275">
        <f>IF(C2="——",ROUND(C49*D3/10000,0),ROUND(C49*D3/10000,0)-D2)</f>
        <v>178897</v>
      </c>
      <c r="C2" s="2014" t="s">
        <v>70</v>
      </c>
      <c r="D2" s="1224" t="e">
        <f ca="1">SUMIF(INDIRECT("'"&amp;F2&amp;"'"&amp;"!A:A"),"承租人权益价值",INDIRECT("'"&amp;F2&amp;"'"&amp;"!c:c"))</f>
        <v>#REF!</v>
      </c>
      <c r="E2" s="2015" t="s">
        <v>2113</v>
      </c>
      <c r="F2" s="2016"/>
      <c r="G2" s="1016"/>
      <c r="H2" s="1016"/>
      <c r="I2" s="1016"/>
      <c r="J2" s="1016"/>
      <c r="K2" s="2017"/>
      <c r="L2" s="2887"/>
      <c r="M2" s="2888"/>
      <c r="N2" s="2888"/>
      <c r="O2" s="2888"/>
      <c r="P2" s="2018"/>
      <c r="Q2" s="2019"/>
      <c r="R2" s="2019"/>
      <c r="S2" s="2019"/>
      <c r="T2" s="2019"/>
      <c r="U2" s="2019"/>
      <c r="V2" s="2019"/>
      <c r="W2" s="2019"/>
      <c r="X2" s="2019"/>
      <c r="Y2" s="2019"/>
      <c r="Z2" s="2019"/>
      <c r="AA2" s="2019"/>
      <c r="AB2" s="2019"/>
      <c r="AC2" s="2020"/>
    </row>
    <row r="3" spans="1:29" s="353" customFormat="1" ht="28.5" customHeight="1" thickBot="1">
      <c r="A3" s="209" t="s">
        <v>1119</v>
      </c>
      <c r="B3" s="359">
        <f>IF(C2="——",C49,ROUND(B2*10000/D3,0))</f>
        <v>59400</v>
      </c>
      <c r="C3" s="360" t="s">
        <v>2114</v>
      </c>
      <c r="D3" s="359">
        <f>IF(D1="",'数据-汇总表'!E3,SUMIF('数据-汇总表'!$C19:$C33,D1,'数据-汇总表'!$E19:$E33))</f>
        <v>30117.4</v>
      </c>
      <c r="E3" s="1016"/>
      <c r="F3" s="2021"/>
      <c r="G3" s="1016"/>
      <c r="H3" s="1016"/>
      <c r="I3" s="1016"/>
      <c r="J3" s="1016"/>
      <c r="K3" s="2017"/>
      <c r="L3" s="2887"/>
      <c r="M3" s="2888"/>
      <c r="N3" s="2888"/>
      <c r="O3" s="2888"/>
      <c r="P3" s="2018"/>
      <c r="Q3" s="2019"/>
      <c r="R3" s="2019"/>
      <c r="S3" s="2019"/>
      <c r="T3" s="2019"/>
      <c r="U3" s="2019"/>
      <c r="V3" s="2019"/>
      <c r="W3" s="2019"/>
      <c r="X3" s="2019"/>
      <c r="Y3" s="2019"/>
      <c r="Z3" s="2019"/>
      <c r="AA3" s="2019"/>
      <c r="AB3" s="2019"/>
      <c r="AC3" s="1169"/>
    </row>
    <row r="4" spans="1:29" ht="15">
      <c r="A4" s="361" t="s">
        <v>2115</v>
      </c>
      <c r="B4" s="362"/>
      <c r="C4" s="3687" t="s">
        <v>2116</v>
      </c>
      <c r="D4" s="3688"/>
      <c r="E4" s="3689" t="s">
        <v>2117</v>
      </c>
      <c r="F4" s="3690"/>
      <c r="G4" s="3687" t="s">
        <v>2118</v>
      </c>
      <c r="H4" s="3688"/>
      <c r="I4" s="3687" t="s">
        <v>2119</v>
      </c>
      <c r="J4" s="3688"/>
      <c r="K4" s="2022" t="s">
        <v>2120</v>
      </c>
      <c r="L4" s="2889"/>
      <c r="M4" s="2890"/>
      <c r="N4" s="2890"/>
      <c r="O4" s="2890"/>
      <c r="P4" s="3691" t="s">
        <v>2121</v>
      </c>
      <c r="Q4" s="3692"/>
      <c r="R4" s="3674" t="s">
        <v>2117</v>
      </c>
      <c r="S4" s="3675"/>
      <c r="T4" s="3674" t="s">
        <v>2118</v>
      </c>
      <c r="U4" s="3675"/>
      <c r="V4" s="3699" t="s">
        <v>2119</v>
      </c>
      <c r="W4" s="3699"/>
      <c r="X4" s="1486"/>
      <c r="Y4" s="3674" t="s">
        <v>2121</v>
      </c>
      <c r="Z4" s="3675"/>
      <c r="AA4" s="3669" t="s">
        <v>2117</v>
      </c>
      <c r="AB4" s="3669" t="s">
        <v>2118</v>
      </c>
      <c r="AC4" s="3669" t="s">
        <v>2119</v>
      </c>
    </row>
    <row r="5" spans="1:29" ht="15">
      <c r="A5" s="364"/>
      <c r="B5" s="365"/>
      <c r="C5" s="3680" t="s">
        <v>2122</v>
      </c>
      <c r="D5" s="3681"/>
      <c r="E5" s="3678" t="str">
        <f>市场案例!E153</f>
        <v>星城国际</v>
      </c>
      <c r="F5" s="3679"/>
      <c r="G5" s="3680" t="str">
        <f>市场案例!E151</f>
        <v>宏源公寓</v>
      </c>
      <c r="H5" s="3681"/>
      <c r="I5" s="3680" t="str">
        <f>市场案例!E152</f>
        <v>宏源公寓</v>
      </c>
      <c r="J5" s="3681"/>
      <c r="K5" s="2023"/>
      <c r="L5" s="2889"/>
      <c r="M5" s="2890"/>
      <c r="N5" s="2890"/>
      <c r="O5" s="2890"/>
      <c r="P5" s="3693"/>
      <c r="Q5" s="3694"/>
      <c r="R5" s="3676"/>
      <c r="S5" s="3677"/>
      <c r="T5" s="3676"/>
      <c r="U5" s="3677"/>
      <c r="V5" s="3699"/>
      <c r="W5" s="3699"/>
      <c r="X5" s="1486"/>
      <c r="Y5" s="3676"/>
      <c r="Z5" s="3677"/>
      <c r="AA5" s="3670"/>
      <c r="AB5" s="3670"/>
      <c r="AC5" s="3670"/>
    </row>
    <row r="6" spans="1:29" ht="15.75" thickBot="1">
      <c r="A6" s="366"/>
      <c r="B6" s="367"/>
      <c r="C6" s="3682" t="s">
        <v>2126</v>
      </c>
      <c r="D6" s="3683"/>
      <c r="E6" s="3684" t="s">
        <v>2126</v>
      </c>
      <c r="F6" s="3685"/>
      <c r="G6" s="3682" t="s">
        <v>2126</v>
      </c>
      <c r="H6" s="3683"/>
      <c r="I6" s="3682" t="s">
        <v>2126</v>
      </c>
      <c r="J6" s="3683"/>
      <c r="K6" s="2023" t="s">
        <v>2127</v>
      </c>
      <c r="L6" s="2889"/>
      <c r="M6" s="2890"/>
      <c r="N6" s="2890"/>
      <c r="O6" s="2890"/>
      <c r="P6" s="3695"/>
      <c r="Q6" s="3696"/>
      <c r="R6" s="3676"/>
      <c r="S6" s="3677"/>
      <c r="T6" s="3697"/>
      <c r="U6" s="3698"/>
      <c r="V6" s="3699"/>
      <c r="W6" s="3699"/>
      <c r="X6" s="1486"/>
      <c r="Y6" s="3697"/>
      <c r="Z6" s="3698"/>
      <c r="AA6" s="3671"/>
      <c r="AB6" s="3671"/>
      <c r="AC6" s="3671"/>
    </row>
    <row r="7" spans="1:29" s="113" customFormat="1" ht="15.75" thickBot="1">
      <c r="A7" s="368" t="s">
        <v>2128</v>
      </c>
      <c r="B7" s="369"/>
      <c r="C7" s="370">
        <f>'数据-取费表'!B2</f>
        <v>44901</v>
      </c>
      <c r="D7" s="371">
        <v>100</v>
      </c>
      <c r="E7" s="372">
        <f>C7</f>
        <v>44901</v>
      </c>
      <c r="F7" s="373">
        <f>SUMIF(58:58,YEAR(E7)&amp;"-"&amp;MONTH(E7),59:59)</f>
        <v>100</v>
      </c>
      <c r="G7" s="372">
        <f>C7</f>
        <v>44901</v>
      </c>
      <c r="H7" s="371">
        <f>SUMIF(58:58,YEAR(G7)&amp;"-"&amp;MONTH(G7),59:59)</f>
        <v>100</v>
      </c>
      <c r="I7" s="372">
        <f>C7</f>
        <v>44901</v>
      </c>
      <c r="J7" s="371">
        <f>SUMIF(58:58,YEAR(I7)&amp;"-"&amp;MONTH(I7),59:59)</f>
        <v>100</v>
      </c>
      <c r="K7" s="2024"/>
      <c r="L7" s="2891"/>
      <c r="M7" s="2892"/>
      <c r="N7" s="2892"/>
      <c r="O7" s="2892"/>
      <c r="P7" s="3672" t="s">
        <v>2129</v>
      </c>
      <c r="Q7" s="3700"/>
      <c r="R7" s="707" t="s">
        <v>23</v>
      </c>
      <c r="S7" s="708">
        <f t="shared" ref="S7:S15" si="0">F7</f>
        <v>100</v>
      </c>
      <c r="T7" s="707" t="s">
        <v>23</v>
      </c>
      <c r="U7" s="708">
        <f t="shared" ref="U7:U15" si="1">H7</f>
        <v>100</v>
      </c>
      <c r="V7" s="707" t="s">
        <v>23</v>
      </c>
      <c r="W7" s="708">
        <f t="shared" ref="W7:W15" si="2">J7</f>
        <v>100</v>
      </c>
      <c r="X7" s="709"/>
      <c r="Y7" s="3672" t="s">
        <v>2129</v>
      </c>
      <c r="Z7" s="3673"/>
      <c r="AA7" s="710">
        <f>D7/F7</f>
        <v>1</v>
      </c>
      <c r="AB7" s="710">
        <f>D7/H7</f>
        <v>1</v>
      </c>
      <c r="AC7" s="710">
        <f>D7/J7</f>
        <v>1</v>
      </c>
    </row>
    <row r="8" spans="1:29" s="113" customFormat="1" ht="15.75" thickBot="1">
      <c r="A8" s="368" t="s">
        <v>2130</v>
      </c>
      <c r="B8" s="369"/>
      <c r="C8" s="374" t="s">
        <v>2131</v>
      </c>
      <c r="D8" s="371">
        <v>100</v>
      </c>
      <c r="E8" s="3269" t="s">
        <v>3672</v>
      </c>
      <c r="F8" s="373">
        <f>SUMIF(61:61,E8,62:62)-SUMIF(61:61,C8,62:62)+100</f>
        <v>100</v>
      </c>
      <c r="G8" s="3270" t="s">
        <v>3672</v>
      </c>
      <c r="H8" s="371">
        <f>SUMIF(61:61,G8,62:62)-SUMIF(61:61,C8,62:62)+100</f>
        <v>100</v>
      </c>
      <c r="I8" s="3269" t="s">
        <v>3673</v>
      </c>
      <c r="J8" s="371">
        <f>SUMIF(61:61,I8,62:62)-SUMIF(61:61,C8,62:62)+100</f>
        <v>100</v>
      </c>
      <c r="K8" s="2024"/>
      <c r="L8" s="2891"/>
      <c r="M8" s="2892"/>
      <c r="N8" s="2892"/>
      <c r="O8" s="2892"/>
      <c r="P8" s="3672" t="s">
        <v>2132</v>
      </c>
      <c r="Q8" s="3673"/>
      <c r="R8" s="707" t="s">
        <v>23</v>
      </c>
      <c r="S8" s="708">
        <f t="shared" si="0"/>
        <v>100</v>
      </c>
      <c r="T8" s="707" t="s">
        <v>23</v>
      </c>
      <c r="U8" s="708">
        <f t="shared" si="1"/>
        <v>100</v>
      </c>
      <c r="V8" s="707" t="s">
        <v>23</v>
      </c>
      <c r="W8" s="708">
        <f t="shared" si="2"/>
        <v>100</v>
      </c>
      <c r="X8" s="709"/>
      <c r="Y8" s="3672" t="s">
        <v>2132</v>
      </c>
      <c r="Z8" s="3673"/>
      <c r="AA8" s="710">
        <f t="shared" ref="AA8:AA19" si="3">D8/F8</f>
        <v>1</v>
      </c>
      <c r="AB8" s="710">
        <f t="shared" ref="AB8:AB19" si="4">D8/H8</f>
        <v>1</v>
      </c>
      <c r="AC8" s="710">
        <f t="shared" ref="AC8:AC19" si="5">D8/J8</f>
        <v>1</v>
      </c>
    </row>
    <row r="9" spans="1:29" s="113" customFormat="1">
      <c r="A9" s="375" t="s">
        <v>2133</v>
      </c>
      <c r="B9" s="67" t="s">
        <v>2134</v>
      </c>
      <c r="C9" s="3461" t="s">
        <v>4004</v>
      </c>
      <c r="D9" s="131">
        <v>100</v>
      </c>
      <c r="E9" s="3462" t="s">
        <v>4004</v>
      </c>
      <c r="F9" s="378">
        <f>SUMIF(63:63,E9,64:64)-SUMIF(63:63,C9,64:64)+100</f>
        <v>100</v>
      </c>
      <c r="G9" s="3463" t="s">
        <v>4004</v>
      </c>
      <c r="H9" s="131">
        <f>SUMIF(63:63,G9,64:64)-SUMIF(63:63,C9,64:64)+100</f>
        <v>100</v>
      </c>
      <c r="I9" s="3463" t="s">
        <v>4004</v>
      </c>
      <c r="J9" s="131">
        <f>SUMIF(63:63,I9,64:64)-SUMIF(63:63,C9,64:64)+100</f>
        <v>100</v>
      </c>
      <c r="K9" s="2024"/>
      <c r="L9" s="2891"/>
      <c r="M9" s="2892"/>
      <c r="N9" s="2892"/>
      <c r="O9" s="2892"/>
      <c r="P9" s="3686"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710">
        <f t="shared" si="5"/>
        <v>1</v>
      </c>
    </row>
    <row r="10" spans="1:29" s="386" customFormat="1" ht="27">
      <c r="A10" s="380"/>
      <c r="B10" s="3473" t="s">
        <v>2137</v>
      </c>
      <c r="C10" s="382" t="s">
        <v>4003</v>
      </c>
      <c r="D10" s="132">
        <v>100</v>
      </c>
      <c r="E10" s="383" t="s">
        <v>4003</v>
      </c>
      <c r="F10" s="384">
        <f>SUMIF(65:65,E10,66:66)-SUMIF(65:65,C10,66:66)+100</f>
        <v>100</v>
      </c>
      <c r="G10" s="382" t="s">
        <v>4003</v>
      </c>
      <c r="H10" s="132">
        <f>SUMIF(65:65,G10,66:66)-SUMIF(65:65,C10,66:66)+100</f>
        <v>100</v>
      </c>
      <c r="I10" s="382" t="s">
        <v>4003</v>
      </c>
      <c r="J10" s="132">
        <f>SUMIF(65:65,I10,66:66)-SUMIF(65:65,C10,66:66)+100</f>
        <v>100</v>
      </c>
      <c r="K10" s="385"/>
      <c r="L10" s="2893"/>
      <c r="M10" s="2894"/>
      <c r="N10" s="2894"/>
      <c r="O10" s="2894"/>
      <c r="P10" s="3686"/>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710">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385"/>
      <c r="L11" s="2895"/>
      <c r="M11" s="2890"/>
      <c r="N11" s="2890"/>
      <c r="O11" s="2890"/>
      <c r="P11" s="3686"/>
      <c r="Q11" s="1474" t="str">
        <f t="shared" si="6"/>
        <v>容积率</v>
      </c>
      <c r="R11" s="707" t="s">
        <v>21</v>
      </c>
      <c r="S11" s="708">
        <f t="shared" si="0"/>
        <v>100</v>
      </c>
      <c r="T11" s="707" t="s">
        <v>21</v>
      </c>
      <c r="U11" s="708">
        <f t="shared" si="1"/>
        <v>100</v>
      </c>
      <c r="V11" s="707" t="s">
        <v>21</v>
      </c>
      <c r="W11" s="708">
        <f t="shared" si="2"/>
        <v>100</v>
      </c>
      <c r="X11" s="709"/>
      <c r="Y11" s="3642"/>
      <c r="Z11" s="55" t="str">
        <f t="shared" si="7"/>
        <v>容积率</v>
      </c>
      <c r="AA11" s="710">
        <f t="shared" si="3"/>
        <v>1</v>
      </c>
      <c r="AB11" s="710">
        <f t="shared" si="4"/>
        <v>1</v>
      </c>
      <c r="AC11" s="710">
        <f t="shared" si="5"/>
        <v>1</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1"/>
      <c r="M12" s="2892"/>
      <c r="N12" s="2892"/>
      <c r="O12" s="2892"/>
      <c r="P12" s="3686"/>
      <c r="Q12" s="1474">
        <f t="shared" si="6"/>
        <v>111</v>
      </c>
      <c r="R12" s="707" t="s">
        <v>21</v>
      </c>
      <c r="S12" s="708">
        <f t="shared" si="0"/>
        <v>100</v>
      </c>
      <c r="T12" s="707" t="s">
        <v>21</v>
      </c>
      <c r="U12" s="708">
        <f t="shared" si="1"/>
        <v>100</v>
      </c>
      <c r="V12" s="707" t="s">
        <v>21</v>
      </c>
      <c r="W12" s="708">
        <f t="shared" si="2"/>
        <v>100</v>
      </c>
      <c r="X12" s="709"/>
      <c r="Y12" s="3642"/>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6"/>
      <c r="M13" s="2890"/>
      <c r="N13" s="2890"/>
      <c r="O13" s="2890"/>
      <c r="P13" s="3686"/>
      <c r="Q13" s="1474">
        <f t="shared" si="6"/>
        <v>111</v>
      </c>
      <c r="R13" s="707" t="s">
        <v>21</v>
      </c>
      <c r="S13" s="708">
        <f t="shared" si="0"/>
        <v>100</v>
      </c>
      <c r="T13" s="707" t="s">
        <v>21</v>
      </c>
      <c r="U13" s="708">
        <f t="shared" si="1"/>
        <v>100</v>
      </c>
      <c r="V13" s="707" t="s">
        <v>21</v>
      </c>
      <c r="W13" s="708">
        <f t="shared" si="2"/>
        <v>100</v>
      </c>
      <c r="X13" s="709"/>
      <c r="Y13" s="3642"/>
      <c r="Z13" s="55">
        <f t="shared" si="7"/>
        <v>111</v>
      </c>
      <c r="AA13" s="710">
        <f t="shared" si="3"/>
        <v>1</v>
      </c>
      <c r="AB13" s="710">
        <f t="shared" si="4"/>
        <v>1</v>
      </c>
      <c r="AC13" s="710">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6"/>
      <c r="M14" s="2890"/>
      <c r="N14" s="2890"/>
      <c r="O14" s="2890"/>
      <c r="P14" s="3686"/>
      <c r="Q14" s="1474">
        <f t="shared" si="6"/>
        <v>111</v>
      </c>
      <c r="R14" s="707" t="s">
        <v>21</v>
      </c>
      <c r="S14" s="708">
        <f t="shared" si="0"/>
        <v>100</v>
      </c>
      <c r="T14" s="707" t="s">
        <v>21</v>
      </c>
      <c r="U14" s="708">
        <f t="shared" si="1"/>
        <v>100</v>
      </c>
      <c r="V14" s="707" t="s">
        <v>21</v>
      </c>
      <c r="W14" s="708">
        <f t="shared" si="2"/>
        <v>100</v>
      </c>
      <c r="X14" s="709"/>
      <c r="Y14" s="3642"/>
      <c r="Z14" s="55">
        <f t="shared" si="7"/>
        <v>111</v>
      </c>
      <c r="AA14" s="710">
        <f t="shared" si="3"/>
        <v>1</v>
      </c>
      <c r="AB14" s="710">
        <f t="shared" si="4"/>
        <v>1</v>
      </c>
      <c r="AC14" s="710">
        <f t="shared" si="5"/>
        <v>1</v>
      </c>
    </row>
    <row r="15" spans="1:29" ht="85.5">
      <c r="A15" s="399" t="s">
        <v>2139</v>
      </c>
      <c r="B15" s="65" t="s">
        <v>1702</v>
      </c>
      <c r="C15" s="202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713" t="s">
        <v>2140</v>
      </c>
      <c r="Q15" s="1483" t="str">
        <f t="shared" si="6"/>
        <v>居住社区成熟度</v>
      </c>
      <c r="R15" s="711" t="s">
        <v>21</v>
      </c>
      <c r="S15" s="712">
        <f t="shared" si="0"/>
        <v>100</v>
      </c>
      <c r="T15" s="711" t="s">
        <v>21</v>
      </c>
      <c r="U15" s="712">
        <f t="shared" si="1"/>
        <v>100</v>
      </c>
      <c r="V15" s="711" t="s">
        <v>21</v>
      </c>
      <c r="W15" s="712">
        <f t="shared" si="2"/>
        <v>100</v>
      </c>
      <c r="X15" s="1486"/>
      <c r="Y15" s="3706" t="s">
        <v>2140</v>
      </c>
      <c r="Z15" s="1487" t="str">
        <f t="shared" si="7"/>
        <v>居住社区成熟度</v>
      </c>
      <c r="AA15" s="1484">
        <f t="shared" si="3"/>
        <v>1</v>
      </c>
      <c r="AB15" s="1484">
        <f t="shared" si="4"/>
        <v>1</v>
      </c>
      <c r="AC15" s="1484">
        <f t="shared" si="5"/>
        <v>1</v>
      </c>
    </row>
    <row r="16" spans="1:29" ht="15">
      <c r="A16" s="387"/>
      <c r="B16" s="405"/>
      <c r="C16" s="3271" t="s">
        <v>3674</v>
      </c>
      <c r="D16" s="407"/>
      <c r="E16" s="3272" t="s">
        <v>3675</v>
      </c>
      <c r="F16" s="407"/>
      <c r="G16" s="3273" t="s">
        <v>3675</v>
      </c>
      <c r="H16" s="409"/>
      <c r="I16" s="3273" t="s">
        <v>3675</v>
      </c>
      <c r="J16" s="407"/>
      <c r="K16" s="2031"/>
      <c r="L16" s="2896"/>
      <c r="M16" s="2890"/>
      <c r="N16" s="2890"/>
      <c r="O16" s="2890"/>
      <c r="P16" s="3714"/>
      <c r="Q16" s="1483"/>
      <c r="R16" s="711"/>
      <c r="S16" s="712"/>
      <c r="T16" s="711"/>
      <c r="U16" s="712"/>
      <c r="V16" s="711"/>
      <c r="W16" s="712"/>
      <c r="X16" s="1486"/>
      <c r="Y16" s="3707"/>
      <c r="Z16" s="1487"/>
      <c r="AA16" s="1484">
        <v>1</v>
      </c>
      <c r="AB16" s="1484">
        <v>1</v>
      </c>
      <c r="AC16" s="1484">
        <v>1</v>
      </c>
    </row>
    <row r="17" spans="1:29" ht="71.25">
      <c r="A17" s="387"/>
      <c r="B17" s="410" t="s">
        <v>1704</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714"/>
      <c r="Q17" s="1483" t="str">
        <f>B17</f>
        <v>交通便捷度</v>
      </c>
      <c r="R17" s="711" t="s">
        <v>21</v>
      </c>
      <c r="S17" s="712">
        <f>F17</f>
        <v>100</v>
      </c>
      <c r="T17" s="711" t="s">
        <v>21</v>
      </c>
      <c r="U17" s="712">
        <f>H17</f>
        <v>100</v>
      </c>
      <c r="V17" s="711" t="s">
        <v>21</v>
      </c>
      <c r="W17" s="712">
        <f>J17</f>
        <v>100</v>
      </c>
      <c r="X17" s="1486"/>
      <c r="Y17" s="3707"/>
      <c r="Z17" s="1487" t="str">
        <f>Q17</f>
        <v>交通便捷度</v>
      </c>
      <c r="AA17" s="1484">
        <f t="shared" si="3"/>
        <v>1</v>
      </c>
      <c r="AB17" s="1484">
        <f t="shared" si="4"/>
        <v>1</v>
      </c>
      <c r="AC17" s="1484">
        <f t="shared" si="5"/>
        <v>1</v>
      </c>
    </row>
    <row r="18" spans="1:29" ht="15">
      <c r="A18" s="387"/>
      <c r="B18" s="415"/>
      <c r="C18" s="3274" t="s">
        <v>3674</v>
      </c>
      <c r="D18" s="409"/>
      <c r="E18" s="3275" t="s">
        <v>3675</v>
      </c>
      <c r="F18" s="409"/>
      <c r="G18" s="3276" t="s">
        <v>3675</v>
      </c>
      <c r="H18" s="407"/>
      <c r="I18" s="3276" t="s">
        <v>3675</v>
      </c>
      <c r="J18" s="407"/>
      <c r="K18" s="2031"/>
      <c r="L18" s="2896"/>
      <c r="M18" s="2890"/>
      <c r="N18" s="2890"/>
      <c r="O18" s="2890"/>
      <c r="P18" s="3714"/>
      <c r="Q18" s="1483"/>
      <c r="R18" s="711"/>
      <c r="S18" s="712"/>
      <c r="T18" s="711"/>
      <c r="U18" s="712"/>
      <c r="V18" s="711"/>
      <c r="W18" s="712"/>
      <c r="X18" s="1486"/>
      <c r="Y18" s="3707"/>
      <c r="Z18" s="1487"/>
      <c r="AA18" s="1484">
        <v>1</v>
      </c>
      <c r="AB18" s="1484">
        <v>1</v>
      </c>
      <c r="AC18" s="1484">
        <v>1</v>
      </c>
    </row>
    <row r="19" spans="1:29" ht="42.75">
      <c r="A19" s="387"/>
      <c r="B19" s="410" t="s">
        <v>1703</v>
      </c>
      <c r="C19" s="203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714"/>
      <c r="Q19" s="1483" t="str">
        <f>B19</f>
        <v>公共配套设施</v>
      </c>
      <c r="R19" s="711" t="s">
        <v>21</v>
      </c>
      <c r="S19" s="712">
        <f>F19</f>
        <v>100</v>
      </c>
      <c r="T19" s="711" t="s">
        <v>21</v>
      </c>
      <c r="U19" s="712">
        <f>H19</f>
        <v>100</v>
      </c>
      <c r="V19" s="711" t="s">
        <v>21</v>
      </c>
      <c r="W19" s="712">
        <f>J19</f>
        <v>100</v>
      </c>
      <c r="X19" s="1486"/>
      <c r="Y19" s="3707"/>
      <c r="Z19" s="1487" t="str">
        <f>Q19</f>
        <v>公共配套设施</v>
      </c>
      <c r="AA19" s="1484">
        <f t="shared" si="3"/>
        <v>1</v>
      </c>
      <c r="AB19" s="1484">
        <f t="shared" si="4"/>
        <v>1</v>
      </c>
      <c r="AC19" s="1484">
        <f t="shared" si="5"/>
        <v>1</v>
      </c>
    </row>
    <row r="20" spans="1:29" ht="15">
      <c r="A20" s="387"/>
      <c r="B20" s="415"/>
      <c r="C20" s="3271" t="s">
        <v>3674</v>
      </c>
      <c r="D20" s="407"/>
      <c r="E20" s="3272" t="s">
        <v>3674</v>
      </c>
      <c r="F20" s="407"/>
      <c r="G20" s="3273" t="s">
        <v>3674</v>
      </c>
      <c r="H20" s="407"/>
      <c r="I20" s="3273" t="s">
        <v>3675</v>
      </c>
      <c r="J20" s="407"/>
      <c r="K20" s="2031"/>
      <c r="L20" s="2896"/>
      <c r="M20" s="2890"/>
      <c r="N20" s="2890"/>
      <c r="O20" s="2890"/>
      <c r="P20" s="3714"/>
      <c r="Q20" s="1483"/>
      <c r="R20" s="711"/>
      <c r="S20" s="712"/>
      <c r="T20" s="711"/>
      <c r="U20" s="712"/>
      <c r="V20" s="711"/>
      <c r="W20" s="712"/>
      <c r="X20" s="1486"/>
      <c r="Y20" s="3707"/>
      <c r="Z20" s="1487"/>
      <c r="AA20" s="1484">
        <v>1</v>
      </c>
      <c r="AB20" s="1484">
        <v>1</v>
      </c>
      <c r="AC20" s="1484">
        <v>1</v>
      </c>
    </row>
    <row r="21" spans="1:29" ht="28.5">
      <c r="A21" s="387"/>
      <c r="B21" s="1242" t="s">
        <v>1705</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714"/>
      <c r="Q21" s="1483" t="str">
        <f>B21</f>
        <v>基础设施水平</v>
      </c>
      <c r="R21" s="711" t="s">
        <v>17</v>
      </c>
      <c r="S21" s="712">
        <f>F21</f>
        <v>100</v>
      </c>
      <c r="T21" s="711" t="s">
        <v>17</v>
      </c>
      <c r="U21" s="712">
        <f>H21</f>
        <v>100</v>
      </c>
      <c r="V21" s="711" t="s">
        <v>17</v>
      </c>
      <c r="W21" s="712">
        <f>J21</f>
        <v>100</v>
      </c>
      <c r="X21" s="1486"/>
      <c r="Y21" s="3707"/>
      <c r="Z21" s="1487" t="str">
        <f>Q21</f>
        <v>基础设施水平</v>
      </c>
      <c r="AA21" s="1484">
        <f t="shared" ref="AA21" si="8">D21/F21</f>
        <v>1</v>
      </c>
      <c r="AB21" s="1484">
        <f t="shared" ref="AB21" si="9">D21/H21</f>
        <v>1</v>
      </c>
      <c r="AC21" s="1484">
        <f t="shared" ref="AC21" si="10">D21/J21</f>
        <v>1</v>
      </c>
    </row>
    <row r="22" spans="1:29" ht="15">
      <c r="A22" s="387"/>
      <c r="B22" s="1242"/>
      <c r="C22" s="3274" t="s">
        <v>3676</v>
      </c>
      <c r="D22" s="407"/>
      <c r="E22" s="3271" t="s">
        <v>3676</v>
      </c>
      <c r="F22" s="407"/>
      <c r="G22" s="3277" t="s">
        <v>3676</v>
      </c>
      <c r="H22" s="407"/>
      <c r="I22" s="3271" t="s">
        <v>3676</v>
      </c>
      <c r="J22" s="407"/>
      <c r="K22" s="2037"/>
      <c r="L22" s="2896"/>
      <c r="M22" s="2890"/>
      <c r="N22" s="2890"/>
      <c r="O22" s="2890"/>
      <c r="P22" s="3714"/>
      <c r="Q22" s="1483"/>
      <c r="R22" s="711"/>
      <c r="S22" s="712"/>
      <c r="T22" s="711"/>
      <c r="U22" s="712"/>
      <c r="V22" s="711"/>
      <c r="W22" s="712"/>
      <c r="X22" s="1486"/>
      <c r="Y22" s="3707"/>
      <c r="Z22" s="1487"/>
      <c r="AA22" s="1484">
        <v>1</v>
      </c>
      <c r="AB22" s="1484">
        <v>1</v>
      </c>
      <c r="AC22" s="1484">
        <v>1</v>
      </c>
    </row>
    <row r="23" spans="1:29" ht="42.75">
      <c r="A23" s="387"/>
      <c r="B23" s="410" t="s">
        <v>1706</v>
      </c>
      <c r="C23" s="203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714"/>
      <c r="Q23" s="1483" t="str">
        <f>B23</f>
        <v>自然及人文环境</v>
      </c>
      <c r="R23" s="711" t="s">
        <v>21</v>
      </c>
      <c r="S23" s="712">
        <f>F23</f>
        <v>100</v>
      </c>
      <c r="T23" s="711" t="s">
        <v>21</v>
      </c>
      <c r="U23" s="712">
        <f>H23</f>
        <v>100</v>
      </c>
      <c r="V23" s="711" t="s">
        <v>21</v>
      </c>
      <c r="W23" s="712">
        <f>J23</f>
        <v>100</v>
      </c>
      <c r="X23" s="1486"/>
      <c r="Y23" s="3707"/>
      <c r="Z23" s="1487" t="str">
        <f>Q23</f>
        <v>自然及人文环境</v>
      </c>
      <c r="AA23" s="1484">
        <f>D23/F23</f>
        <v>1</v>
      </c>
      <c r="AB23" s="1484">
        <f>D23/H23</f>
        <v>1</v>
      </c>
      <c r="AC23" s="1484">
        <f>D23/J23</f>
        <v>1</v>
      </c>
    </row>
    <row r="24" spans="1:29" ht="15">
      <c r="A24" s="387"/>
      <c r="B24" s="415"/>
      <c r="C24" s="3271" t="s">
        <v>3674</v>
      </c>
      <c r="D24" s="407"/>
      <c r="E24" s="3272" t="s">
        <v>3675</v>
      </c>
      <c r="F24" s="407"/>
      <c r="G24" s="3273" t="s">
        <v>3675</v>
      </c>
      <c r="H24" s="407"/>
      <c r="I24" s="3273" t="s">
        <v>3675</v>
      </c>
      <c r="J24" s="407"/>
      <c r="K24" s="2031"/>
      <c r="L24" s="2896"/>
      <c r="M24" s="2890"/>
      <c r="N24" s="2890"/>
      <c r="O24" s="2890"/>
      <c r="P24" s="3714"/>
      <c r="Q24" s="1483"/>
      <c r="R24" s="711"/>
      <c r="S24" s="712"/>
      <c r="T24" s="711"/>
      <c r="U24" s="712"/>
      <c r="V24" s="711"/>
      <c r="W24" s="712"/>
      <c r="X24" s="1486"/>
      <c r="Y24" s="3707"/>
      <c r="Z24" s="1487"/>
      <c r="AA24" s="1484">
        <v>1</v>
      </c>
      <c r="AB24" s="1484">
        <v>1</v>
      </c>
      <c r="AC24" s="1484">
        <v>1</v>
      </c>
    </row>
    <row r="25" spans="1:29" ht="15">
      <c r="A25" s="387"/>
      <c r="B25" s="381" t="s">
        <v>2141</v>
      </c>
      <c r="C25" s="419"/>
      <c r="D25" s="394">
        <v>100</v>
      </c>
      <c r="E25" s="2038"/>
      <c r="F25" s="394">
        <f>SUMIF(86:86,E25,87:87)-SUMIF(86:86,C25,87:87)+100</f>
        <v>100</v>
      </c>
      <c r="G25" s="2039"/>
      <c r="H25" s="394">
        <f>SUMIF(86:86,G25,87:87)-SUMIF(86:86,C25,87:87)+100</f>
        <v>100</v>
      </c>
      <c r="I25" s="2039"/>
      <c r="J25" s="394">
        <f>SUMIF(86:86,I25,87:87)-SUMIF(86:86,C25,87:87)+100</f>
        <v>100</v>
      </c>
      <c r="K25" s="385"/>
      <c r="L25" s="2896"/>
      <c r="M25" s="2890"/>
      <c r="N25" s="2890"/>
      <c r="O25" s="2890"/>
      <c r="P25" s="3714"/>
      <c r="Q25" s="1483" t="str">
        <f t="shared" ref="Q25:Q46" si="11">B25</f>
        <v>楼层-1</v>
      </c>
      <c r="R25" s="711" t="s">
        <v>21</v>
      </c>
      <c r="S25" s="712">
        <f t="shared" ref="S25:S46" si="12">F25</f>
        <v>100</v>
      </c>
      <c r="T25" s="711" t="s">
        <v>21</v>
      </c>
      <c r="U25" s="712">
        <f t="shared" ref="U25:U46" si="13">H25</f>
        <v>100</v>
      </c>
      <c r="V25" s="711" t="s">
        <v>21</v>
      </c>
      <c r="W25" s="712">
        <f t="shared" ref="W25:W46" si="14">J25</f>
        <v>100</v>
      </c>
      <c r="X25" s="1486"/>
      <c r="Y25" s="3707"/>
      <c r="Z25" s="1487" t="str">
        <f>Q25</f>
        <v>楼层-1</v>
      </c>
      <c r="AA25" s="1484">
        <f t="shared" ref="AA25:AA46" si="15">D25/F25</f>
        <v>1</v>
      </c>
      <c r="AB25" s="1484">
        <f t="shared" ref="AB25:AB46" si="16">D25/H25</f>
        <v>1</v>
      </c>
      <c r="AC25" s="1484">
        <f t="shared" ref="AC25:AC46" si="17">D25/J25</f>
        <v>1</v>
      </c>
    </row>
    <row r="26" spans="1:29" ht="15">
      <c r="A26" s="387"/>
      <c r="B26" s="381" t="s">
        <v>2142</v>
      </c>
      <c r="C26" s="419"/>
      <c r="D26" s="394">
        <v>100</v>
      </c>
      <c r="E26" s="2038"/>
      <c r="F26" s="394">
        <f>SUMIF(88:88,E26,89:89)-SUMIF(88:88,C26,89:89)+100</f>
        <v>100</v>
      </c>
      <c r="G26" s="2039"/>
      <c r="H26" s="394">
        <f>SUMIF(88:88,G26,89:89)-SUMIF(88:88,C26,89:89)+100</f>
        <v>100</v>
      </c>
      <c r="I26" s="2039"/>
      <c r="J26" s="394">
        <f>SUMIF(88:88,I26,89:89)-SUMIF(88:88,C26,89:89)+100</f>
        <v>100</v>
      </c>
      <c r="K26" s="385"/>
      <c r="L26" s="2896"/>
      <c r="M26" s="2890"/>
      <c r="N26" s="2890"/>
      <c r="O26" s="2890"/>
      <c r="P26" s="3714"/>
      <c r="Q26" s="1483" t="str">
        <f t="shared" si="11"/>
        <v>朝向</v>
      </c>
      <c r="R26" s="711" t="s">
        <v>21</v>
      </c>
      <c r="S26" s="712">
        <f t="shared" si="12"/>
        <v>100</v>
      </c>
      <c r="T26" s="711" t="s">
        <v>21</v>
      </c>
      <c r="U26" s="712">
        <f t="shared" si="13"/>
        <v>100</v>
      </c>
      <c r="V26" s="711" t="s">
        <v>21</v>
      </c>
      <c r="W26" s="712">
        <f t="shared" si="14"/>
        <v>100</v>
      </c>
      <c r="X26" s="1486"/>
      <c r="Y26" s="3707"/>
      <c r="Z26" s="1487" t="str">
        <f>Q26</f>
        <v>朝向</v>
      </c>
      <c r="AA26" s="1484">
        <f t="shared" si="15"/>
        <v>1</v>
      </c>
      <c r="AB26" s="1484">
        <f t="shared" si="16"/>
        <v>1</v>
      </c>
      <c r="AC26" s="1484">
        <f t="shared" si="17"/>
        <v>1</v>
      </c>
    </row>
    <row r="27" spans="1:29" s="113" customFormat="1" ht="15">
      <c r="A27" s="390"/>
      <c r="B27" s="3278" t="s">
        <v>3677</v>
      </c>
      <c r="C27" s="3279" t="s">
        <v>3678</v>
      </c>
      <c r="D27" s="421">
        <v>100</v>
      </c>
      <c r="E27" s="3279" t="s">
        <v>4008</v>
      </c>
      <c r="F27" s="421">
        <f>SUMIF(90:90,E27,91:91)-SUMIF(90:90,C27,91:91)+100</f>
        <v>103</v>
      </c>
      <c r="G27" s="2092" t="str">
        <f>市场案例!H151</f>
        <v>中区</v>
      </c>
      <c r="H27" s="421">
        <f>SUMIF(90:90,G27,91:91)-SUMIF(90:90,C27,91:91)+100</f>
        <v>100</v>
      </c>
      <c r="I27" s="2092" t="str">
        <f>市场案例!H152</f>
        <v>中区</v>
      </c>
      <c r="J27" s="421">
        <f>SUMIF(90:90,I27,91:91)-SUMIF(90:90,C27,91:91)+100</f>
        <v>100</v>
      </c>
      <c r="K27" s="2026"/>
      <c r="L27" s="2891"/>
      <c r="M27" s="2892"/>
      <c r="N27" s="2892"/>
      <c r="O27" s="2892"/>
      <c r="P27" s="3714"/>
      <c r="Q27" s="1474" t="str">
        <f t="shared" si="11"/>
        <v>楼层</v>
      </c>
      <c r="R27" s="707" t="s">
        <v>21</v>
      </c>
      <c r="S27" s="708">
        <f t="shared" si="12"/>
        <v>103</v>
      </c>
      <c r="T27" s="707" t="s">
        <v>21</v>
      </c>
      <c r="U27" s="708">
        <f t="shared" si="13"/>
        <v>100</v>
      </c>
      <c r="V27" s="707" t="s">
        <v>21</v>
      </c>
      <c r="W27" s="708">
        <f t="shared" si="14"/>
        <v>100</v>
      </c>
      <c r="X27" s="709"/>
      <c r="Y27" s="3707"/>
      <c r="Z27" s="55" t="str">
        <f>Q27</f>
        <v>楼层</v>
      </c>
      <c r="AA27" s="1484">
        <f t="shared" si="15"/>
        <v>0.970873786407767</v>
      </c>
      <c r="AB27" s="1484">
        <f t="shared" si="16"/>
        <v>1</v>
      </c>
      <c r="AC27" s="1484">
        <f t="shared" si="17"/>
        <v>1</v>
      </c>
    </row>
    <row r="28" spans="1:29" ht="15">
      <c r="A28" s="387"/>
      <c r="B28" s="1244">
        <v>111</v>
      </c>
      <c r="C28" s="393"/>
      <c r="D28" s="394">
        <v>100</v>
      </c>
      <c r="E28" s="393"/>
      <c r="F28" s="394">
        <f>SUMIF(92:92,E28,93:93)-SUMIF(92:92,C28,93:93)+100</f>
        <v>100</v>
      </c>
      <c r="G28" s="2040"/>
      <c r="H28" s="394">
        <f>SUMIF(92:92,G28,93:93)-SUMIF(92:92,C28,93:93)+100</f>
        <v>100</v>
      </c>
      <c r="I28" s="393"/>
      <c r="J28" s="394">
        <f>SUMIF(92:92,I28,93:93)-SUMIF(92:92,C28,93:93)+100</f>
        <v>100</v>
      </c>
      <c r="K28" s="2026"/>
      <c r="L28" s="2896"/>
      <c r="M28" s="2890"/>
      <c r="N28" s="2890"/>
      <c r="O28" s="2890"/>
      <c r="P28" s="3714"/>
      <c r="Q28" s="1483">
        <f t="shared" si="11"/>
        <v>111</v>
      </c>
      <c r="R28" s="711" t="s">
        <v>21</v>
      </c>
      <c r="S28" s="712">
        <f t="shared" si="12"/>
        <v>100</v>
      </c>
      <c r="T28" s="711" t="s">
        <v>21</v>
      </c>
      <c r="U28" s="712">
        <f t="shared" si="13"/>
        <v>100</v>
      </c>
      <c r="V28" s="711" t="s">
        <v>21</v>
      </c>
      <c r="W28" s="712">
        <f t="shared" si="14"/>
        <v>100</v>
      </c>
      <c r="X28" s="1486"/>
      <c r="Y28" s="3707"/>
      <c r="Z28" s="1487">
        <f t="shared" ref="Z28:Z46" si="18">Q28</f>
        <v>111</v>
      </c>
      <c r="AA28" s="1484">
        <f t="shared" si="15"/>
        <v>1</v>
      </c>
      <c r="AB28" s="1484">
        <f t="shared" si="16"/>
        <v>1</v>
      </c>
      <c r="AC28" s="1484">
        <f t="shared" si="17"/>
        <v>1</v>
      </c>
    </row>
    <row r="29" spans="1:29" ht="15">
      <c r="A29" s="387"/>
      <c r="B29" s="1244">
        <v>111</v>
      </c>
      <c r="C29" s="393"/>
      <c r="D29" s="394">
        <v>100</v>
      </c>
      <c r="E29" s="393"/>
      <c r="F29" s="394">
        <f>SUMIF(94:94,E29,95:95)-SUMIF(94:94,C29,95:95)+100</f>
        <v>100</v>
      </c>
      <c r="G29" s="2040"/>
      <c r="H29" s="394">
        <f>SUMIF(94:94,G29,95:95)-SUMIF(94:94,C29,95:95)+100</f>
        <v>100</v>
      </c>
      <c r="I29" s="393"/>
      <c r="J29" s="394">
        <f>SUMIF(94:94,I29,95:95)-SUMIF(94:94,C29,95:95)+100</f>
        <v>100</v>
      </c>
      <c r="K29" s="2026"/>
      <c r="L29" s="2896"/>
      <c r="M29" s="2890"/>
      <c r="N29" s="2890"/>
      <c r="O29" s="2890"/>
      <c r="P29" s="3714"/>
      <c r="Q29" s="1483">
        <f t="shared" si="11"/>
        <v>111</v>
      </c>
      <c r="R29" s="711" t="s">
        <v>21</v>
      </c>
      <c r="S29" s="712">
        <f t="shared" si="12"/>
        <v>100</v>
      </c>
      <c r="T29" s="711" t="s">
        <v>21</v>
      </c>
      <c r="U29" s="712">
        <f t="shared" si="13"/>
        <v>100</v>
      </c>
      <c r="V29" s="711" t="s">
        <v>21</v>
      </c>
      <c r="W29" s="712">
        <f t="shared" si="14"/>
        <v>100</v>
      </c>
      <c r="X29" s="1486"/>
      <c r="Y29" s="3707"/>
      <c r="Z29" s="1487">
        <f t="shared" si="18"/>
        <v>111</v>
      </c>
      <c r="AA29" s="1484">
        <f t="shared" si="15"/>
        <v>1</v>
      </c>
      <c r="AB29" s="1484">
        <f t="shared" si="16"/>
        <v>1</v>
      </c>
      <c r="AC29" s="1484">
        <f t="shared" si="17"/>
        <v>1</v>
      </c>
    </row>
    <row r="30" spans="1:29" ht="15">
      <c r="A30" s="387"/>
      <c r="B30" s="1244">
        <v>111</v>
      </c>
      <c r="C30" s="393"/>
      <c r="D30" s="394">
        <v>100</v>
      </c>
      <c r="E30" s="393"/>
      <c r="F30" s="394">
        <f>SUMIF(96:96,E30,97:97)-SUMIF(96:96,C30,97:97)+100</f>
        <v>100</v>
      </c>
      <c r="G30" s="2040"/>
      <c r="H30" s="394">
        <f>SUMIF(96:96,G30,97:97)-SUMIF(96:96,C30,97:97)+100</f>
        <v>100</v>
      </c>
      <c r="I30" s="393"/>
      <c r="J30" s="394">
        <f>SUMIF(96:96,I30,97:97)-SUMIF(96:96,C30,97:97)+100</f>
        <v>100</v>
      </c>
      <c r="K30" s="2026"/>
      <c r="L30" s="2896"/>
      <c r="M30" s="2890"/>
      <c r="N30" s="2890"/>
      <c r="O30" s="2890"/>
      <c r="P30" s="3714"/>
      <c r="Q30" s="1483">
        <f t="shared" si="11"/>
        <v>111</v>
      </c>
      <c r="R30" s="711" t="s">
        <v>21</v>
      </c>
      <c r="S30" s="712">
        <f t="shared" si="12"/>
        <v>100</v>
      </c>
      <c r="T30" s="711" t="s">
        <v>21</v>
      </c>
      <c r="U30" s="712">
        <f t="shared" si="13"/>
        <v>100</v>
      </c>
      <c r="V30" s="711" t="s">
        <v>21</v>
      </c>
      <c r="W30" s="712">
        <f t="shared" si="14"/>
        <v>100</v>
      </c>
      <c r="X30" s="1486"/>
      <c r="Y30" s="3707"/>
      <c r="Z30" s="1487">
        <f t="shared" si="18"/>
        <v>111</v>
      </c>
      <c r="AA30" s="1484">
        <f t="shared" si="15"/>
        <v>1</v>
      </c>
      <c r="AB30" s="1484">
        <f t="shared" si="16"/>
        <v>1</v>
      </c>
      <c r="AC30" s="1484">
        <f t="shared" si="17"/>
        <v>1</v>
      </c>
    </row>
    <row r="31" spans="1:29" ht="15.75" thickBot="1">
      <c r="A31" s="395"/>
      <c r="B31" s="1244">
        <v>111</v>
      </c>
      <c r="C31" s="396"/>
      <c r="D31" s="397">
        <v>100</v>
      </c>
      <c r="E31" s="396"/>
      <c r="F31" s="397">
        <f>SUMIF(98:98,E31,99:99)-SUMIF(98:98,C31,99:99)+100</f>
        <v>100</v>
      </c>
      <c r="G31" s="2041"/>
      <c r="H31" s="397">
        <f>SUMIF(98:98,G31,99:99)-SUMIF(98:98,C31,99:99)+100</f>
        <v>100</v>
      </c>
      <c r="I31" s="396"/>
      <c r="J31" s="397">
        <f>SUMIF(98:98,I31,99:99)-SUMIF(98:98,C31,99:99)+100</f>
        <v>100</v>
      </c>
      <c r="K31" s="2026"/>
      <c r="L31" s="2896"/>
      <c r="M31" s="2890"/>
      <c r="N31" s="2890"/>
      <c r="O31" s="2890"/>
      <c r="P31" s="3714"/>
      <c r="Q31" s="1483">
        <f t="shared" si="11"/>
        <v>111</v>
      </c>
      <c r="R31" s="711" t="s">
        <v>21</v>
      </c>
      <c r="S31" s="712">
        <f t="shared" si="12"/>
        <v>100</v>
      </c>
      <c r="T31" s="711" t="s">
        <v>21</v>
      </c>
      <c r="U31" s="712">
        <f t="shared" si="13"/>
        <v>100</v>
      </c>
      <c r="V31" s="711" t="s">
        <v>21</v>
      </c>
      <c r="W31" s="712">
        <f t="shared" si="14"/>
        <v>100</v>
      </c>
      <c r="X31" s="1486"/>
      <c r="Y31" s="3707"/>
      <c r="Z31" s="1487">
        <f t="shared" si="18"/>
        <v>111</v>
      </c>
      <c r="AA31" s="1484">
        <f t="shared" si="15"/>
        <v>1</v>
      </c>
      <c r="AB31" s="1484">
        <f t="shared" si="16"/>
        <v>1</v>
      </c>
      <c r="AC31" s="1484">
        <f t="shared" si="17"/>
        <v>1</v>
      </c>
    </row>
    <row r="32" spans="1:29" ht="15">
      <c r="A32" s="399" t="s">
        <v>2143</v>
      </c>
      <c r="B32" s="67" t="s">
        <v>2144</v>
      </c>
      <c r="C32" s="2042"/>
      <c r="D32" s="426">
        <v>100</v>
      </c>
      <c r="E32" s="2043"/>
      <c r="F32" s="420">
        <f>SUMIF(100:100,E32,101:101)-SUMIF(100:100,C32,101:101)+100</f>
        <v>100</v>
      </c>
      <c r="G32" s="2042"/>
      <c r="H32" s="426">
        <f>SUMIF(100:100,G32,101:101)-SUMIF(100:100,C32,101:101)+100</f>
        <v>100</v>
      </c>
      <c r="I32" s="2043"/>
      <c r="J32" s="394">
        <f>SUMIF(100:100,I32,101:101)-SUMIF(100:100,C32,101:101)+100</f>
        <v>100</v>
      </c>
      <c r="K32" s="385"/>
      <c r="L32" s="2896"/>
      <c r="M32" s="2890"/>
      <c r="N32" s="2890"/>
      <c r="O32" s="2890"/>
      <c r="P32" s="3708" t="s">
        <v>2145</v>
      </c>
      <c r="Q32" s="1483" t="str">
        <f t="shared" si="11"/>
        <v>建筑类型</v>
      </c>
      <c r="R32" s="711" t="s">
        <v>21</v>
      </c>
      <c r="S32" s="712">
        <f t="shared" si="12"/>
        <v>100</v>
      </c>
      <c r="T32" s="711" t="s">
        <v>21</v>
      </c>
      <c r="U32" s="712">
        <f t="shared" si="13"/>
        <v>100</v>
      </c>
      <c r="V32" s="711" t="s">
        <v>21</v>
      </c>
      <c r="W32" s="712">
        <f t="shared" si="14"/>
        <v>100</v>
      </c>
      <c r="X32" s="1486"/>
      <c r="Y32" s="3711" t="s">
        <v>2145</v>
      </c>
      <c r="Z32" s="1487" t="str">
        <f t="shared" si="18"/>
        <v>建筑类型</v>
      </c>
      <c r="AA32" s="1484">
        <f t="shared" si="15"/>
        <v>1</v>
      </c>
      <c r="AB32" s="1484">
        <f t="shared" si="16"/>
        <v>1</v>
      </c>
      <c r="AC32" s="1484">
        <f t="shared" si="17"/>
        <v>1</v>
      </c>
    </row>
    <row r="33" spans="1:29" s="430" customFormat="1" ht="15">
      <c r="A33" s="427"/>
      <c r="B33" s="381" t="s">
        <v>2146</v>
      </c>
      <c r="C33" s="610">
        <f>典型户型修正!B24</f>
        <v>135.66</v>
      </c>
      <c r="D33" s="132">
        <v>100</v>
      </c>
      <c r="E33" s="389">
        <f>市场案例!F154</f>
        <v>146.44</v>
      </c>
      <c r="F33" s="384">
        <f>LOOKUP(E33,103:103,104:104)-LOOKUP(C33,103:103,104:104)+100</f>
        <v>100</v>
      </c>
      <c r="G33" s="388">
        <f>市场案例!F151</f>
        <v>109.39</v>
      </c>
      <c r="H33" s="132">
        <f>LOOKUP(G33,103:103,104:104)-LOOKUP(C33,103:103,104:104)+100</f>
        <v>101</v>
      </c>
      <c r="I33" s="389">
        <f>市场案例!F152</f>
        <v>103.45</v>
      </c>
      <c r="J33" s="132">
        <f>LOOKUP(I33,103:103,104:104)-LOOKUP(C33,103:103,104:104)+100</f>
        <v>101</v>
      </c>
      <c r="K33" s="2026"/>
      <c r="L33" s="2895"/>
      <c r="M33" s="2897"/>
      <c r="N33" s="2897"/>
      <c r="O33" s="2897"/>
      <c r="P33" s="3709"/>
      <c r="Q33" s="713" t="str">
        <f t="shared" si="11"/>
        <v>项目建筑规模</v>
      </c>
      <c r="R33" s="714" t="s">
        <v>21</v>
      </c>
      <c r="S33" s="715">
        <f t="shared" si="12"/>
        <v>100</v>
      </c>
      <c r="T33" s="714" t="s">
        <v>21</v>
      </c>
      <c r="U33" s="715">
        <f t="shared" si="13"/>
        <v>101</v>
      </c>
      <c r="V33" s="714" t="s">
        <v>21</v>
      </c>
      <c r="W33" s="715">
        <f t="shared" si="14"/>
        <v>101</v>
      </c>
      <c r="X33" s="716"/>
      <c r="Y33" s="3711"/>
      <c r="Z33" s="717" t="str">
        <f t="shared" si="18"/>
        <v>项目建筑规模</v>
      </c>
      <c r="AA33" s="1484">
        <f t="shared" si="15"/>
        <v>1</v>
      </c>
      <c r="AB33" s="1484">
        <f t="shared" si="16"/>
        <v>0.99009900990099009</v>
      </c>
      <c r="AC33" s="1484">
        <f t="shared" si="17"/>
        <v>0.99009900990099009</v>
      </c>
    </row>
    <row r="34" spans="1:29" ht="15">
      <c r="A34" s="431"/>
      <c r="B34" s="381" t="s">
        <v>2147</v>
      </c>
      <c r="C34" s="2044"/>
      <c r="D34" s="394">
        <v>100</v>
      </c>
      <c r="E34" s="2045"/>
      <c r="F34" s="420">
        <f>SUMIF(105:105,E34,106:106)-SUMIF(105:105,C34,106:106)+100</f>
        <v>100</v>
      </c>
      <c r="G34" s="2044"/>
      <c r="H34" s="394">
        <f>SUMIF(105:105,G34,106:106)-SUMIF(105:105,C34,106:106)+100</f>
        <v>100</v>
      </c>
      <c r="I34" s="2045"/>
      <c r="J34" s="394">
        <f>SUMIF(105:105,I34,106:106)-SUMIF(105:105,C34,106:106)+100</f>
        <v>100</v>
      </c>
      <c r="K34" s="385"/>
      <c r="L34" s="2896"/>
      <c r="M34" s="2890"/>
      <c r="N34" s="2890"/>
      <c r="O34" s="2890"/>
      <c r="P34" s="3709"/>
      <c r="Q34" s="1483" t="str">
        <f t="shared" si="11"/>
        <v>建筑结构</v>
      </c>
      <c r="R34" s="711" t="s">
        <v>21</v>
      </c>
      <c r="S34" s="712">
        <f t="shared" si="12"/>
        <v>100</v>
      </c>
      <c r="T34" s="711" t="s">
        <v>21</v>
      </c>
      <c r="U34" s="712">
        <f t="shared" si="13"/>
        <v>100</v>
      </c>
      <c r="V34" s="711" t="s">
        <v>21</v>
      </c>
      <c r="W34" s="712">
        <f t="shared" si="14"/>
        <v>100</v>
      </c>
      <c r="X34" s="1486"/>
      <c r="Y34" s="3711"/>
      <c r="Z34" s="1487" t="str">
        <f t="shared" si="18"/>
        <v>建筑结构</v>
      </c>
      <c r="AA34" s="1484">
        <f t="shared" si="15"/>
        <v>1</v>
      </c>
      <c r="AB34" s="1484">
        <f t="shared" si="16"/>
        <v>1</v>
      </c>
      <c r="AC34" s="1484">
        <f t="shared" si="17"/>
        <v>1</v>
      </c>
    </row>
    <row r="35" spans="1:29" ht="15">
      <c r="A35" s="431"/>
      <c r="B35" s="381" t="s">
        <v>2148</v>
      </c>
      <c r="C35" s="2038"/>
      <c r="D35" s="394">
        <v>100</v>
      </c>
      <c r="E35" s="2039"/>
      <c r="F35" s="420">
        <f>SUMIF(107:107,E35,108:108)-SUMIF(107:107,C35,108:108)+100</f>
        <v>100</v>
      </c>
      <c r="G35" s="2038"/>
      <c r="H35" s="394">
        <f>SUMIF(107:107,G35,108:108)-SUMIF(107:107,C35,108:108)+100</f>
        <v>100</v>
      </c>
      <c r="I35" s="2039"/>
      <c r="J35" s="394">
        <f>SUMIF(107:107,I35,108:108)-SUMIF(107:107,C35,108:108)+100</f>
        <v>100</v>
      </c>
      <c r="K35" s="385"/>
      <c r="L35" s="2896"/>
      <c r="M35" s="2890"/>
      <c r="N35" s="2890"/>
      <c r="O35" s="2890"/>
      <c r="P35" s="3709"/>
      <c r="Q35" s="1483" t="str">
        <f t="shared" si="11"/>
        <v>建筑品质</v>
      </c>
      <c r="R35" s="711" t="s">
        <v>21</v>
      </c>
      <c r="S35" s="712">
        <f t="shared" si="12"/>
        <v>100</v>
      </c>
      <c r="T35" s="711" t="s">
        <v>21</v>
      </c>
      <c r="U35" s="712">
        <f t="shared" si="13"/>
        <v>100</v>
      </c>
      <c r="V35" s="711" t="s">
        <v>21</v>
      </c>
      <c r="W35" s="712">
        <f t="shared" si="14"/>
        <v>100</v>
      </c>
      <c r="X35" s="1486"/>
      <c r="Y35" s="3711"/>
      <c r="Z35" s="1487" t="str">
        <f t="shared" si="18"/>
        <v>建筑品质</v>
      </c>
      <c r="AA35" s="1484">
        <f t="shared" si="15"/>
        <v>1</v>
      </c>
      <c r="AB35" s="1484">
        <f t="shared" si="16"/>
        <v>1</v>
      </c>
      <c r="AC35" s="1484">
        <f t="shared" si="17"/>
        <v>1</v>
      </c>
    </row>
    <row r="36" spans="1:29" ht="15">
      <c r="A36" s="431"/>
      <c r="B36" s="381" t="s">
        <v>2149</v>
      </c>
      <c r="C36" s="2038"/>
      <c r="D36" s="394">
        <v>100</v>
      </c>
      <c r="E36" s="2039"/>
      <c r="F36" s="420">
        <f>SUMIF(109:109,E36,110:110)-SUMIF(109:109,C36,110:110)+100</f>
        <v>100</v>
      </c>
      <c r="G36" s="2038"/>
      <c r="H36" s="394">
        <f>SUMIF(109:109,G36,110:110)-SUMIF(109:109,C36,110:110)+100</f>
        <v>100</v>
      </c>
      <c r="I36" s="2039"/>
      <c r="J36" s="394">
        <f>SUMIF(109:109,I36,110:110)-SUMIF(109:109,C36,110:110)+100</f>
        <v>100</v>
      </c>
      <c r="K36" s="385"/>
      <c r="L36" s="2896"/>
      <c r="M36" s="2890"/>
      <c r="N36" s="2890"/>
      <c r="O36" s="2890"/>
      <c r="P36" s="3709"/>
      <c r="Q36" s="1483" t="str">
        <f t="shared" si="11"/>
        <v>公共部分装修</v>
      </c>
      <c r="R36" s="711" t="s">
        <v>21</v>
      </c>
      <c r="S36" s="712">
        <f t="shared" si="12"/>
        <v>100</v>
      </c>
      <c r="T36" s="711" t="s">
        <v>21</v>
      </c>
      <c r="U36" s="712">
        <f t="shared" si="13"/>
        <v>100</v>
      </c>
      <c r="V36" s="711" t="s">
        <v>21</v>
      </c>
      <c r="W36" s="712">
        <f t="shared" si="14"/>
        <v>100</v>
      </c>
      <c r="X36" s="1486"/>
      <c r="Y36" s="3711"/>
      <c r="Z36" s="1487" t="str">
        <f t="shared" si="18"/>
        <v>公共部分装修</v>
      </c>
      <c r="AA36" s="1484">
        <f t="shared" si="15"/>
        <v>1</v>
      </c>
      <c r="AB36" s="1484">
        <f t="shared" si="16"/>
        <v>1</v>
      </c>
      <c r="AC36" s="1484">
        <f t="shared" si="17"/>
        <v>1</v>
      </c>
    </row>
    <row r="37" spans="1:29" s="113" customFormat="1" ht="15">
      <c r="A37" s="432"/>
      <c r="B37" s="3473" t="s">
        <v>2150</v>
      </c>
      <c r="C37" s="433">
        <v>0.85</v>
      </c>
      <c r="D37" s="132">
        <v>100</v>
      </c>
      <c r="E37" s="433">
        <v>0.85</v>
      </c>
      <c r="F37" s="384">
        <f>LOOKUP(E37,112:112,113:113)-LOOKUP(C37,112:112,113:113)+100</f>
        <v>100</v>
      </c>
      <c r="G37" s="435">
        <v>0.85</v>
      </c>
      <c r="H37" s="132">
        <f>LOOKUP(G37,112:112,113:113)-LOOKUP(C37,112:112,113:113)+100</f>
        <v>100</v>
      </c>
      <c r="I37" s="434">
        <v>0.85</v>
      </c>
      <c r="J37" s="132">
        <f>LOOKUP(I37,112:112,113:113)-LOOKUP(C37,112:112,113:113)+100</f>
        <v>100</v>
      </c>
      <c r="K37" s="385"/>
      <c r="L37" s="2891"/>
      <c r="M37" s="2892"/>
      <c r="N37" s="2892"/>
      <c r="O37" s="2892"/>
      <c r="P37" s="3709"/>
      <c r="Q37" s="1474" t="str">
        <f t="shared" si="11"/>
        <v>成新度</v>
      </c>
      <c r="R37" s="707" t="s">
        <v>21</v>
      </c>
      <c r="S37" s="708">
        <f t="shared" si="12"/>
        <v>100</v>
      </c>
      <c r="T37" s="707" t="s">
        <v>21</v>
      </c>
      <c r="U37" s="708">
        <f t="shared" si="13"/>
        <v>100</v>
      </c>
      <c r="V37" s="707" t="s">
        <v>21</v>
      </c>
      <c r="W37" s="708">
        <f t="shared" si="14"/>
        <v>100</v>
      </c>
      <c r="X37" s="709"/>
      <c r="Y37" s="3711"/>
      <c r="Z37" s="55" t="str">
        <f t="shared" si="18"/>
        <v>成新度</v>
      </c>
      <c r="AA37" s="710">
        <f t="shared" si="15"/>
        <v>1</v>
      </c>
      <c r="AB37" s="710">
        <f t="shared" si="16"/>
        <v>1</v>
      </c>
      <c r="AC37" s="710">
        <f t="shared" si="17"/>
        <v>1</v>
      </c>
    </row>
    <row r="38" spans="1:29" ht="15">
      <c r="A38" s="431"/>
      <c r="B38" s="381" t="s">
        <v>2151</v>
      </c>
      <c r="C38" s="2038" t="s">
        <v>4023</v>
      </c>
      <c r="D38" s="394">
        <v>100</v>
      </c>
      <c r="E38" s="2039" t="s">
        <v>4025</v>
      </c>
      <c r="F38" s="420">
        <f>SUMIF(114:114,E38,115:115)-SUMIF(114:114,C38,115:115)+100</f>
        <v>95</v>
      </c>
      <c r="G38" s="2038" t="s">
        <v>4025</v>
      </c>
      <c r="H38" s="394">
        <f>SUMIF(114:114,G38,115:115)-SUMIF(114:114,C38,115:115)+100</f>
        <v>95</v>
      </c>
      <c r="I38" s="2039" t="s">
        <v>4025</v>
      </c>
      <c r="J38" s="394">
        <f>SUMIF(114:114,I38,115:115)-SUMIF(114:114,C38,115:115)+100</f>
        <v>95</v>
      </c>
      <c r="K38" s="385">
        <v>5</v>
      </c>
      <c r="L38" s="2896"/>
      <c r="M38" s="2890"/>
      <c r="N38" s="2890"/>
      <c r="O38" s="2890"/>
      <c r="P38" s="3709" t="s">
        <v>2145</v>
      </c>
      <c r="Q38" s="1483" t="str">
        <f t="shared" si="11"/>
        <v>物业管理</v>
      </c>
      <c r="R38" s="711" t="s">
        <v>21</v>
      </c>
      <c r="S38" s="712">
        <f t="shared" si="12"/>
        <v>95</v>
      </c>
      <c r="T38" s="711" t="s">
        <v>21</v>
      </c>
      <c r="U38" s="712">
        <f t="shared" si="13"/>
        <v>95</v>
      </c>
      <c r="V38" s="711" t="s">
        <v>21</v>
      </c>
      <c r="W38" s="712">
        <f t="shared" si="14"/>
        <v>95</v>
      </c>
      <c r="X38" s="1486"/>
      <c r="Y38" s="3711" t="s">
        <v>2145</v>
      </c>
      <c r="Z38" s="1487" t="str">
        <f t="shared" si="18"/>
        <v>物业管理</v>
      </c>
      <c r="AA38" s="1484">
        <f t="shared" si="15"/>
        <v>1.0526315789473684</v>
      </c>
      <c r="AB38" s="1484">
        <f t="shared" si="16"/>
        <v>1.0526315789473684</v>
      </c>
      <c r="AC38" s="1484">
        <f t="shared" si="17"/>
        <v>1.0526315789473684</v>
      </c>
    </row>
    <row r="39" spans="1:29" ht="15">
      <c r="A39" s="431"/>
      <c r="B39" s="381" t="s">
        <v>2152</v>
      </c>
      <c r="C39" s="2038"/>
      <c r="D39" s="394">
        <v>100</v>
      </c>
      <c r="E39" s="2039"/>
      <c r="F39" s="420">
        <f>SUMIF(116:116,E39,117:117)-SUMIF(116:116,C39,117:117)+100</f>
        <v>100</v>
      </c>
      <c r="G39" s="2038"/>
      <c r="H39" s="394">
        <f>SUMIF(116:116,G39,117:117)-SUMIF(116:116,C39,117:117)+100</f>
        <v>100</v>
      </c>
      <c r="I39" s="2039"/>
      <c r="J39" s="394">
        <f>SUMIF(116:116,I39,117:117)-SUMIF(116:116,C39,117:117)+100</f>
        <v>100</v>
      </c>
      <c r="K39" s="385"/>
      <c r="L39" s="2896"/>
      <c r="M39" s="2890"/>
      <c r="N39" s="2890"/>
      <c r="O39" s="2890"/>
      <c r="P39" s="3709"/>
      <c r="Q39" s="1483" t="str">
        <f t="shared" si="11"/>
        <v>市政基础设施</v>
      </c>
      <c r="R39" s="711" t="s">
        <v>21</v>
      </c>
      <c r="S39" s="712">
        <f t="shared" si="12"/>
        <v>100</v>
      </c>
      <c r="T39" s="711" t="s">
        <v>21</v>
      </c>
      <c r="U39" s="712">
        <f t="shared" si="13"/>
        <v>100</v>
      </c>
      <c r="V39" s="711" t="s">
        <v>21</v>
      </c>
      <c r="W39" s="712">
        <f t="shared" si="14"/>
        <v>100</v>
      </c>
      <c r="X39" s="1486"/>
      <c r="Y39" s="3711"/>
      <c r="Z39" s="1487" t="str">
        <f t="shared" si="18"/>
        <v>市政基础设施</v>
      </c>
      <c r="AA39" s="1484">
        <f t="shared" si="15"/>
        <v>1</v>
      </c>
      <c r="AB39" s="1484">
        <f t="shared" si="16"/>
        <v>1</v>
      </c>
      <c r="AC39" s="1484">
        <f t="shared" si="17"/>
        <v>1</v>
      </c>
    </row>
    <row r="40" spans="1:29" ht="15">
      <c r="A40" s="431"/>
      <c r="B40" s="381" t="s">
        <v>2153</v>
      </c>
      <c r="C40" s="2038"/>
      <c r="D40" s="394">
        <v>100</v>
      </c>
      <c r="E40" s="2039"/>
      <c r="F40" s="420">
        <f>SUMIF(118:118,E40,119:119)-SUMIF(118:118,C40,119:119)+100</f>
        <v>100</v>
      </c>
      <c r="G40" s="2038"/>
      <c r="H40" s="394">
        <f>SUMIF(118:118,G40,119:119)-SUMIF(118:118,C40,119:119)+100</f>
        <v>100</v>
      </c>
      <c r="I40" s="2039"/>
      <c r="J40" s="394">
        <f>SUMIF(118:118,I40,119:119)-SUMIF(118:118,C40,119:119)+100</f>
        <v>100</v>
      </c>
      <c r="K40" s="385"/>
      <c r="L40" s="2896"/>
      <c r="M40" s="2890"/>
      <c r="N40" s="2890"/>
      <c r="O40" s="2890"/>
      <c r="P40" s="3709"/>
      <c r="Q40" s="1483" t="str">
        <f t="shared" si="11"/>
        <v>房型</v>
      </c>
      <c r="R40" s="711" t="s">
        <v>21</v>
      </c>
      <c r="S40" s="712">
        <f t="shared" si="12"/>
        <v>100</v>
      </c>
      <c r="T40" s="711" t="s">
        <v>21</v>
      </c>
      <c r="U40" s="712">
        <f t="shared" si="13"/>
        <v>100</v>
      </c>
      <c r="V40" s="711" t="s">
        <v>21</v>
      </c>
      <c r="W40" s="712">
        <f t="shared" si="14"/>
        <v>100</v>
      </c>
      <c r="X40" s="1486"/>
      <c r="Y40" s="3711"/>
      <c r="Z40" s="1487" t="str">
        <f t="shared" si="18"/>
        <v>房型</v>
      </c>
      <c r="AA40" s="1484">
        <f t="shared" si="15"/>
        <v>1</v>
      </c>
      <c r="AB40" s="1484">
        <f t="shared" si="16"/>
        <v>1</v>
      </c>
      <c r="AC40" s="1484">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6"/>
      <c r="L41" s="2895"/>
      <c r="M41" s="2897"/>
      <c r="N41" s="2897"/>
      <c r="O41" s="2897"/>
      <c r="P41" s="3709"/>
      <c r="Q41" s="713" t="str">
        <f t="shared" si="11"/>
        <v>单套/主力户型建筑面积</v>
      </c>
      <c r="R41" s="714" t="s">
        <v>21</v>
      </c>
      <c r="S41" s="715">
        <f t="shared" si="12"/>
        <v>100</v>
      </c>
      <c r="T41" s="714" t="s">
        <v>21</v>
      </c>
      <c r="U41" s="715">
        <f t="shared" si="13"/>
        <v>100</v>
      </c>
      <c r="V41" s="714" t="s">
        <v>21</v>
      </c>
      <c r="W41" s="715">
        <f t="shared" si="14"/>
        <v>100</v>
      </c>
      <c r="X41" s="716"/>
      <c r="Y41" s="3711"/>
      <c r="Z41" s="717" t="str">
        <f t="shared" si="18"/>
        <v>单套/主力户型建筑面积</v>
      </c>
      <c r="AA41" s="1484">
        <f t="shared" si="15"/>
        <v>1</v>
      </c>
      <c r="AB41" s="1484">
        <f t="shared" si="16"/>
        <v>1</v>
      </c>
      <c r="AC41" s="1484">
        <f t="shared" si="17"/>
        <v>1</v>
      </c>
    </row>
    <row r="42" spans="1:29" ht="15">
      <c r="A42" s="431"/>
      <c r="B42" s="381" t="s">
        <v>2155</v>
      </c>
      <c r="C42" s="3284" t="s">
        <v>3683</v>
      </c>
      <c r="D42" s="394">
        <v>100</v>
      </c>
      <c r="E42" s="3285" t="s">
        <v>4001</v>
      </c>
      <c r="F42" s="420">
        <f>SUMIF(122:122,E42,123:123)-SUMIF(122:122,C42,123:123)+100</f>
        <v>100</v>
      </c>
      <c r="G42" s="3284" t="s">
        <v>3683</v>
      </c>
      <c r="H42" s="394">
        <f>SUMIF(122:122,G42,123:123)-SUMIF(122:122,C42,123:123)+100</f>
        <v>100</v>
      </c>
      <c r="I42" s="3285" t="s">
        <v>3685</v>
      </c>
      <c r="J42" s="394">
        <f>SUMIF(122:122,I42,123:123)-SUMIF(122:122,C42,123:123)+100</f>
        <v>97</v>
      </c>
      <c r="K42" s="385">
        <v>3</v>
      </c>
      <c r="L42" s="2896"/>
      <c r="M42" s="2890"/>
      <c r="N42" s="2890"/>
      <c r="O42" s="2890"/>
      <c r="P42" s="3709"/>
      <c r="Q42" s="1483" t="str">
        <f t="shared" si="11"/>
        <v>内部装修</v>
      </c>
      <c r="R42" s="711" t="s">
        <v>21</v>
      </c>
      <c r="S42" s="712">
        <f t="shared" si="12"/>
        <v>100</v>
      </c>
      <c r="T42" s="711" t="s">
        <v>21</v>
      </c>
      <c r="U42" s="712">
        <f t="shared" si="13"/>
        <v>100</v>
      </c>
      <c r="V42" s="711" t="s">
        <v>21</v>
      </c>
      <c r="W42" s="712">
        <f t="shared" si="14"/>
        <v>97</v>
      </c>
      <c r="X42" s="1486"/>
      <c r="Y42" s="3711"/>
      <c r="Z42" s="1487" t="str">
        <f t="shared" si="18"/>
        <v>内部装修</v>
      </c>
      <c r="AA42" s="1484">
        <f t="shared" si="15"/>
        <v>1</v>
      </c>
      <c r="AB42" s="1484">
        <f t="shared" si="16"/>
        <v>1</v>
      </c>
      <c r="AC42" s="1484">
        <f t="shared" si="17"/>
        <v>1.0309278350515463</v>
      </c>
    </row>
    <row r="43" spans="1:29" ht="15">
      <c r="A43" s="431"/>
      <c r="B43" s="381" t="s">
        <v>2156</v>
      </c>
      <c r="C43" s="2038"/>
      <c r="D43" s="394">
        <v>100</v>
      </c>
      <c r="E43" s="2039"/>
      <c r="F43" s="420">
        <f>SUMIF(124:124,E43,125:125)-SUMIF(124:124,C43,125:125)+100</f>
        <v>100</v>
      </c>
      <c r="G43" s="2038"/>
      <c r="H43" s="394">
        <f>SUMIF(124:124,G43,125:125)-SUMIF(124:124,C43,125:125)+100</f>
        <v>100</v>
      </c>
      <c r="I43" s="2039"/>
      <c r="J43" s="394">
        <f>SUMIF(124:124,I43,125:125)-SUMIF(124:124,C43,125:125)+100</f>
        <v>100</v>
      </c>
      <c r="K43" s="385"/>
      <c r="L43" s="2896"/>
      <c r="M43" s="2890"/>
      <c r="N43" s="2890"/>
      <c r="O43" s="2890"/>
      <c r="P43" s="3709"/>
      <c r="Q43" s="1483" t="str">
        <f t="shared" si="11"/>
        <v>内部装修维护情况</v>
      </c>
      <c r="R43" s="711" t="s">
        <v>21</v>
      </c>
      <c r="S43" s="712">
        <f t="shared" si="12"/>
        <v>100</v>
      </c>
      <c r="T43" s="711" t="s">
        <v>21</v>
      </c>
      <c r="U43" s="712">
        <f t="shared" si="13"/>
        <v>100</v>
      </c>
      <c r="V43" s="711" t="s">
        <v>21</v>
      </c>
      <c r="W43" s="712">
        <f t="shared" si="14"/>
        <v>100</v>
      </c>
      <c r="X43" s="1486"/>
      <c r="Y43" s="3711"/>
      <c r="Z43" s="1487" t="str">
        <f t="shared" si="18"/>
        <v>内部装修维护情况</v>
      </c>
      <c r="AA43" s="1484">
        <f t="shared" si="15"/>
        <v>1</v>
      </c>
      <c r="AB43" s="1484">
        <f t="shared" si="16"/>
        <v>1</v>
      </c>
      <c r="AC43" s="1484">
        <f t="shared" si="17"/>
        <v>1</v>
      </c>
    </row>
    <row r="44" spans="1:29" s="113" customFormat="1" ht="15">
      <c r="A44" s="432"/>
      <c r="B44" s="124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6"/>
      <c r="L44" s="2891"/>
      <c r="M44" s="2892"/>
      <c r="N44" s="2892"/>
      <c r="O44" s="2892"/>
      <c r="P44" s="3709"/>
      <c r="Q44" s="1474">
        <f t="shared" si="11"/>
        <v>111</v>
      </c>
      <c r="R44" s="707" t="s">
        <v>21</v>
      </c>
      <c r="S44" s="708">
        <f t="shared" si="12"/>
        <v>100</v>
      </c>
      <c r="T44" s="707" t="s">
        <v>21</v>
      </c>
      <c r="U44" s="708">
        <f t="shared" si="13"/>
        <v>100</v>
      </c>
      <c r="V44" s="707" t="s">
        <v>21</v>
      </c>
      <c r="W44" s="708">
        <f t="shared" si="14"/>
        <v>100</v>
      </c>
      <c r="X44" s="709"/>
      <c r="Y44" s="3711"/>
      <c r="Z44" s="55">
        <f t="shared" si="18"/>
        <v>111</v>
      </c>
      <c r="AA44" s="710">
        <f t="shared" si="15"/>
        <v>1</v>
      </c>
      <c r="AB44" s="710">
        <f t="shared" si="16"/>
        <v>1</v>
      </c>
      <c r="AC44" s="710">
        <f t="shared" si="17"/>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6"/>
      <c r="M45" s="2890"/>
      <c r="N45" s="2890"/>
      <c r="O45" s="2890"/>
      <c r="P45" s="3709"/>
      <c r="Q45" s="1483">
        <f t="shared" si="11"/>
        <v>111</v>
      </c>
      <c r="R45" s="711" t="s">
        <v>21</v>
      </c>
      <c r="S45" s="712">
        <f t="shared" si="12"/>
        <v>100</v>
      </c>
      <c r="T45" s="711" t="s">
        <v>21</v>
      </c>
      <c r="U45" s="712">
        <f t="shared" si="13"/>
        <v>100</v>
      </c>
      <c r="V45" s="711" t="s">
        <v>21</v>
      </c>
      <c r="W45" s="712">
        <f t="shared" si="14"/>
        <v>100</v>
      </c>
      <c r="X45" s="1486"/>
      <c r="Y45" s="3711"/>
      <c r="Z45" s="1487">
        <f t="shared" si="18"/>
        <v>111</v>
      </c>
      <c r="AA45" s="1484">
        <f t="shared" si="15"/>
        <v>1</v>
      </c>
      <c r="AB45" s="1484">
        <f t="shared" si="16"/>
        <v>1</v>
      </c>
      <c r="AC45" s="1484">
        <f t="shared" si="17"/>
        <v>1</v>
      </c>
    </row>
    <row r="46" spans="1:29" ht="15.75"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6"/>
      <c r="M46" s="2890"/>
      <c r="N46" s="2890"/>
      <c r="O46" s="2890"/>
      <c r="P46" s="3710"/>
      <c r="Q46" s="1483">
        <f t="shared" si="11"/>
        <v>111</v>
      </c>
      <c r="R46" s="711" t="s">
        <v>20</v>
      </c>
      <c r="S46" s="712">
        <f t="shared" si="12"/>
        <v>100</v>
      </c>
      <c r="T46" s="711" t="s">
        <v>20</v>
      </c>
      <c r="U46" s="712">
        <f t="shared" si="13"/>
        <v>100</v>
      </c>
      <c r="V46" s="711" t="s">
        <v>20</v>
      </c>
      <c r="W46" s="712">
        <f t="shared" si="14"/>
        <v>100</v>
      </c>
      <c r="X46" s="1486"/>
      <c r="Y46" s="3712"/>
      <c r="Z46" s="1487">
        <f t="shared" si="18"/>
        <v>111</v>
      </c>
      <c r="AA46" s="1484">
        <f t="shared" si="15"/>
        <v>1</v>
      </c>
      <c r="AB46" s="1484">
        <f t="shared" si="16"/>
        <v>1</v>
      </c>
      <c r="AC46" s="1484">
        <f t="shared" si="17"/>
        <v>1</v>
      </c>
    </row>
    <row r="47" spans="1:29" ht="15">
      <c r="A47" s="438" t="s">
        <v>2157</v>
      </c>
      <c r="B47" s="439"/>
      <c r="C47" s="1265" t="s">
        <v>19</v>
      </c>
      <c r="D47" s="1266"/>
      <c r="E47" s="1267">
        <f>市场案例!I154</f>
        <v>55996</v>
      </c>
      <c r="F47" s="1268"/>
      <c r="G47" s="1269">
        <f>市场案例!I151</f>
        <v>57775</v>
      </c>
      <c r="H47" s="1270"/>
      <c r="I47" s="1267">
        <f>市场案例!I152</f>
        <v>56550</v>
      </c>
      <c r="J47" s="1270"/>
      <c r="K47" s="2046"/>
      <c r="L47" s="2898"/>
      <c r="M47" s="2899"/>
      <c r="N47" s="2890"/>
      <c r="O47" s="2899"/>
      <c r="P47" s="3704" t="str">
        <f>A47</f>
        <v>成交单价（元/平方米）</v>
      </c>
      <c r="Q47" s="3704"/>
      <c r="R47" s="3705">
        <f>E47</f>
        <v>55996</v>
      </c>
      <c r="S47" s="3705"/>
      <c r="T47" s="3705">
        <f>G47</f>
        <v>57775</v>
      </c>
      <c r="U47" s="3705"/>
      <c r="V47" s="3705">
        <f>I47</f>
        <v>56550</v>
      </c>
      <c r="W47" s="3705"/>
      <c r="X47" s="696"/>
      <c r="Y47" s="718"/>
      <c r="Z47" s="696"/>
      <c r="AA47" s="696"/>
      <c r="AB47" s="696"/>
      <c r="AC47" s="696"/>
    </row>
    <row r="48" spans="1:29" ht="15.75" thickBot="1">
      <c r="A48" s="445" t="s">
        <v>2158</v>
      </c>
      <c r="B48" s="446"/>
      <c r="C48" s="1271">
        <f>R49</f>
        <v>59400</v>
      </c>
      <c r="D48" s="2484" t="s">
        <v>2638</v>
      </c>
      <c r="E48" s="1272">
        <f>R48</f>
        <v>57226</v>
      </c>
      <c r="F48" s="2485"/>
      <c r="G48" s="1271">
        <f>T48</f>
        <v>60214</v>
      </c>
      <c r="H48" s="2485"/>
      <c r="I48" s="1272">
        <f>V48</f>
        <v>60760</v>
      </c>
      <c r="J48" s="2485"/>
      <c r="K48" s="2486">
        <f>F48+H48+J48</f>
        <v>0</v>
      </c>
      <c r="L48" s="2898"/>
      <c r="M48" s="2899"/>
      <c r="N48" s="2899"/>
      <c r="O48" s="2899"/>
      <c r="P48" s="3704" t="str">
        <f>A48</f>
        <v>比较价值（元/平方米）</v>
      </c>
      <c r="Q48" s="3704"/>
      <c r="R48" s="3705">
        <f>IF(F1="售价",ROUND(PRODUCT(R47,AA7:AA46),0),ROUND(PRODUCT(R47,AA7:AA46),1))</f>
        <v>57226</v>
      </c>
      <c r="S48" s="3705"/>
      <c r="T48" s="3705">
        <f>IF(F1="售价",ROUND(PRODUCT(T47,AB7:AB46),0),ROUND(PRODUCT(T47,AB7:AB46),1))</f>
        <v>60214</v>
      </c>
      <c r="U48" s="3705"/>
      <c r="V48" s="3705">
        <f>IF(F1="售价",ROUND(PRODUCT(V47,AC7:AC46),0),ROUND(PRODUCT(V47,AC7:AC46),1))</f>
        <v>60760</v>
      </c>
      <c r="W48" s="3705"/>
      <c r="X48" s="696"/>
      <c r="Y48" s="696"/>
      <c r="Z48" s="696"/>
      <c r="AA48" s="696"/>
      <c r="AB48" s="696"/>
      <c r="AC48" s="696"/>
    </row>
    <row r="49" spans="1:29" ht="15.75" thickBot="1">
      <c r="A49" s="449" t="s">
        <v>2159</v>
      </c>
      <c r="B49" s="450"/>
      <c r="C49" s="1273">
        <f>R49</f>
        <v>59400</v>
      </c>
      <c r="D49" s="1274"/>
      <c r="E49" s="1274"/>
      <c r="F49" s="1274"/>
      <c r="G49" s="1274"/>
      <c r="H49" s="1274"/>
      <c r="I49" s="1274"/>
      <c r="J49" s="1274"/>
      <c r="K49" s="2047"/>
      <c r="L49" s="2898"/>
      <c r="M49" s="2899"/>
      <c r="N49" s="2899"/>
      <c r="O49" s="2899"/>
      <c r="P49" s="3701" t="str">
        <f>A49</f>
        <v>估价对象XX用房的比较价值（楼面单价，元/平方米）</v>
      </c>
      <c r="Q49" s="3702"/>
      <c r="R49" s="3703">
        <f>IF(F1="售价",ROUND(IF(D48="简单平均",AVERAGE(R48:V48),R48*F48+T48*H48+V48*J48),0),ROUND(IF(D48="简单平均",AVERAGE(R48:V48),R48*F48+T48*H48+V48*J48),1))</f>
        <v>59400</v>
      </c>
      <c r="S49" s="3703"/>
      <c r="T49" s="3703"/>
      <c r="U49" s="3703"/>
      <c r="V49" s="3703"/>
      <c r="W49" s="370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f>IF(E47&lt;E48,E48/E47-1,E47/E48-1)</f>
        <v>2.1965854703907439E-2</v>
      </c>
      <c r="F52" s="457" t="str">
        <f>IF(OR(E52&gt;=0.3,E52&lt;=-0.3),"超过30%","")</f>
        <v/>
      </c>
      <c r="G52" s="456">
        <f>IF(G47&lt;G48,G48/G47-1,G47/G48-1)</f>
        <v>4.2215491129381277E-2</v>
      </c>
      <c r="H52" s="457" t="str">
        <f>IF(OR(G52&gt;=0.3,G52&lt;=-0.3),"超过30%","")</f>
        <v/>
      </c>
      <c r="I52" s="456">
        <f>IF(I47&lt;I48,I48/I47-1,I47/I48-1)</f>
        <v>7.4447391688770903E-2</v>
      </c>
      <c r="J52" s="457" t="str">
        <f>IF(OR(I52&gt;=0.3,I52&lt;=-0.3),"超过30%","")</f>
        <v/>
      </c>
      <c r="K52" s="2904"/>
      <c r="L52" s="2900"/>
      <c r="M52" s="2899"/>
      <c r="N52" s="2899"/>
      <c r="O52" s="2899"/>
    </row>
    <row r="53" spans="1:29" ht="13.5" customHeight="1">
      <c r="A53" s="2899"/>
      <c r="B53" s="2899"/>
      <c r="C53" s="454" t="s">
        <v>2161</v>
      </c>
      <c r="D53" s="458"/>
      <c r="E53" s="456">
        <f>IF(E48&lt;G48,G48/E48-1,E48/G48-1)</f>
        <v>5.2214028588403849E-2</v>
      </c>
      <c r="F53" s="457" t="str">
        <f>IF(OR(E53&gt;=0.2,E53&lt;=-0.2),"超过20%","")</f>
        <v/>
      </c>
      <c r="G53" s="456">
        <f>IF(G48&lt;I48,I48/G48-1,G48/I48-1)</f>
        <v>9.0676586840270357E-3</v>
      </c>
      <c r="H53" s="457" t="str">
        <f>IF(OR(G53&gt;=0.2,G53&lt;=-0.2),"超过20%","")</f>
        <v/>
      </c>
      <c r="I53" s="456">
        <f>IF(I48&lt;E48,E48/I48-1,I48/E48-1)</f>
        <v>6.1755146262188587E-2</v>
      </c>
      <c r="J53" s="457" t="str">
        <f>IF(OR(I53&gt;=0.2,I53&lt;=-0.2),"超过20%","")</f>
        <v/>
      </c>
      <c r="K53" s="2904"/>
      <c r="L53" s="2900"/>
      <c r="M53" s="2899"/>
      <c r="N53" s="2899"/>
      <c r="O53" s="2899"/>
    </row>
    <row r="54" spans="1:29" s="459" customFormat="1" ht="13.5" customHeight="1">
      <c r="A54" s="2902"/>
      <c r="B54" s="2902"/>
      <c r="C54" s="454" t="s">
        <v>2162</v>
      </c>
      <c r="D54" s="458"/>
      <c r="E54" s="456">
        <f>IF(E47&lt;G47,G47/E47-1,E47/G47-1)</f>
        <v>3.1770126437602686E-2</v>
      </c>
      <c r="F54" s="457" t="str">
        <f>IF(OR(E54&gt;=0.3,E54&lt;=-0.3),"超过30%","")</f>
        <v/>
      </c>
      <c r="G54" s="456">
        <f>IF(G47&lt;I47,I47/G47-1,G47/I47-1)</f>
        <v>2.1662245800176727E-2</v>
      </c>
      <c r="H54" s="457" t="str">
        <f>IF(OR(G54&gt;=0.3,G54&lt;=-0.3),"超过30%","")</f>
        <v/>
      </c>
      <c r="I54" s="456">
        <f>IF(I47&lt;E47,E47/I47-1,I47/E47-1)</f>
        <v>9.8935638259876058E-3</v>
      </c>
      <c r="J54" s="457" t="str">
        <f>IF(OR(I54&gt;=0.3,I54&lt;=-0.3),"超过30%","")</f>
        <v/>
      </c>
      <c r="K54" s="2907"/>
      <c r="L54" s="2901"/>
      <c r="M54" s="2902"/>
      <c r="N54" s="2902"/>
      <c r="O54" s="2902"/>
      <c r="P54" s="2049"/>
    </row>
    <row r="55" spans="1:29" s="459" customFormat="1">
      <c r="A55" s="2902"/>
      <c r="B55" s="2905"/>
      <c r="C55" s="2906"/>
      <c r="D55" s="2902"/>
      <c r="E55" s="2902"/>
      <c r="F55" s="2902"/>
      <c r="G55" s="2902"/>
      <c r="H55" s="2902"/>
      <c r="I55" s="2902"/>
      <c r="J55" s="2902"/>
      <c r="K55" s="2907"/>
      <c r="L55" s="2901"/>
      <c r="M55" s="2902"/>
      <c r="N55" s="2902"/>
      <c r="O55" s="2902"/>
      <c r="P55" s="2049"/>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0"/>
      <c r="Q57" s="461"/>
    </row>
    <row r="58" spans="1:29" s="465" customFormat="1" ht="15">
      <c r="A58" s="462" t="s">
        <v>2164</v>
      </c>
      <c r="B58" s="463"/>
      <c r="C58" s="1297" t="str">
        <f>YEAR(C7)&amp;"-"&amp;MONTH(C7)</f>
        <v>2022-12</v>
      </c>
      <c r="D58" s="1296">
        <f>EDATE(C58,-1)</f>
        <v>44866</v>
      </c>
      <c r="E58" s="1296">
        <f>EDATE(D58,-1)</f>
        <v>44835</v>
      </c>
      <c r="F58" s="1296">
        <f t="shared" ref="F58:O58" si="19">EDATE(E58,-1)</f>
        <v>44805</v>
      </c>
      <c r="G58" s="1296">
        <f t="shared" si="19"/>
        <v>44774</v>
      </c>
      <c r="H58" s="1296">
        <f t="shared" si="19"/>
        <v>44743</v>
      </c>
      <c r="I58" s="1296">
        <f t="shared" si="19"/>
        <v>44713</v>
      </c>
      <c r="J58" s="1296">
        <f t="shared" si="19"/>
        <v>44682</v>
      </c>
      <c r="K58" s="1296">
        <f t="shared" si="19"/>
        <v>44652</v>
      </c>
      <c r="L58" s="1296">
        <f t="shared" si="19"/>
        <v>44621</v>
      </c>
      <c r="M58" s="1296">
        <f t="shared" si="19"/>
        <v>44593</v>
      </c>
      <c r="N58" s="1296">
        <f t="shared" si="19"/>
        <v>44562</v>
      </c>
      <c r="O58" s="1296">
        <f t="shared" si="19"/>
        <v>44531</v>
      </c>
      <c r="P58" s="1292"/>
    </row>
    <row r="59" spans="1:29" s="113" customFormat="1" ht="15">
      <c r="A59" s="466"/>
      <c r="B59" s="2051"/>
      <c r="C59" s="1294">
        <v>100</v>
      </c>
      <c r="D59" s="468"/>
      <c r="E59" s="469"/>
      <c r="F59" s="469"/>
      <c r="G59" s="469"/>
      <c r="H59" s="469"/>
      <c r="I59" s="469"/>
      <c r="J59" s="469"/>
      <c r="K59" s="469"/>
      <c r="L59" s="469"/>
      <c r="M59" s="470"/>
      <c r="N59" s="469"/>
      <c r="O59" s="470"/>
      <c r="P59" s="2052"/>
    </row>
    <row r="60" spans="1:29" s="113" customFormat="1" ht="15.75" thickBot="1">
      <c r="A60" s="472" t="s">
        <v>2165</v>
      </c>
      <c r="B60" s="473"/>
      <c r="C60" s="474"/>
      <c r="D60" s="475"/>
      <c r="E60" s="475"/>
      <c r="F60" s="475"/>
      <c r="G60" s="475"/>
      <c r="H60" s="475"/>
      <c r="I60" s="475"/>
      <c r="J60" s="475"/>
      <c r="K60" s="475"/>
      <c r="L60" s="475"/>
      <c r="M60" s="476"/>
      <c r="N60" s="475"/>
      <c r="O60" s="476"/>
      <c r="P60" s="2052"/>
      <c r="Q60" s="461"/>
    </row>
    <row r="61" spans="1:29" s="113" customFormat="1" ht="15">
      <c r="A61" s="478" t="s">
        <v>2166</v>
      </c>
      <c r="B61" s="467"/>
      <c r="C61" s="479" t="s">
        <v>2167</v>
      </c>
      <c r="D61" s="480"/>
      <c r="E61" s="480"/>
      <c r="F61" s="480"/>
      <c r="G61" s="480"/>
      <c r="H61" s="480"/>
      <c r="I61" s="480"/>
      <c r="J61" s="480"/>
      <c r="K61" s="480"/>
      <c r="L61" s="481"/>
      <c r="M61" s="482"/>
      <c r="N61" s="1041"/>
      <c r="O61" s="1041"/>
      <c r="P61" s="2053"/>
      <c r="Q61" s="461"/>
    </row>
    <row r="62" spans="1:29" s="113" customFormat="1" ht="15.75" thickBot="1">
      <c r="A62" s="478"/>
      <c r="B62" s="467"/>
      <c r="C62" s="468">
        <v>100</v>
      </c>
      <c r="D62" s="469"/>
      <c r="E62" s="469"/>
      <c r="F62" s="469"/>
      <c r="G62" s="469"/>
      <c r="H62" s="469"/>
      <c r="I62" s="469"/>
      <c r="J62" s="469"/>
      <c r="K62" s="469"/>
      <c r="L62" s="469"/>
      <c r="M62" s="471"/>
      <c r="N62" s="1041"/>
      <c r="O62" s="1041"/>
      <c r="P62" s="2052"/>
      <c r="Q62" s="461"/>
    </row>
    <row r="63" spans="1:29">
      <c r="A63" s="484" t="s">
        <v>2168</v>
      </c>
      <c r="B63" s="485" t="s">
        <v>2134</v>
      </c>
      <c r="C63" s="486" t="str">
        <f>C9</f>
        <v>住宅</v>
      </c>
      <c r="D63" s="487"/>
      <c r="E63" s="487"/>
      <c r="F63" s="487"/>
      <c r="G63" s="487"/>
      <c r="H63" s="487"/>
      <c r="I63" s="487"/>
      <c r="J63" s="487"/>
      <c r="K63" s="488"/>
      <c r="L63" s="489"/>
      <c r="M63" s="490"/>
      <c r="N63" s="1042"/>
      <c r="O63" s="1042"/>
      <c r="P63" s="2054"/>
      <c r="Q63" s="461"/>
    </row>
    <row r="64" spans="1:29" ht="15.75" thickBot="1">
      <c r="A64" s="491"/>
      <c r="B64" s="492"/>
      <c r="C64" s="493">
        <v>100</v>
      </c>
      <c r="D64" s="493"/>
      <c r="E64" s="493"/>
      <c r="F64" s="493"/>
      <c r="G64" s="493"/>
      <c r="H64" s="493"/>
      <c r="I64" s="493"/>
      <c r="J64" s="493"/>
      <c r="K64" s="493"/>
      <c r="L64" s="493"/>
      <c r="M64" s="494"/>
      <c r="N64" s="1043"/>
      <c r="O64" s="1043"/>
      <c r="P64" s="2054"/>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4"/>
      <c r="Q66" s="461"/>
    </row>
    <row r="67" spans="1:17" ht="15.75" thickTop="1">
      <c r="A67" s="491"/>
      <c r="B67" s="503" t="s">
        <v>2138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43"/>
      <c r="O67" s="1043"/>
      <c r="P67" s="2054"/>
      <c r="Q67" s="461"/>
    </row>
    <row r="68" spans="1:17" ht="15">
      <c r="A68" s="491"/>
      <c r="B68" s="505"/>
      <c r="C68" s="506">
        <v>0</v>
      </c>
      <c r="D68" s="506">
        <v>1</v>
      </c>
      <c r="E68" s="506">
        <v>2</v>
      </c>
      <c r="F68" s="506">
        <v>3</v>
      </c>
      <c r="G68" s="506">
        <v>4</v>
      </c>
      <c r="H68" s="506">
        <v>5</v>
      </c>
      <c r="I68" s="506"/>
      <c r="J68" s="506"/>
      <c r="K68" s="507"/>
      <c r="L68" s="508"/>
      <c r="M68" s="509"/>
      <c r="N68" s="1042"/>
      <c r="O68" s="1042"/>
      <c r="P68" s="205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4"/>
      <c r="Q69" s="461"/>
    </row>
    <row r="70" spans="1:17" s="430" customFormat="1" ht="15.75" thickTop="1">
      <c r="A70" s="510"/>
      <c r="B70" s="495">
        <f>B12</f>
        <v>111</v>
      </c>
      <c r="C70" s="511"/>
      <c r="D70" s="511"/>
      <c r="E70" s="511"/>
      <c r="F70" s="511"/>
      <c r="G70" s="511"/>
      <c r="H70" s="512"/>
      <c r="I70" s="512"/>
      <c r="J70" s="512"/>
      <c r="K70" s="512"/>
      <c r="L70" s="513"/>
      <c r="M70" s="514"/>
      <c r="N70" s="1044"/>
      <c r="O70" s="1044"/>
      <c r="P70" s="2055"/>
      <c r="Q70" s="516"/>
    </row>
    <row r="71" spans="1:17" s="430" customFormat="1" ht="15.75" thickBot="1">
      <c r="A71" s="510"/>
      <c r="B71" s="500"/>
      <c r="C71" s="517"/>
      <c r="D71" s="493"/>
      <c r="E71" s="493"/>
      <c r="F71" s="493"/>
      <c r="G71" s="493"/>
      <c r="H71" s="493"/>
      <c r="I71" s="493"/>
      <c r="J71" s="493"/>
      <c r="K71" s="493"/>
      <c r="L71" s="493"/>
      <c r="M71" s="494"/>
      <c r="N71" s="1043"/>
      <c r="O71" s="1043"/>
      <c r="P71" s="2055"/>
      <c r="Q71" s="516"/>
    </row>
    <row r="72" spans="1:17" s="430" customFormat="1" ht="15.75" thickTop="1">
      <c r="A72" s="510"/>
      <c r="B72" s="495">
        <f>B13</f>
        <v>111</v>
      </c>
      <c r="C72" s="511"/>
      <c r="D72" s="511"/>
      <c r="E72" s="511"/>
      <c r="F72" s="511"/>
      <c r="G72" s="511"/>
      <c r="H72" s="512"/>
      <c r="I72" s="512"/>
      <c r="J72" s="512"/>
      <c r="K72" s="512"/>
      <c r="L72" s="513"/>
      <c r="M72" s="514"/>
      <c r="N72" s="1044"/>
      <c r="O72" s="1044"/>
      <c r="P72" s="2056"/>
      <c r="Q72" s="518"/>
    </row>
    <row r="73" spans="1:17" s="430" customFormat="1" ht="15.75" thickBot="1">
      <c r="A73" s="510"/>
      <c r="B73" s="500"/>
      <c r="C73" s="517"/>
      <c r="D73" s="517"/>
      <c r="E73" s="517"/>
      <c r="F73" s="517"/>
      <c r="G73" s="517"/>
      <c r="H73" s="519"/>
      <c r="I73" s="519"/>
      <c r="J73" s="519"/>
      <c r="K73" s="519"/>
      <c r="L73" s="519"/>
      <c r="M73" s="520"/>
      <c r="N73" s="1044"/>
      <c r="O73" s="1044"/>
      <c r="P73" s="2055"/>
      <c r="Q73" s="516"/>
    </row>
    <row r="74" spans="1:17" s="430" customFormat="1" ht="15.75" thickTop="1">
      <c r="A74" s="510"/>
      <c r="B74" s="503">
        <f>B14</f>
        <v>111</v>
      </c>
      <c r="C74" s="511"/>
      <c r="D74" s="511"/>
      <c r="E74" s="511"/>
      <c r="F74" s="511"/>
      <c r="G74" s="480"/>
      <c r="H74" s="521"/>
      <c r="I74" s="521"/>
      <c r="J74" s="521"/>
      <c r="K74" s="521"/>
      <c r="L74" s="522"/>
      <c r="M74" s="523"/>
      <c r="N74" s="1044"/>
      <c r="O74" s="1044"/>
      <c r="P74" s="2057"/>
      <c r="Q74" s="516"/>
    </row>
    <row r="75" spans="1:17" s="430" customFormat="1" ht="15.75" thickBot="1">
      <c r="A75" s="525"/>
      <c r="B75" s="526"/>
      <c r="C75" s="527"/>
      <c r="D75" s="527"/>
      <c r="E75" s="527"/>
      <c r="F75" s="527"/>
      <c r="G75" s="527"/>
      <c r="H75" s="528"/>
      <c r="I75" s="528"/>
      <c r="J75" s="528"/>
      <c r="K75" s="528"/>
      <c r="L75" s="528"/>
      <c r="M75" s="529"/>
      <c r="N75" s="1044"/>
      <c r="O75" s="1044"/>
      <c r="P75" s="2055"/>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5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4"/>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4"/>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4"/>
      <c r="Q81" s="461"/>
    </row>
    <row r="82" spans="1:17" ht="15.75" thickTop="1">
      <c r="A82" s="491"/>
      <c r="B82" s="503" t="s">
        <v>1705</v>
      </c>
      <c r="C82" s="496" t="s">
        <v>2184</v>
      </c>
      <c r="D82" s="496" t="s">
        <v>2185</v>
      </c>
      <c r="E82" s="496" t="s">
        <v>2186</v>
      </c>
      <c r="F82" s="496" t="s">
        <v>2187</v>
      </c>
      <c r="G82" s="496" t="s">
        <v>2188</v>
      </c>
      <c r="H82" s="496"/>
      <c r="I82" s="496"/>
      <c r="J82" s="496"/>
      <c r="K82" s="496"/>
      <c r="L82" s="496"/>
      <c r="M82" s="1240"/>
      <c r="N82" s="1043"/>
      <c r="O82" s="1043"/>
      <c r="P82" s="2054"/>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4"/>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4"/>
      <c r="Q85" s="461"/>
    </row>
    <row r="86" spans="1:17" s="113" customFormat="1" ht="15.75" thickTop="1">
      <c r="A86" s="536"/>
      <c r="B86" s="495" t="s">
        <v>2190</v>
      </c>
      <c r="C86" s="511"/>
      <c r="D86" s="511"/>
      <c r="E86" s="511"/>
      <c r="F86" s="511"/>
      <c r="G86" s="511"/>
      <c r="H86" s="511"/>
      <c r="I86" s="511"/>
      <c r="J86" s="511"/>
      <c r="K86" s="511"/>
      <c r="L86" s="537"/>
      <c r="M86" s="538"/>
      <c r="N86" s="1041"/>
      <c r="O86" s="1041"/>
      <c r="P86" s="205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4"/>
      <c r="Q87" s="461"/>
    </row>
    <row r="88" spans="1:17" s="113" customFormat="1" ht="15.75" thickTop="1">
      <c r="A88" s="536"/>
      <c r="B88" s="495" t="s">
        <v>2191</v>
      </c>
      <c r="C88" s="511"/>
      <c r="D88" s="511"/>
      <c r="E88" s="511"/>
      <c r="F88" s="2059"/>
      <c r="G88" s="511"/>
      <c r="H88" s="511"/>
      <c r="I88" s="511"/>
      <c r="J88" s="511"/>
      <c r="K88" s="511"/>
      <c r="L88" s="511"/>
      <c r="M88" s="538"/>
      <c r="N88" s="1041"/>
      <c r="O88" s="1041"/>
      <c r="P88" s="205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4"/>
      <c r="Q89" s="461"/>
    </row>
    <row r="90" spans="1:17" s="430" customFormat="1" ht="15.75" thickTop="1">
      <c r="A90" s="510"/>
      <c r="B90" s="495" t="str">
        <f>B27</f>
        <v>楼层</v>
      </c>
      <c r="C90" s="3280" t="s">
        <v>3679</v>
      </c>
      <c r="D90" s="3280" t="s">
        <v>3678</v>
      </c>
      <c r="E90" s="3280" t="s">
        <v>3680</v>
      </c>
      <c r="F90" s="511"/>
      <c r="G90" s="511"/>
      <c r="H90" s="512"/>
      <c r="I90" s="512"/>
      <c r="J90" s="512"/>
      <c r="K90" s="512"/>
      <c r="L90" s="513"/>
      <c r="M90" s="514"/>
      <c r="N90" s="1044"/>
      <c r="O90" s="1044"/>
      <c r="P90" s="2055"/>
      <c r="Q90" s="516"/>
    </row>
    <row r="91" spans="1:17" s="430" customFormat="1" ht="15.75" thickBot="1">
      <c r="A91" s="510"/>
      <c r="B91" s="500"/>
      <c r="C91" s="517">
        <v>100</v>
      </c>
      <c r="D91" s="517">
        <v>97</v>
      </c>
      <c r="E91" s="517">
        <v>94</v>
      </c>
      <c r="F91" s="517"/>
      <c r="G91" s="517"/>
      <c r="H91" s="519"/>
      <c r="I91" s="519"/>
      <c r="J91" s="519"/>
      <c r="K91" s="519"/>
      <c r="L91" s="519"/>
      <c r="M91" s="520"/>
      <c r="N91" s="1044"/>
      <c r="O91" s="1044"/>
      <c r="P91" s="2055"/>
      <c r="Q91" s="516"/>
    </row>
    <row r="92" spans="1:17" ht="15.75" thickTop="1">
      <c r="A92" s="491"/>
      <c r="B92" s="495">
        <f>B28</f>
        <v>111</v>
      </c>
      <c r="C92" s="511"/>
      <c r="D92" s="511"/>
      <c r="E92" s="511"/>
      <c r="F92" s="511"/>
      <c r="G92" s="540"/>
      <c r="H92" s="540"/>
      <c r="I92" s="540"/>
      <c r="J92" s="540"/>
      <c r="K92" s="541"/>
      <c r="L92" s="542"/>
      <c r="M92" s="543"/>
      <c r="N92" s="1042"/>
      <c r="O92" s="1042"/>
      <c r="P92" s="2054"/>
      <c r="Q92" s="461"/>
    </row>
    <row r="93" spans="1:17" ht="15.75" thickBot="1">
      <c r="A93" s="491"/>
      <c r="B93" s="500"/>
      <c r="C93" s="517"/>
      <c r="D93" s="493"/>
      <c r="E93" s="493"/>
      <c r="F93" s="493"/>
      <c r="G93" s="493"/>
      <c r="H93" s="493"/>
      <c r="I93" s="493"/>
      <c r="J93" s="493"/>
      <c r="K93" s="493"/>
      <c r="L93" s="493"/>
      <c r="M93" s="494"/>
      <c r="N93" s="1043"/>
      <c r="O93" s="1043"/>
      <c r="P93" s="2054"/>
      <c r="Q93" s="461"/>
    </row>
    <row r="94" spans="1:17" ht="15.75" thickTop="1">
      <c r="A94" s="491"/>
      <c r="B94" s="495">
        <f>B29</f>
        <v>111</v>
      </c>
      <c r="C94" s="511"/>
      <c r="D94" s="511"/>
      <c r="E94" s="511"/>
      <c r="F94" s="511"/>
      <c r="G94" s="540"/>
      <c r="H94" s="540"/>
      <c r="I94" s="540"/>
      <c r="J94" s="540"/>
      <c r="K94" s="541"/>
      <c r="L94" s="542"/>
      <c r="M94" s="543"/>
      <c r="N94" s="1042"/>
      <c r="O94" s="1042"/>
      <c r="P94" s="2054"/>
      <c r="Q94" s="461"/>
    </row>
    <row r="95" spans="1:17" ht="15.75" thickBot="1">
      <c r="A95" s="491"/>
      <c r="B95" s="500"/>
      <c r="C95" s="517"/>
      <c r="D95" s="517"/>
      <c r="E95" s="517"/>
      <c r="F95" s="517"/>
      <c r="G95" s="493"/>
      <c r="H95" s="493"/>
      <c r="I95" s="493"/>
      <c r="J95" s="493"/>
      <c r="K95" s="493"/>
      <c r="L95" s="493"/>
      <c r="M95" s="494"/>
      <c r="N95" s="1043"/>
      <c r="O95" s="1043"/>
      <c r="P95" s="2054"/>
      <c r="Q95" s="461"/>
    </row>
    <row r="96" spans="1:17" ht="15.75" thickTop="1">
      <c r="A96" s="491"/>
      <c r="B96" s="495">
        <f>B30</f>
        <v>111</v>
      </c>
      <c r="C96" s="511"/>
      <c r="D96" s="511"/>
      <c r="E96" s="511"/>
      <c r="F96" s="511"/>
      <c r="G96" s="540"/>
      <c r="H96" s="540"/>
      <c r="I96" s="540"/>
      <c r="J96" s="540"/>
      <c r="K96" s="541"/>
      <c r="L96" s="542"/>
      <c r="M96" s="543"/>
      <c r="N96" s="1042"/>
      <c r="O96" s="1042"/>
      <c r="P96" s="2054"/>
      <c r="Q96" s="461"/>
    </row>
    <row r="97" spans="1:17" ht="15.75" thickBot="1">
      <c r="A97" s="491"/>
      <c r="B97" s="500"/>
      <c r="C97" s="527"/>
      <c r="D97" s="527"/>
      <c r="E97" s="527"/>
      <c r="F97" s="527"/>
      <c r="G97" s="493"/>
      <c r="H97" s="493"/>
      <c r="I97" s="493"/>
      <c r="J97" s="493"/>
      <c r="K97" s="493"/>
      <c r="L97" s="493"/>
      <c r="M97" s="494"/>
      <c r="N97" s="1043"/>
      <c r="O97" s="1043"/>
      <c r="P97" s="2054"/>
      <c r="Q97" s="461"/>
    </row>
    <row r="98" spans="1:17" ht="15.75" thickTop="1">
      <c r="A98" s="491"/>
      <c r="B98" s="503">
        <f>B31</f>
        <v>111</v>
      </c>
      <c r="C98" s="544"/>
      <c r="D98" s="544"/>
      <c r="E98" s="544"/>
      <c r="F98" s="544"/>
      <c r="G98" s="544"/>
      <c r="H98" s="544"/>
      <c r="I98" s="544"/>
      <c r="J98" s="544"/>
      <c r="K98" s="545"/>
      <c r="L98" s="546"/>
      <c r="M98" s="547"/>
      <c r="N98" s="1042"/>
      <c r="O98" s="1042"/>
      <c r="P98" s="2054"/>
      <c r="Q98" s="461"/>
    </row>
    <row r="99" spans="1:17" ht="15.75" thickBot="1">
      <c r="A99" s="2060"/>
      <c r="B99" s="526"/>
      <c r="C99" s="548"/>
      <c r="D99" s="548"/>
      <c r="E99" s="548"/>
      <c r="F99" s="548"/>
      <c r="G99" s="548"/>
      <c r="H99" s="548"/>
      <c r="I99" s="548"/>
      <c r="J99" s="548"/>
      <c r="K99" s="548"/>
      <c r="L99" s="548"/>
      <c r="M99" s="549"/>
      <c r="N99" s="1043"/>
      <c r="O99" s="1043"/>
      <c r="P99" s="2054"/>
      <c r="Q99" s="461"/>
    </row>
    <row r="100" spans="1:17">
      <c r="A100" s="484" t="s">
        <v>2143</v>
      </c>
      <c r="B100" s="485" t="s">
        <v>2192</v>
      </c>
      <c r="C100" s="487"/>
      <c r="D100" s="487"/>
      <c r="E100" s="487"/>
      <c r="F100" s="487"/>
      <c r="G100" s="487"/>
      <c r="H100" s="487"/>
      <c r="I100" s="487"/>
      <c r="J100" s="487"/>
      <c r="K100" s="488"/>
      <c r="L100" s="489"/>
      <c r="M100" s="490"/>
      <c r="N100" s="1042"/>
      <c r="O100" s="1042"/>
      <c r="P100" s="205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4"/>
      <c r="Q101" s="461"/>
    </row>
    <row r="102" spans="1:17" ht="15.75" thickTop="1">
      <c r="A102" s="491"/>
      <c r="B102" s="495" t="s">
        <v>2193</v>
      </c>
      <c r="C102" s="535" t="str">
        <f>C103&amp;"(含)"&amp;"-"&amp;D103</f>
        <v>0(含)-50</v>
      </c>
      <c r="D102" s="535" t="str">
        <f t="shared" ref="D102:L102" si="27">D103&amp;"(含)"&amp;"-"&amp;E103</f>
        <v>50(含)-90</v>
      </c>
      <c r="E102" s="535" t="str">
        <f t="shared" si="27"/>
        <v>90(含)-120</v>
      </c>
      <c r="F102" s="535" t="str">
        <f t="shared" si="27"/>
        <v>120(含)-150</v>
      </c>
      <c r="G102" s="535" t="str">
        <f t="shared" si="27"/>
        <v>150(含)-180</v>
      </c>
      <c r="H102" s="535" t="str">
        <f t="shared" si="27"/>
        <v>180(含)-250</v>
      </c>
      <c r="I102" s="535" t="str">
        <f t="shared" si="27"/>
        <v>250(含)-350</v>
      </c>
      <c r="J102" s="535" t="str">
        <f t="shared" si="27"/>
        <v>350(含)-</v>
      </c>
      <c r="K102" s="535" t="str">
        <f>K103&amp;"(含)"&amp;"-"&amp;L103</f>
        <v>(含)-</v>
      </c>
      <c r="L102" s="535" t="str">
        <f t="shared" si="27"/>
        <v>(含)-</v>
      </c>
      <c r="M102" s="535" t="str">
        <f>M103&amp;"(含)"&amp;"-"&amp;P103</f>
        <v>(含)-</v>
      </c>
      <c r="N102" s="1041"/>
      <c r="O102" s="1041"/>
      <c r="P102" s="2054"/>
      <c r="Q102" s="461"/>
    </row>
    <row r="103" spans="1:17" s="430" customFormat="1">
      <c r="A103" s="550"/>
      <c r="B103" s="551"/>
      <c r="C103" s="552">
        <v>0</v>
      </c>
      <c r="D103" s="552">
        <v>50</v>
      </c>
      <c r="E103" s="552">
        <v>90</v>
      </c>
      <c r="F103" s="552">
        <v>120</v>
      </c>
      <c r="G103" s="552">
        <v>150</v>
      </c>
      <c r="H103" s="552">
        <v>180</v>
      </c>
      <c r="I103" s="552">
        <v>250</v>
      </c>
      <c r="J103" s="553">
        <v>350</v>
      </c>
      <c r="K103" s="553"/>
      <c r="L103" s="554"/>
      <c r="M103" s="555"/>
      <c r="N103" s="1044"/>
      <c r="O103" s="1044"/>
      <c r="P103" s="2055"/>
      <c r="Q103" s="516"/>
    </row>
    <row r="104" spans="1:17" s="430" customFormat="1" ht="15.75" thickBot="1">
      <c r="A104" s="510"/>
      <c r="B104" s="500"/>
      <c r="C104" s="517">
        <v>100</v>
      </c>
      <c r="D104" s="493">
        <v>99</v>
      </c>
      <c r="E104" s="493">
        <v>98</v>
      </c>
      <c r="F104" s="493">
        <v>97</v>
      </c>
      <c r="G104" s="493">
        <v>96</v>
      </c>
      <c r="H104" s="493">
        <v>95</v>
      </c>
      <c r="I104" s="493">
        <v>94</v>
      </c>
      <c r="J104" s="493">
        <v>93</v>
      </c>
      <c r="K104" s="493"/>
      <c r="L104" s="493"/>
      <c r="M104" s="493"/>
      <c r="N104" s="1043"/>
      <c r="O104" s="1043"/>
      <c r="P104" s="2055"/>
      <c r="Q104" s="516"/>
    </row>
    <row r="105" spans="1:17" ht="15" thickTop="1">
      <c r="A105" s="556"/>
      <c r="B105" s="495" t="s">
        <v>2194</v>
      </c>
      <c r="C105" s="511"/>
      <c r="D105" s="511"/>
      <c r="E105" s="540"/>
      <c r="F105" s="540"/>
      <c r="G105" s="540"/>
      <c r="H105" s="540"/>
      <c r="I105" s="540"/>
      <c r="J105" s="540"/>
      <c r="K105" s="541"/>
      <c r="L105" s="542"/>
      <c r="M105" s="543"/>
      <c r="N105" s="1042"/>
      <c r="O105" s="1042"/>
      <c r="P105" s="205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4"/>
      <c r="Q106" s="461"/>
    </row>
    <row r="107" spans="1:17" ht="15" thickTop="1">
      <c r="A107" s="556"/>
      <c r="B107" s="495" t="s">
        <v>2195</v>
      </c>
      <c r="C107" s="540"/>
      <c r="D107" s="540"/>
      <c r="E107" s="540"/>
      <c r="F107" s="540"/>
      <c r="G107" s="540"/>
      <c r="H107" s="540"/>
      <c r="I107" s="540"/>
      <c r="J107" s="540"/>
      <c r="K107" s="541"/>
      <c r="L107" s="542"/>
      <c r="M107" s="543"/>
      <c r="N107" s="1042"/>
      <c r="O107" s="1042"/>
      <c r="P107" s="205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4"/>
      <c r="Q108" s="461"/>
    </row>
    <row r="109" spans="1:17" ht="15" thickTop="1">
      <c r="A109" s="556"/>
      <c r="B109" s="495" t="s">
        <v>2196</v>
      </c>
      <c r="C109" s="511"/>
      <c r="D109" s="511"/>
      <c r="E109" s="511"/>
      <c r="F109" s="540"/>
      <c r="G109" s="540"/>
      <c r="H109" s="540"/>
      <c r="I109" s="540"/>
      <c r="J109" s="540"/>
      <c r="K109" s="541"/>
      <c r="L109" s="542"/>
      <c r="M109" s="543"/>
      <c r="N109" s="1042"/>
      <c r="O109" s="1042"/>
      <c r="P109" s="205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4"/>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5"/>
      <c r="Q113" s="516"/>
    </row>
    <row r="114" spans="1:17" ht="15" thickTop="1">
      <c r="A114" s="556"/>
      <c r="B114" s="495" t="s">
        <v>2197</v>
      </c>
      <c r="C114" s="3280" t="s">
        <v>4024</v>
      </c>
      <c r="D114" s="3280" t="s">
        <v>4026</v>
      </c>
      <c r="E114" s="540"/>
      <c r="F114" s="540"/>
      <c r="G114" s="540"/>
      <c r="H114" s="540"/>
      <c r="I114" s="540"/>
      <c r="J114" s="540"/>
      <c r="K114" s="541"/>
      <c r="L114" s="542"/>
      <c r="M114" s="543"/>
      <c r="N114" s="1042"/>
      <c r="O114" s="1042"/>
      <c r="P114" s="2054"/>
      <c r="Q114" s="461"/>
    </row>
    <row r="115" spans="1:17" ht="15.75" thickBot="1">
      <c r="A115" s="491"/>
      <c r="B115" s="500"/>
      <c r="C115" s="501">
        <v>100</v>
      </c>
      <c r="D115" s="501">
        <f t="shared" ref="D115:M115" si="31">C115-$K38</f>
        <v>95</v>
      </c>
      <c r="E115" s="501">
        <f t="shared" si="31"/>
        <v>90</v>
      </c>
      <c r="F115" s="501">
        <f t="shared" si="31"/>
        <v>85</v>
      </c>
      <c r="G115" s="501">
        <f t="shared" si="31"/>
        <v>80</v>
      </c>
      <c r="H115" s="501">
        <f t="shared" si="31"/>
        <v>75</v>
      </c>
      <c r="I115" s="501">
        <f t="shared" si="31"/>
        <v>70</v>
      </c>
      <c r="J115" s="501">
        <f t="shared" si="31"/>
        <v>65</v>
      </c>
      <c r="K115" s="501">
        <f t="shared" si="31"/>
        <v>60</v>
      </c>
      <c r="L115" s="501">
        <f t="shared" si="31"/>
        <v>55</v>
      </c>
      <c r="M115" s="501">
        <f t="shared" si="31"/>
        <v>50</v>
      </c>
      <c r="N115" s="1043"/>
      <c r="O115" s="1043"/>
      <c r="P115" s="2054"/>
      <c r="Q115" s="461"/>
    </row>
    <row r="116" spans="1:17" ht="15" thickTop="1">
      <c r="A116" s="556"/>
      <c r="B116" s="495" t="s">
        <v>2198</v>
      </c>
      <c r="C116" s="511"/>
      <c r="D116" s="511"/>
      <c r="E116" s="511"/>
      <c r="F116" s="511"/>
      <c r="G116" s="511"/>
      <c r="H116" s="540"/>
      <c r="I116" s="540"/>
      <c r="J116" s="540"/>
      <c r="K116" s="541"/>
      <c r="L116" s="542"/>
      <c r="M116" s="543"/>
      <c r="N116" s="1042"/>
      <c r="O116" s="1042"/>
      <c r="P116" s="205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4"/>
      <c r="Q117" s="461"/>
    </row>
    <row r="118" spans="1:17" ht="15" thickTop="1">
      <c r="A118" s="556"/>
      <c r="B118" s="495" t="s">
        <v>2199</v>
      </c>
      <c r="C118" s="540"/>
      <c r="D118" s="540"/>
      <c r="E118" s="540"/>
      <c r="F118" s="540"/>
      <c r="G118" s="540"/>
      <c r="H118" s="540"/>
      <c r="I118" s="540"/>
      <c r="J118" s="540"/>
      <c r="K118" s="541"/>
      <c r="L118" s="542"/>
      <c r="M118" s="543"/>
      <c r="N118" s="1042"/>
      <c r="O118" s="1042"/>
      <c r="P118" s="205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4"/>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5"/>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5"/>
      <c r="Q121" s="516"/>
    </row>
    <row r="122" spans="1:17" ht="15" thickTop="1">
      <c r="A122" s="556"/>
      <c r="B122" s="495" t="s">
        <v>2200</v>
      </c>
      <c r="C122" s="3280" t="s">
        <v>3683</v>
      </c>
      <c r="D122" s="3280" t="s">
        <v>3684</v>
      </c>
      <c r="E122" s="3280" t="s">
        <v>3686</v>
      </c>
      <c r="F122" s="3286" t="s">
        <v>3687</v>
      </c>
      <c r="G122" s="540"/>
      <c r="H122" s="540"/>
      <c r="I122" s="540"/>
      <c r="J122" s="540"/>
      <c r="K122" s="541"/>
      <c r="L122" s="542"/>
      <c r="M122" s="543"/>
      <c r="N122" s="1042"/>
      <c r="O122" s="1042"/>
      <c r="P122" s="2054"/>
      <c r="Q122" s="461"/>
    </row>
    <row r="123" spans="1:17" ht="15.75" thickBot="1">
      <c r="A123" s="491"/>
      <c r="B123" s="500"/>
      <c r="C123" s="501">
        <v>100</v>
      </c>
      <c r="D123" s="501">
        <f t="shared" ref="D123:M123" si="33">C123-$K42</f>
        <v>97</v>
      </c>
      <c r="E123" s="501">
        <f t="shared" si="33"/>
        <v>94</v>
      </c>
      <c r="F123" s="501">
        <f t="shared" si="33"/>
        <v>91</v>
      </c>
      <c r="G123" s="501">
        <f t="shared" si="33"/>
        <v>88</v>
      </c>
      <c r="H123" s="501">
        <f t="shared" si="33"/>
        <v>85</v>
      </c>
      <c r="I123" s="501">
        <f t="shared" si="33"/>
        <v>82</v>
      </c>
      <c r="J123" s="501">
        <f t="shared" si="33"/>
        <v>79</v>
      </c>
      <c r="K123" s="501">
        <f t="shared" si="33"/>
        <v>76</v>
      </c>
      <c r="L123" s="501">
        <f t="shared" si="33"/>
        <v>73</v>
      </c>
      <c r="M123" s="501">
        <f t="shared" si="33"/>
        <v>70</v>
      </c>
      <c r="N123" s="1043"/>
      <c r="O123" s="1043"/>
      <c r="P123" s="2054"/>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4"/>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5"/>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5"/>
      <c r="Q127" s="516"/>
    </row>
    <row r="128" spans="1:17" ht="15" thickTop="1">
      <c r="A128" s="556"/>
      <c r="B128" s="495">
        <f>B45</f>
        <v>111</v>
      </c>
      <c r="C128" s="511"/>
      <c r="D128" s="511"/>
      <c r="E128" s="511"/>
      <c r="F128" s="511"/>
      <c r="G128" s="540"/>
      <c r="H128" s="540"/>
      <c r="I128" s="540"/>
      <c r="J128" s="540"/>
      <c r="K128" s="541"/>
      <c r="L128" s="542"/>
      <c r="M128" s="543"/>
      <c r="N128" s="1042"/>
      <c r="O128" s="1042"/>
      <c r="P128" s="2054"/>
      <c r="Q128" s="461"/>
    </row>
    <row r="129" spans="1:17" ht="15.75" thickBot="1">
      <c r="A129" s="491"/>
      <c r="B129" s="500"/>
      <c r="C129" s="517"/>
      <c r="D129" s="517"/>
      <c r="E129" s="517"/>
      <c r="F129" s="517"/>
      <c r="G129" s="493"/>
      <c r="H129" s="493"/>
      <c r="I129" s="493"/>
      <c r="J129" s="493"/>
      <c r="K129" s="493"/>
      <c r="L129" s="493"/>
      <c r="M129" s="494"/>
      <c r="N129" s="1043"/>
      <c r="O129" s="1043"/>
      <c r="P129" s="2054"/>
      <c r="Q129" s="461"/>
    </row>
    <row r="130" spans="1:17" ht="15" thickTop="1">
      <c r="A130" s="556"/>
      <c r="B130" s="503">
        <f>B46</f>
        <v>111</v>
      </c>
      <c r="C130" s="511"/>
      <c r="D130" s="511"/>
      <c r="E130" s="511"/>
      <c r="F130" s="511"/>
      <c r="G130" s="544"/>
      <c r="H130" s="544"/>
      <c r="I130" s="544"/>
      <c r="J130" s="544"/>
      <c r="K130" s="480"/>
      <c r="L130" s="481"/>
      <c r="M130" s="547"/>
      <c r="N130" s="1042"/>
      <c r="O130" s="1042"/>
      <c r="P130" s="2054"/>
      <c r="Q130" s="461"/>
    </row>
    <row r="131" spans="1:17" ht="15.75" thickBot="1">
      <c r="A131" s="2060"/>
      <c r="B131" s="526"/>
      <c r="C131" s="527"/>
      <c r="D131" s="527"/>
      <c r="E131" s="527"/>
      <c r="F131" s="527"/>
      <c r="G131" s="548"/>
      <c r="H131" s="548"/>
      <c r="I131" s="548"/>
      <c r="J131" s="548"/>
      <c r="K131" s="548"/>
      <c r="L131" s="548"/>
      <c r="M131" s="549"/>
      <c r="N131" s="1043"/>
      <c r="O131" s="1043"/>
      <c r="P131" s="2054"/>
      <c r="Q131" s="461"/>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2" t="s">
        <v>2205</v>
      </c>
      <c r="D138" s="142" t="s">
        <v>2206</v>
      </c>
      <c r="E138" s="2069" t="s">
        <v>2207</v>
      </c>
      <c r="F138" s="2070" t="s">
        <v>2208</v>
      </c>
      <c r="G138" s="142" t="s">
        <v>2206</v>
      </c>
      <c r="H138" s="143" t="s">
        <v>2207</v>
      </c>
      <c r="I138" s="2071"/>
      <c r="J138" s="142" t="s">
        <v>2209</v>
      </c>
      <c r="K138" s="143" t="s">
        <v>2210</v>
      </c>
    </row>
    <row r="139" spans="1:17" ht="15">
      <c r="B139" s="976">
        <v>6</v>
      </c>
      <c r="C139" s="977">
        <v>96</v>
      </c>
      <c r="D139" s="2072" t="s">
        <v>2211</v>
      </c>
      <c r="E139" s="978">
        <v>100</v>
      </c>
      <c r="F139" s="979">
        <v>102.5</v>
      </c>
      <c r="G139" s="2072" t="s">
        <v>2211</v>
      </c>
      <c r="H139" s="980">
        <v>105</v>
      </c>
      <c r="I139" s="2073" t="s">
        <v>2212</v>
      </c>
      <c r="J139" s="977">
        <v>20</v>
      </c>
      <c r="K139" s="981">
        <f>C145/(J139-2)</f>
        <v>4.0555555555555553E-3</v>
      </c>
    </row>
    <row r="140" spans="1:17" ht="15">
      <c r="B140" s="982">
        <v>5</v>
      </c>
      <c r="C140" s="983">
        <v>100</v>
      </c>
      <c r="D140" s="983"/>
      <c r="E140" s="984"/>
      <c r="F140" s="985">
        <v>102</v>
      </c>
      <c r="G140" s="983"/>
      <c r="H140" s="986"/>
      <c r="I140" s="2074" t="s">
        <v>2213</v>
      </c>
      <c r="J140" s="277">
        <f>ROUNDUP((J139-1)/2,0)</f>
        <v>10</v>
      </c>
      <c r="K140" s="987">
        <v>100</v>
      </c>
    </row>
    <row r="141" spans="1:17" ht="15">
      <c r="B141" s="982">
        <v>4</v>
      </c>
      <c r="C141" s="983">
        <v>102</v>
      </c>
      <c r="D141" s="983"/>
      <c r="E141" s="984"/>
      <c r="F141" s="985">
        <v>101.5</v>
      </c>
      <c r="G141" s="983"/>
      <c r="H141" s="986"/>
      <c r="I141" s="2074" t="s">
        <v>2214</v>
      </c>
      <c r="J141" s="277">
        <v>1</v>
      </c>
      <c r="K141" s="988">
        <f>ROUND(100+(J141-J140)*K139*100,1)</f>
        <v>96.4</v>
      </c>
    </row>
    <row r="142" spans="1:17" ht="15">
      <c r="B142" s="982">
        <v>3</v>
      </c>
      <c r="C142" s="983">
        <v>103</v>
      </c>
      <c r="D142" s="983"/>
      <c r="E142" s="984"/>
      <c r="F142" s="985">
        <v>101</v>
      </c>
      <c r="G142" s="983"/>
      <c r="H142" s="986"/>
      <c r="I142" s="2074" t="s">
        <v>2215</v>
      </c>
      <c r="J142" s="277">
        <f>J139</f>
        <v>20</v>
      </c>
      <c r="K142" s="989">
        <v>95</v>
      </c>
    </row>
    <row r="143" spans="1:17" ht="15">
      <c r="B143" s="982">
        <v>2</v>
      </c>
      <c r="C143" s="983">
        <v>100</v>
      </c>
      <c r="D143" s="983"/>
      <c r="E143" s="984"/>
      <c r="F143" s="985">
        <v>100.5</v>
      </c>
      <c r="G143" s="983"/>
      <c r="H143" s="986"/>
      <c r="I143" s="2074" t="s">
        <v>2216</v>
      </c>
      <c r="J143" s="983">
        <v>15</v>
      </c>
      <c r="K143" s="988">
        <f>ROUND(100+(J143-J140)*K139*100,1)</f>
        <v>102</v>
      </c>
    </row>
    <row r="144" spans="1:17" ht="15">
      <c r="B144" s="982">
        <v>1</v>
      </c>
      <c r="C144" s="983">
        <v>98</v>
      </c>
      <c r="D144" s="2075" t="s">
        <v>2217</v>
      </c>
      <c r="E144" s="984">
        <v>102</v>
      </c>
      <c r="F144" s="990">
        <v>100</v>
      </c>
      <c r="G144" s="2075" t="s">
        <v>2217</v>
      </c>
      <c r="H144" s="986">
        <v>105</v>
      </c>
      <c r="I144" s="2074" t="s">
        <v>2216</v>
      </c>
      <c r="J144" s="983">
        <v>18</v>
      </c>
      <c r="K144" s="988">
        <f>ROUND(100+(J144-J140)*K139*100,1)</f>
        <v>103.2</v>
      </c>
    </row>
    <row r="145" spans="2:11" ht="15.75" thickBot="1">
      <c r="B145" s="2076" t="s">
        <v>2218</v>
      </c>
      <c r="C145" s="991">
        <f>ROUND(MAX(C139:C144)/MIN(C139:C144)-1,3)</f>
        <v>7.2999999999999995E-2</v>
      </c>
      <c r="D145" s="992"/>
      <c r="E145" s="992"/>
      <c r="F145" s="2077" t="s">
        <v>2219</v>
      </c>
      <c r="G145" s="2078"/>
      <c r="H145" s="2079"/>
      <c r="I145" s="2080" t="s">
        <v>2216</v>
      </c>
      <c r="J145" s="993">
        <v>8</v>
      </c>
      <c r="K145" s="994">
        <f>ROUND(100+(J145-J140)*K139*100,1)</f>
        <v>99.2</v>
      </c>
    </row>
    <row r="147" spans="2:11">
      <c r="B147" s="2061" t="s">
        <v>2220</v>
      </c>
    </row>
    <row r="148" spans="2:11">
      <c r="B148" s="2061"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0" zoomScale="90" zoomScaleNormal="90" workbookViewId="0">
      <selection activeCell="C218" sqref="C218"/>
    </sheetView>
  </sheetViews>
  <sheetFormatPr defaultColWidth="9" defaultRowHeight="12.75"/>
  <cols>
    <col min="1" max="1" width="26.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718" t="s">
        <v>2584</v>
      </c>
      <c r="D1" s="3719"/>
      <c r="E1" s="3719"/>
      <c r="F1" s="3719"/>
      <c r="G1" s="3719"/>
      <c r="H1" s="3719"/>
      <c r="I1" s="3719"/>
      <c r="J1" s="3719"/>
      <c r="K1" s="3719"/>
      <c r="L1" s="3719"/>
      <c r="M1" s="3719"/>
      <c r="N1" s="3719"/>
      <c r="O1" s="3719"/>
      <c r="P1" s="3719"/>
      <c r="Q1" s="3719"/>
      <c r="R1" s="3719"/>
      <c r="S1" s="3720"/>
      <c r="T1" s="1092" t="s">
        <v>2585</v>
      </c>
    </row>
    <row r="2" spans="1:45" s="662" customFormat="1" ht="38.25">
      <c r="A2" s="1093"/>
      <c r="B2" s="658" t="s">
        <v>2586</v>
      </c>
      <c r="C2" s="659" t="str">
        <f t="shared" ref="C2:L2" si="0">C3&amp;"(含)"&amp;"-"&amp;D3</f>
        <v>0(含)-50</v>
      </c>
      <c r="D2" s="660" t="str">
        <f t="shared" si="0"/>
        <v>50(含)-90</v>
      </c>
      <c r="E2" s="660" t="str">
        <f t="shared" si="0"/>
        <v>90(含)-120</v>
      </c>
      <c r="F2" s="660" t="str">
        <f t="shared" si="0"/>
        <v>120(含)-150</v>
      </c>
      <c r="G2" s="660" t="str">
        <f t="shared" si="0"/>
        <v>150(含)-180</v>
      </c>
      <c r="H2" s="660" t="str">
        <f t="shared" si="0"/>
        <v>180(含)-250</v>
      </c>
      <c r="I2" s="660" t="str">
        <f t="shared" si="0"/>
        <v>250(含)-350</v>
      </c>
      <c r="J2" s="660" t="str">
        <f t="shared" si="0"/>
        <v>350(含)-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5"/>
      <c r="B3" s="663"/>
      <c r="C3" s="664">
        <f>'比较法-住宅'!C103</f>
        <v>0</v>
      </c>
      <c r="D3" s="664">
        <f>'比较法-住宅'!D103</f>
        <v>50</v>
      </c>
      <c r="E3" s="664">
        <f>'比较法-住宅'!E103</f>
        <v>90</v>
      </c>
      <c r="F3" s="664">
        <f>'比较法-住宅'!F103</f>
        <v>120</v>
      </c>
      <c r="G3" s="664">
        <f>'比较法-住宅'!G103</f>
        <v>150</v>
      </c>
      <c r="H3" s="664">
        <f>'比较法-住宅'!H103</f>
        <v>180</v>
      </c>
      <c r="I3" s="664">
        <f>'比较法-住宅'!I103</f>
        <v>250</v>
      </c>
      <c r="J3" s="664">
        <f>'比较法-住宅'!J103</f>
        <v>350</v>
      </c>
      <c r="K3" s="664"/>
      <c r="L3" s="1423"/>
      <c r="M3" s="1424"/>
      <c r="N3" s="1424"/>
      <c r="O3" s="1422"/>
      <c r="P3" s="1422"/>
      <c r="Q3" s="1422"/>
      <c r="R3" s="1422"/>
      <c r="S3" s="1425"/>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6"/>
      <c r="B4" s="1097"/>
      <c r="C4" s="664">
        <f>'比较法-住宅'!C104</f>
        <v>100</v>
      </c>
      <c r="D4" s="664">
        <f>'比较法-住宅'!D104</f>
        <v>99</v>
      </c>
      <c r="E4" s="664">
        <f>'比较法-住宅'!E104</f>
        <v>98</v>
      </c>
      <c r="F4" s="664">
        <f>'比较法-住宅'!F104</f>
        <v>97</v>
      </c>
      <c r="G4" s="664">
        <f>'比较法-住宅'!G104</f>
        <v>96</v>
      </c>
      <c r="H4" s="664">
        <f>'比较法-住宅'!H104</f>
        <v>95</v>
      </c>
      <c r="I4" s="664">
        <f>'比较法-住宅'!I104</f>
        <v>94</v>
      </c>
      <c r="J4" s="664">
        <f>'比较法-住宅'!J104</f>
        <v>93</v>
      </c>
      <c r="K4" s="664"/>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3"/>
      <c r="B5" s="1453" t="s">
        <v>2587</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1454" t="s">
        <v>2588</v>
      </c>
      <c r="C7" s="1013"/>
      <c r="D7" s="1007"/>
      <c r="E7" s="1007"/>
      <c r="F7" s="1434"/>
      <c r="G7" s="1434"/>
      <c r="H7" s="1434"/>
      <c r="I7" s="1434"/>
      <c r="J7" s="1434"/>
      <c r="K7" s="1434"/>
      <c r="L7" s="1434"/>
      <c r="M7" s="1435"/>
      <c r="N7" s="1436"/>
      <c r="O7" s="1437"/>
      <c r="P7" s="1438"/>
      <c r="Q7" s="1439"/>
      <c r="R7" s="1440"/>
      <c r="S7" s="1441"/>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4" t="s">
        <v>2589</v>
      </c>
      <c r="C9" s="1013"/>
      <c r="D9" s="1007"/>
      <c r="E9" s="1007"/>
      <c r="F9" s="1434"/>
      <c r="G9" s="1434"/>
      <c r="H9" s="1434"/>
      <c r="I9" s="1434"/>
      <c r="J9" s="1434"/>
      <c r="K9" s="1434"/>
      <c r="L9" s="1442"/>
      <c r="M9" s="1435"/>
      <c r="N9" s="1436"/>
      <c r="O9" s="1437"/>
      <c r="P9" s="1438"/>
      <c r="Q9" s="1439"/>
      <c r="R9" s="1440"/>
      <c r="S9" s="1441"/>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3" t="s">
        <v>2590</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3" t="s">
        <v>2591</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3" t="s">
        <v>2592</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ht="13.5" thickBot="1">
      <c r="A17" s="2310" t="s">
        <v>2593</v>
      </c>
      <c r="B17" s="2311" t="s">
        <v>2594</v>
      </c>
      <c r="C17" s="1119" t="str">
        <f>'比较法-住宅'!C90</f>
        <v>高区</v>
      </c>
      <c r="D17" s="1119" t="str">
        <f>'比较法-住宅'!D90</f>
        <v>中区</v>
      </c>
      <c r="E17" s="1119" t="str">
        <f>'比较法-住宅'!E90</f>
        <v>低区</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19">
        <f>'比较法-住宅'!C91</f>
        <v>100</v>
      </c>
      <c r="D18" s="1119">
        <f>'比较法-住宅'!D91</f>
        <v>97</v>
      </c>
      <c r="E18" s="1119">
        <f>'比较法-住宅'!E91</f>
        <v>94</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4"/>
      <c r="B19" s="164"/>
      <c r="C19" s="164"/>
      <c r="D19" s="2312" t="s">
        <v>2595</v>
      </c>
      <c r="E19" s="1471"/>
      <c r="F19" s="1471"/>
      <c r="G19" s="1471"/>
      <c r="H19" s="1167"/>
      <c r="I19" s="164"/>
      <c r="J19" s="164"/>
      <c r="K19" s="164"/>
      <c r="L19" s="164"/>
      <c r="M19" s="164"/>
      <c r="N19" s="164"/>
      <c r="O19" s="164"/>
      <c r="P19" s="164"/>
      <c r="Q19" s="164"/>
      <c r="R19" s="724"/>
      <c r="S19" s="134"/>
    </row>
    <row r="20" spans="1:45" ht="16.5" thickBot="1">
      <c r="A20" s="669" t="s">
        <v>2596</v>
      </c>
      <c r="B20" s="300">
        <f>IF(D20="——",S22,S22-F20)</f>
        <v>177063</v>
      </c>
      <c r="C20" s="164"/>
      <c r="D20" s="2313" t="s">
        <v>70</v>
      </c>
      <c r="E20" s="1472"/>
      <c r="F20" s="1092" t="e">
        <f ca="1">SUMIF(INDIRECT("'"&amp;H20&amp;"'"&amp;"!A:A"),"承租人权益价值",INDIRECT("'"&amp;H20&amp;"'"&amp;"!c:c"))</f>
        <v>#REF!</v>
      </c>
      <c r="G20" s="1092" t="s">
        <v>2597</v>
      </c>
      <c r="H20" s="2314"/>
      <c r="I20" s="164"/>
      <c r="J20" s="164"/>
      <c r="K20" s="164"/>
      <c r="L20" s="164"/>
      <c r="M20" s="164"/>
      <c r="N20" s="164"/>
      <c r="O20" s="164"/>
      <c r="P20" s="164"/>
      <c r="Q20" s="164"/>
      <c r="R20" s="724"/>
      <c r="S20" s="134"/>
    </row>
    <row r="21" spans="1:45" ht="15.75">
      <c r="A21" s="669" t="s">
        <v>2598</v>
      </c>
      <c r="B21" s="300">
        <f>ROUND(B20*10000/B22,0)</f>
        <v>58791</v>
      </c>
      <c r="C21" s="164"/>
      <c r="D21" s="164"/>
      <c r="E21" s="164"/>
      <c r="F21" s="164"/>
      <c r="G21" s="164"/>
      <c r="H21" s="164"/>
      <c r="I21" s="164"/>
      <c r="J21" s="164"/>
      <c r="K21" s="164"/>
      <c r="L21" s="164"/>
      <c r="M21" s="164"/>
      <c r="N21" s="164"/>
      <c r="O21" s="164"/>
      <c r="P21" s="164"/>
      <c r="Q21" s="164"/>
      <c r="R21" s="724"/>
      <c r="S21" s="134"/>
    </row>
    <row r="22" spans="1:45">
      <c r="A22" s="322" t="s">
        <v>2599</v>
      </c>
      <c r="B22" s="24">
        <f>SUM(B24:B10000)</f>
        <v>30117.399999999976</v>
      </c>
      <c r="C22" s="3715" t="s">
        <v>33</v>
      </c>
      <c r="D22" s="3716"/>
      <c r="E22" s="3716"/>
      <c r="F22" s="3716"/>
      <c r="G22" s="3716"/>
      <c r="H22" s="3716"/>
      <c r="I22" s="3716"/>
      <c r="J22" s="3716"/>
      <c r="K22" s="3716"/>
      <c r="L22" s="3716"/>
      <c r="M22" s="3716"/>
      <c r="N22" s="3716"/>
      <c r="O22" s="3716"/>
      <c r="P22" s="3716"/>
      <c r="Q22" s="3717"/>
      <c r="R22" s="670">
        <f>ROUND(S22*10000/B22,0)</f>
        <v>58791</v>
      </c>
      <c r="S22" s="24">
        <f>SUM(S24:S10000)</f>
        <v>177063</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1" t="s">
        <v>2603</v>
      </c>
      <c r="S23" s="11" t="s">
        <v>2604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81" t="str">
        <f>抵押物清单!L48</f>
        <v>朝阳区酒仙桥路2号A栋8层814</v>
      </c>
      <c r="B24" s="3281">
        <f>抵押物清单!J48</f>
        <v>135.66</v>
      </c>
      <c r="C24" s="2986">
        <v>1</v>
      </c>
      <c r="D24" s="2987"/>
      <c r="E24" s="2986">
        <v>1</v>
      </c>
      <c r="F24" s="2987"/>
      <c r="G24" s="2986">
        <v>1</v>
      </c>
      <c r="H24" s="2987"/>
      <c r="I24" s="2986">
        <v>1</v>
      </c>
      <c r="J24" s="2987"/>
      <c r="K24" s="2986">
        <v>1</v>
      </c>
      <c r="L24" s="2987"/>
      <c r="M24" s="2986">
        <v>1</v>
      </c>
      <c r="N24" s="2987"/>
      <c r="O24" s="2986">
        <v>1</v>
      </c>
      <c r="P24" s="2987" t="s">
        <v>3690</v>
      </c>
      <c r="Q24" s="2986">
        <v>1</v>
      </c>
      <c r="R24" s="674">
        <f>'比较法-住宅'!C49</f>
        <v>59400</v>
      </c>
      <c r="S24" s="672">
        <f t="shared" ref="S24:S54" si="11">ROUND(R24*B24/10000,0)</f>
        <v>806</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3282" t="str">
        <f>抵押物清单!L8</f>
        <v>朝阳区酒仙桥路2号A栋1层111</v>
      </c>
      <c r="B25" s="3283">
        <f>抵押物清单!J8</f>
        <v>544.91999999999996</v>
      </c>
      <c r="C25" s="24">
        <f>IF(B25="",1,(LOOKUP(B25,$3:$3,$4:$4)-LOOKUP($B$24,$3:$3,$4:$4)+100)/100)</f>
        <v>0.96</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t="s">
        <v>3691</v>
      </c>
      <c r="Q25" s="24">
        <f>(SUMIF($17:$17,P25,$18:$18)-SUMIF($17:$17,$P$24,$18:$18)+100)/100</f>
        <v>0.97</v>
      </c>
      <c r="R25" s="670">
        <f>IF(B25="",0,ROUND($R$24*C25*E25*G25*I25*K25*M25*O25*Q25,0))</f>
        <v>55313</v>
      </c>
      <c r="S25" s="322">
        <f t="shared" si="11"/>
        <v>3014</v>
      </c>
    </row>
    <row r="26" spans="1:45">
      <c r="A26" s="3282" t="str">
        <f>抵押物清单!L9</f>
        <v>朝阳区酒仙桥路2号A栋1层112</v>
      </c>
      <c r="B26" s="3283">
        <f>抵押物清单!J9</f>
        <v>157.66</v>
      </c>
      <c r="C26" s="24">
        <f t="shared" ref="C26:C89" si="12">IF(B26="",1,(LOOKUP(B26,$3:$3,$4:$4)-LOOKUP($B$24,$3:$3,$4:$4)+100)/100)</f>
        <v>0.99</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t="s">
        <v>3691</v>
      </c>
      <c r="Q26" s="24">
        <f t="shared" ref="Q26:Q89" si="19">(SUMIF($17:$17,P26,$18:$18)-SUMIF($17:$17,$P$24,$18:$18)+100)/100</f>
        <v>0.97</v>
      </c>
      <c r="R26" s="670">
        <f t="shared" ref="R26:R89" si="20">IF(B26="",0,ROUND($R$24*C26*E26*G26*I26*K26*M26*O26*Q26,0))</f>
        <v>57042</v>
      </c>
      <c r="S26" s="322">
        <f t="shared" si="11"/>
        <v>899</v>
      </c>
    </row>
    <row r="27" spans="1:45">
      <c r="A27" s="3282" t="str">
        <f>抵押物清单!L10</f>
        <v>朝阳区酒仙桥路2号A栋2层211</v>
      </c>
      <c r="B27" s="3283">
        <f>抵押物清单!J10</f>
        <v>158.19999999999999</v>
      </c>
      <c r="C27" s="24">
        <f t="shared" si="12"/>
        <v>0.99</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t="s">
        <v>3691</v>
      </c>
      <c r="Q27" s="24">
        <f t="shared" si="19"/>
        <v>0.97</v>
      </c>
      <c r="R27" s="670">
        <f t="shared" si="20"/>
        <v>57042</v>
      </c>
      <c r="S27" s="322">
        <f t="shared" si="11"/>
        <v>902</v>
      </c>
    </row>
    <row r="28" spans="1:45">
      <c r="A28" s="3282" t="str">
        <f>抵押物清单!L11</f>
        <v>朝阳区酒仙桥路2号A栋2层212</v>
      </c>
      <c r="B28" s="3283">
        <f>抵押物清单!J11</f>
        <v>154.30000000000001</v>
      </c>
      <c r="C28" s="24">
        <f t="shared" si="12"/>
        <v>0.99</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t="s">
        <v>3691</v>
      </c>
      <c r="Q28" s="24">
        <f t="shared" si="19"/>
        <v>0.97</v>
      </c>
      <c r="R28" s="670">
        <f t="shared" si="20"/>
        <v>57042</v>
      </c>
      <c r="S28" s="322">
        <f t="shared" si="11"/>
        <v>880</v>
      </c>
    </row>
    <row r="29" spans="1:45">
      <c r="A29" s="3282" t="str">
        <f>抵押物清单!L12</f>
        <v>朝阳区酒仙桥路2号A栋2层213</v>
      </c>
      <c r="B29" s="3283">
        <f>抵押物清单!J12</f>
        <v>176.26</v>
      </c>
      <c r="C29" s="24">
        <f t="shared" si="12"/>
        <v>0.99</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t="s">
        <v>3691</v>
      </c>
      <c r="Q29" s="24">
        <f t="shared" si="19"/>
        <v>0.97</v>
      </c>
      <c r="R29" s="670">
        <f t="shared" si="20"/>
        <v>57042</v>
      </c>
      <c r="S29" s="322">
        <f t="shared" si="11"/>
        <v>1005</v>
      </c>
    </row>
    <row r="30" spans="1:45">
      <c r="A30" s="3282" t="str">
        <f>抵押物清单!L13</f>
        <v>朝阳区酒仙桥路2号A栋2层214</v>
      </c>
      <c r="B30" s="3283">
        <f>抵押物清单!J13</f>
        <v>155.13</v>
      </c>
      <c r="C30" s="24">
        <f t="shared" si="12"/>
        <v>0.99</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t="s">
        <v>3691</v>
      </c>
      <c r="Q30" s="24">
        <f t="shared" si="19"/>
        <v>0.97</v>
      </c>
      <c r="R30" s="670">
        <f t="shared" si="20"/>
        <v>57042</v>
      </c>
      <c r="S30" s="322">
        <f t="shared" si="11"/>
        <v>885</v>
      </c>
    </row>
    <row r="31" spans="1:45">
      <c r="A31" s="3282" t="str">
        <f>抵押物清单!L14</f>
        <v>朝阳区酒仙桥路2号A栋2层215</v>
      </c>
      <c r="B31" s="3283">
        <f>抵押物清单!J14</f>
        <v>111.52</v>
      </c>
      <c r="C31" s="24">
        <f t="shared" si="12"/>
        <v>1.01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t="s">
        <v>3691</v>
      </c>
      <c r="Q31" s="24">
        <f t="shared" si="19"/>
        <v>0.97</v>
      </c>
      <c r="R31" s="670">
        <f t="shared" si="20"/>
        <v>58194</v>
      </c>
      <c r="S31" s="322">
        <f t="shared" si="11"/>
        <v>649</v>
      </c>
    </row>
    <row r="32" spans="1:45">
      <c r="A32" s="3282" t="str">
        <f>抵押物清单!L15</f>
        <v>朝阳区酒仙桥路2号A栋2层216</v>
      </c>
      <c r="B32" s="3283">
        <f>抵押物清单!J15</f>
        <v>100.84</v>
      </c>
      <c r="C32" s="24">
        <f t="shared" si="12"/>
        <v>1.01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t="s">
        <v>3691</v>
      </c>
      <c r="Q32" s="24">
        <f t="shared" si="19"/>
        <v>0.97</v>
      </c>
      <c r="R32" s="670">
        <f t="shared" si="20"/>
        <v>58194</v>
      </c>
      <c r="S32" s="322">
        <f t="shared" si="11"/>
        <v>587</v>
      </c>
    </row>
    <row r="33" spans="1:19">
      <c r="A33" s="3282" t="str">
        <f>抵押物清单!L16</f>
        <v>朝阳区酒仙桥路2号A栋3层311</v>
      </c>
      <c r="B33" s="3283">
        <f>抵押物清单!J16</f>
        <v>158.19999999999999</v>
      </c>
      <c r="C33" s="24">
        <f t="shared" si="12"/>
        <v>0.99</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t="s">
        <v>3691</v>
      </c>
      <c r="Q33" s="24">
        <f t="shared" si="19"/>
        <v>0.97</v>
      </c>
      <c r="R33" s="670">
        <f t="shared" si="20"/>
        <v>57042</v>
      </c>
      <c r="S33" s="322">
        <f t="shared" si="11"/>
        <v>902</v>
      </c>
    </row>
    <row r="34" spans="1:19">
      <c r="A34" s="3282" t="str">
        <f>抵押物清单!L17</f>
        <v>朝阳区酒仙桥路2号A栋3层312</v>
      </c>
      <c r="B34" s="3283">
        <f>抵押物清单!J17</f>
        <v>154.30000000000001</v>
      </c>
      <c r="C34" s="24">
        <f t="shared" si="12"/>
        <v>0.99</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t="s">
        <v>3691</v>
      </c>
      <c r="Q34" s="24">
        <f t="shared" si="19"/>
        <v>0.97</v>
      </c>
      <c r="R34" s="670">
        <f t="shared" si="20"/>
        <v>57042</v>
      </c>
      <c r="S34" s="322">
        <f t="shared" si="11"/>
        <v>880</v>
      </c>
    </row>
    <row r="35" spans="1:19">
      <c r="A35" s="3282" t="str">
        <f>抵押物清单!L18</f>
        <v>朝阳区酒仙桥路2号A栋3层313</v>
      </c>
      <c r="B35" s="3283">
        <f>抵押物清单!J18</f>
        <v>176.26</v>
      </c>
      <c r="C35" s="24">
        <f t="shared" si="12"/>
        <v>0.99</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t="s">
        <v>3691</v>
      </c>
      <c r="Q35" s="24">
        <f t="shared" si="19"/>
        <v>0.97</v>
      </c>
      <c r="R35" s="670">
        <f t="shared" si="20"/>
        <v>57042</v>
      </c>
      <c r="S35" s="322">
        <f t="shared" si="11"/>
        <v>1005</v>
      </c>
    </row>
    <row r="36" spans="1:19">
      <c r="A36" s="3282" t="str">
        <f>抵押物清单!L19</f>
        <v>朝阳区酒仙桥路2号A栋3层314</v>
      </c>
      <c r="B36" s="3283">
        <f>抵押物清单!J19</f>
        <v>155.13</v>
      </c>
      <c r="C36" s="24">
        <f t="shared" si="12"/>
        <v>0.99</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t="s">
        <v>3691</v>
      </c>
      <c r="Q36" s="24">
        <f t="shared" si="19"/>
        <v>0.97</v>
      </c>
      <c r="R36" s="670">
        <f t="shared" si="20"/>
        <v>57042</v>
      </c>
      <c r="S36" s="322">
        <f t="shared" si="11"/>
        <v>885</v>
      </c>
    </row>
    <row r="37" spans="1:19">
      <c r="A37" s="3282" t="str">
        <f>抵押物清单!L20</f>
        <v>朝阳区酒仙桥路2号A栋3层315</v>
      </c>
      <c r="B37" s="3283">
        <f>抵押物清单!J20</f>
        <v>111.52</v>
      </c>
      <c r="C37" s="24">
        <f t="shared" si="12"/>
        <v>1.01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t="s">
        <v>3691</v>
      </c>
      <c r="Q37" s="24">
        <f t="shared" si="19"/>
        <v>0.97</v>
      </c>
      <c r="R37" s="670">
        <f t="shared" si="20"/>
        <v>58194</v>
      </c>
      <c r="S37" s="322">
        <f t="shared" si="11"/>
        <v>649</v>
      </c>
    </row>
    <row r="38" spans="1:19">
      <c r="A38" s="3282" t="str">
        <f>抵押物清单!L21</f>
        <v>朝阳区酒仙桥路2号A栋3层316</v>
      </c>
      <c r="B38" s="3283">
        <f>抵押物清单!J21</f>
        <v>100.84</v>
      </c>
      <c r="C38" s="24">
        <f t="shared" si="12"/>
        <v>1.01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t="s">
        <v>3691</v>
      </c>
      <c r="Q38" s="24">
        <f t="shared" si="19"/>
        <v>0.97</v>
      </c>
      <c r="R38" s="670">
        <f t="shared" si="20"/>
        <v>58194</v>
      </c>
      <c r="S38" s="322">
        <f t="shared" si="11"/>
        <v>587</v>
      </c>
    </row>
    <row r="39" spans="1:19">
      <c r="A39" s="3282" t="str">
        <f>抵押物清单!L22</f>
        <v>朝阳区酒仙桥路2号A栋4层411</v>
      </c>
      <c r="B39" s="3283">
        <f>抵押物清单!J22</f>
        <v>158.19999999999999</v>
      </c>
      <c r="C39" s="24">
        <f t="shared" si="12"/>
        <v>0.99</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t="s">
        <v>3691</v>
      </c>
      <c r="Q39" s="24">
        <f t="shared" si="19"/>
        <v>0.97</v>
      </c>
      <c r="R39" s="670">
        <f t="shared" si="20"/>
        <v>57042</v>
      </c>
      <c r="S39" s="322">
        <f t="shared" si="11"/>
        <v>902</v>
      </c>
    </row>
    <row r="40" spans="1:19">
      <c r="A40" s="3282" t="str">
        <f>抵押物清单!L23</f>
        <v>朝阳区酒仙桥路2号A栋4层412</v>
      </c>
      <c r="B40" s="3283">
        <f>抵押物清单!J23</f>
        <v>154.30000000000001</v>
      </c>
      <c r="C40" s="24">
        <f t="shared" si="12"/>
        <v>0.99</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t="s">
        <v>3691</v>
      </c>
      <c r="Q40" s="24">
        <f t="shared" si="19"/>
        <v>0.97</v>
      </c>
      <c r="R40" s="670">
        <f t="shared" si="20"/>
        <v>57042</v>
      </c>
      <c r="S40" s="322">
        <f t="shared" si="11"/>
        <v>880</v>
      </c>
    </row>
    <row r="41" spans="1:19">
      <c r="A41" s="3282" t="str">
        <f>抵押物清单!L24</f>
        <v>朝阳区酒仙桥路2号A栋4层413</v>
      </c>
      <c r="B41" s="3283">
        <f>抵押物清单!J24</f>
        <v>176.26</v>
      </c>
      <c r="C41" s="24">
        <f t="shared" si="12"/>
        <v>0.99</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t="s">
        <v>3691</v>
      </c>
      <c r="Q41" s="24">
        <f t="shared" si="19"/>
        <v>0.97</v>
      </c>
      <c r="R41" s="670">
        <f t="shared" si="20"/>
        <v>57042</v>
      </c>
      <c r="S41" s="322">
        <f t="shared" si="11"/>
        <v>1005</v>
      </c>
    </row>
    <row r="42" spans="1:19">
      <c r="A42" s="3282" t="str">
        <f>抵押物清单!L25</f>
        <v>朝阳区酒仙桥路2号A栋4层414</v>
      </c>
      <c r="B42" s="3283">
        <f>抵押物清单!J25</f>
        <v>155.13</v>
      </c>
      <c r="C42" s="24">
        <f t="shared" si="12"/>
        <v>0.99</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t="s">
        <v>3691</v>
      </c>
      <c r="Q42" s="24">
        <f t="shared" si="19"/>
        <v>0.97</v>
      </c>
      <c r="R42" s="670">
        <f t="shared" si="20"/>
        <v>57042</v>
      </c>
      <c r="S42" s="322">
        <f t="shared" si="11"/>
        <v>885</v>
      </c>
    </row>
    <row r="43" spans="1:19">
      <c r="A43" s="3282" t="str">
        <f>抵押物清单!L26</f>
        <v>朝阳区酒仙桥路2号A栋4层415</v>
      </c>
      <c r="B43" s="3283">
        <f>抵押物清单!J26</f>
        <v>111.52</v>
      </c>
      <c r="C43" s="24">
        <f t="shared" si="12"/>
        <v>1.01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t="s">
        <v>3691</v>
      </c>
      <c r="Q43" s="24">
        <f t="shared" si="19"/>
        <v>0.97</v>
      </c>
      <c r="R43" s="670">
        <f t="shared" si="20"/>
        <v>58194</v>
      </c>
      <c r="S43" s="322">
        <f t="shared" si="11"/>
        <v>649</v>
      </c>
    </row>
    <row r="44" spans="1:19">
      <c r="A44" s="3282" t="str">
        <f>抵押物清单!L27</f>
        <v>朝阳区酒仙桥路2号A栋4层416</v>
      </c>
      <c r="B44" s="3283">
        <f>抵押物清单!J27</f>
        <v>100.84</v>
      </c>
      <c r="C44" s="24">
        <f t="shared" si="12"/>
        <v>1.01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t="s">
        <v>3691</v>
      </c>
      <c r="Q44" s="24">
        <f t="shared" si="19"/>
        <v>0.97</v>
      </c>
      <c r="R44" s="670">
        <f t="shared" si="20"/>
        <v>58194</v>
      </c>
      <c r="S44" s="322">
        <f t="shared" si="11"/>
        <v>587</v>
      </c>
    </row>
    <row r="45" spans="1:19">
      <c r="A45" s="3282" t="str">
        <f>抵押物清单!L28</f>
        <v>朝阳区酒仙桥路2号A栋5层511</v>
      </c>
      <c r="B45" s="3283">
        <f>抵押物清单!J28</f>
        <v>158.19999999999999</v>
      </c>
      <c r="C45" s="24">
        <f t="shared" si="12"/>
        <v>0.99</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t="s">
        <v>3691</v>
      </c>
      <c r="Q45" s="24">
        <f t="shared" si="19"/>
        <v>0.97</v>
      </c>
      <c r="R45" s="670">
        <f t="shared" si="20"/>
        <v>57042</v>
      </c>
      <c r="S45" s="322">
        <f t="shared" si="11"/>
        <v>902</v>
      </c>
    </row>
    <row r="46" spans="1:19">
      <c r="A46" s="3282" t="str">
        <f>抵押物清单!L29</f>
        <v>朝阳区酒仙桥路2号A栋5层512</v>
      </c>
      <c r="B46" s="3283">
        <f>抵押物清单!J29</f>
        <v>154.30000000000001</v>
      </c>
      <c r="C46" s="24">
        <f t="shared" si="12"/>
        <v>0.99</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t="s">
        <v>3691</v>
      </c>
      <c r="Q46" s="24">
        <f t="shared" si="19"/>
        <v>0.97</v>
      </c>
      <c r="R46" s="670">
        <f t="shared" si="20"/>
        <v>57042</v>
      </c>
      <c r="S46" s="322">
        <f t="shared" si="11"/>
        <v>880</v>
      </c>
    </row>
    <row r="47" spans="1:19">
      <c r="A47" s="3282" t="str">
        <f>抵押物清单!L30</f>
        <v>朝阳区酒仙桥路2号A栋5层513</v>
      </c>
      <c r="B47" s="3283">
        <f>抵押物清单!J30</f>
        <v>176.26</v>
      </c>
      <c r="C47" s="24">
        <f t="shared" si="12"/>
        <v>0.99</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t="s">
        <v>3691</v>
      </c>
      <c r="Q47" s="24">
        <f t="shared" si="19"/>
        <v>0.97</v>
      </c>
      <c r="R47" s="670">
        <f t="shared" si="20"/>
        <v>57042</v>
      </c>
      <c r="S47" s="322">
        <f t="shared" si="11"/>
        <v>1005</v>
      </c>
    </row>
    <row r="48" spans="1:19">
      <c r="A48" s="3282" t="str">
        <f>抵押物清单!L31</f>
        <v>朝阳区酒仙桥路2号A栋5层514</v>
      </c>
      <c r="B48" s="3283">
        <f>抵押物清单!J31</f>
        <v>155.13</v>
      </c>
      <c r="C48" s="24">
        <f t="shared" si="12"/>
        <v>0.99</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t="s">
        <v>3691</v>
      </c>
      <c r="Q48" s="24">
        <f t="shared" si="19"/>
        <v>0.97</v>
      </c>
      <c r="R48" s="670">
        <f t="shared" si="20"/>
        <v>57042</v>
      </c>
      <c r="S48" s="322">
        <f t="shared" si="11"/>
        <v>885</v>
      </c>
    </row>
    <row r="49" spans="1:19">
      <c r="A49" s="3282" t="str">
        <f>抵押物清单!L32</f>
        <v>朝阳区酒仙桥路2号A栋5层515</v>
      </c>
      <c r="B49" s="3283">
        <f>抵押物清单!J32</f>
        <v>111.52</v>
      </c>
      <c r="C49" s="24">
        <f t="shared" si="12"/>
        <v>1.01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t="s">
        <v>3691</v>
      </c>
      <c r="Q49" s="24">
        <f t="shared" si="19"/>
        <v>0.97</v>
      </c>
      <c r="R49" s="670">
        <f t="shared" si="20"/>
        <v>58194</v>
      </c>
      <c r="S49" s="322">
        <f t="shared" si="11"/>
        <v>649</v>
      </c>
    </row>
    <row r="50" spans="1:19">
      <c r="A50" s="3282" t="str">
        <f>抵押物清单!L33</f>
        <v>朝阳区酒仙桥路2号A栋5层516</v>
      </c>
      <c r="B50" s="3283">
        <f>抵押物清单!J33</f>
        <v>100.84</v>
      </c>
      <c r="C50" s="24">
        <f t="shared" si="12"/>
        <v>1.01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t="s">
        <v>3691</v>
      </c>
      <c r="Q50" s="24">
        <f t="shared" si="19"/>
        <v>0.97</v>
      </c>
      <c r="R50" s="670">
        <f t="shared" si="20"/>
        <v>58194</v>
      </c>
      <c r="S50" s="322">
        <f t="shared" si="11"/>
        <v>587</v>
      </c>
    </row>
    <row r="51" spans="1:19">
      <c r="A51" s="3282" t="str">
        <f>抵押物清单!L34</f>
        <v>朝阳区酒仙桥路2号A栋6层611</v>
      </c>
      <c r="B51" s="3283">
        <f>抵押物清单!J34</f>
        <v>158.19999999999999</v>
      </c>
      <c r="C51" s="24">
        <f t="shared" si="12"/>
        <v>0.99</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t="s">
        <v>3691</v>
      </c>
      <c r="Q51" s="24">
        <f t="shared" si="19"/>
        <v>0.97</v>
      </c>
      <c r="R51" s="670">
        <f t="shared" si="20"/>
        <v>57042</v>
      </c>
      <c r="S51" s="322">
        <f t="shared" si="11"/>
        <v>902</v>
      </c>
    </row>
    <row r="52" spans="1:19">
      <c r="A52" s="3282" t="str">
        <f>抵押物清单!L35</f>
        <v>朝阳区酒仙桥路2号A栋6层612</v>
      </c>
      <c r="B52" s="3283">
        <f>抵押物清单!J35</f>
        <v>154.30000000000001</v>
      </c>
      <c r="C52" s="24">
        <f t="shared" si="12"/>
        <v>0.99</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t="s">
        <v>3691</v>
      </c>
      <c r="Q52" s="24">
        <f t="shared" si="19"/>
        <v>0.97</v>
      </c>
      <c r="R52" s="670">
        <f t="shared" si="20"/>
        <v>57042</v>
      </c>
      <c r="S52" s="322">
        <f t="shared" si="11"/>
        <v>880</v>
      </c>
    </row>
    <row r="53" spans="1:19">
      <c r="A53" s="3282" t="str">
        <f>抵押物清单!L36</f>
        <v>朝阳区酒仙桥路2号A栋6层613</v>
      </c>
      <c r="B53" s="3283">
        <f>抵押物清单!J36</f>
        <v>176.26</v>
      </c>
      <c r="C53" s="24">
        <f t="shared" si="12"/>
        <v>0.99</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t="s">
        <v>3691</v>
      </c>
      <c r="Q53" s="24">
        <f t="shared" si="19"/>
        <v>0.97</v>
      </c>
      <c r="R53" s="670">
        <f t="shared" si="20"/>
        <v>57042</v>
      </c>
      <c r="S53" s="322">
        <f t="shared" si="11"/>
        <v>1005</v>
      </c>
    </row>
    <row r="54" spans="1:19">
      <c r="A54" s="3282" t="str">
        <f>抵押物清单!L37</f>
        <v>朝阳区酒仙桥路2号A栋6层614</v>
      </c>
      <c r="B54" s="3283">
        <f>抵押物清单!J37</f>
        <v>155.13</v>
      </c>
      <c r="C54" s="24">
        <f t="shared" si="12"/>
        <v>0.99</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t="s">
        <v>3691</v>
      </c>
      <c r="Q54" s="24">
        <f t="shared" si="19"/>
        <v>0.97</v>
      </c>
      <c r="R54" s="670">
        <f t="shared" si="20"/>
        <v>57042</v>
      </c>
      <c r="S54" s="322">
        <f t="shared" si="11"/>
        <v>885</v>
      </c>
    </row>
    <row r="55" spans="1:19">
      <c r="A55" s="3282" t="str">
        <f>抵押物清单!L38</f>
        <v>朝阳区酒仙桥路2号A栋6层615</v>
      </c>
      <c r="B55" s="3283">
        <f>抵押物清单!J38</f>
        <v>111.52</v>
      </c>
      <c r="C55" s="24">
        <f t="shared" si="12"/>
        <v>1.01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t="s">
        <v>3691</v>
      </c>
      <c r="Q55" s="24">
        <f t="shared" si="19"/>
        <v>0.97</v>
      </c>
      <c r="R55" s="670">
        <f t="shared" si="20"/>
        <v>58194</v>
      </c>
      <c r="S55" s="322">
        <f t="shared" ref="S55:S77" si="21">ROUND(R55*B55/10000,0)</f>
        <v>649</v>
      </c>
    </row>
    <row r="56" spans="1:19">
      <c r="A56" s="3282" t="str">
        <f>抵押物清单!L39</f>
        <v>朝阳区酒仙桥路2号A栋6层616</v>
      </c>
      <c r="B56" s="3283">
        <f>抵押物清单!J39</f>
        <v>100.84</v>
      </c>
      <c r="C56" s="24">
        <f t="shared" si="12"/>
        <v>1.01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t="s">
        <v>3691</v>
      </c>
      <c r="Q56" s="24">
        <f t="shared" si="19"/>
        <v>0.97</v>
      </c>
      <c r="R56" s="670">
        <f t="shared" si="20"/>
        <v>58194</v>
      </c>
      <c r="S56" s="322">
        <f t="shared" si="21"/>
        <v>587</v>
      </c>
    </row>
    <row r="57" spans="1:19">
      <c r="A57" s="3282" t="str">
        <f>抵押物清单!L40</f>
        <v>朝阳区酒仙桥路2号A栋7层711</v>
      </c>
      <c r="B57" s="3283">
        <f>抵押物清单!J40</f>
        <v>158.19999999999999</v>
      </c>
      <c r="C57" s="24">
        <f t="shared" si="12"/>
        <v>0.99</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t="s">
        <v>3691</v>
      </c>
      <c r="Q57" s="24">
        <f t="shared" si="19"/>
        <v>0.97</v>
      </c>
      <c r="R57" s="670">
        <f t="shared" si="20"/>
        <v>57042</v>
      </c>
      <c r="S57" s="322">
        <f t="shared" si="21"/>
        <v>902</v>
      </c>
    </row>
    <row r="58" spans="1:19">
      <c r="A58" s="3282" t="str">
        <f>抵押物清单!L41</f>
        <v>朝阳区酒仙桥路2号A栋7层712</v>
      </c>
      <c r="B58" s="3283">
        <f>抵押物清单!J41</f>
        <v>154.30000000000001</v>
      </c>
      <c r="C58" s="24">
        <f t="shared" si="12"/>
        <v>0.99</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t="s">
        <v>3691</v>
      </c>
      <c r="Q58" s="24">
        <f t="shared" si="19"/>
        <v>0.97</v>
      </c>
      <c r="R58" s="670">
        <f t="shared" si="20"/>
        <v>57042</v>
      </c>
      <c r="S58" s="322">
        <f t="shared" si="21"/>
        <v>880</v>
      </c>
    </row>
    <row r="59" spans="1:19">
      <c r="A59" s="3282" t="str">
        <f>抵押物清单!L42</f>
        <v>朝阳区酒仙桥路2号A栋7层713</v>
      </c>
      <c r="B59" s="3283">
        <f>抵押物清单!J42</f>
        <v>194.67</v>
      </c>
      <c r="C59" s="24">
        <f t="shared" si="12"/>
        <v>0.98</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t="s">
        <v>3691</v>
      </c>
      <c r="Q59" s="24">
        <f t="shared" si="19"/>
        <v>0.97</v>
      </c>
      <c r="R59" s="670">
        <f t="shared" si="20"/>
        <v>56466</v>
      </c>
      <c r="S59" s="322">
        <f t="shared" si="21"/>
        <v>1099</v>
      </c>
    </row>
    <row r="60" spans="1:19">
      <c r="A60" s="3282" t="str">
        <f>抵押物清单!L43</f>
        <v>朝阳区酒仙桥路2号A栋7层714</v>
      </c>
      <c r="B60" s="3283">
        <f>抵押物清单!J43</f>
        <v>135.66</v>
      </c>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t="s">
        <v>3691</v>
      </c>
      <c r="Q60" s="24">
        <f t="shared" si="19"/>
        <v>0.97</v>
      </c>
      <c r="R60" s="670">
        <f t="shared" si="20"/>
        <v>57618</v>
      </c>
      <c r="S60" s="322">
        <f t="shared" si="21"/>
        <v>782</v>
      </c>
    </row>
    <row r="61" spans="1:19">
      <c r="A61" s="3282" t="str">
        <f>抵押物清单!L44</f>
        <v>朝阳区酒仙桥路2号A栋7层715</v>
      </c>
      <c r="B61" s="3283">
        <f>抵押物清单!J44</f>
        <v>147.19</v>
      </c>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t="s">
        <v>3691</v>
      </c>
      <c r="Q61" s="24">
        <f t="shared" si="19"/>
        <v>0.97</v>
      </c>
      <c r="R61" s="670">
        <f t="shared" si="20"/>
        <v>57618</v>
      </c>
      <c r="S61" s="322">
        <f t="shared" si="21"/>
        <v>848</v>
      </c>
    </row>
    <row r="62" spans="1:19">
      <c r="A62" s="3282" t="str">
        <f>抵押物清单!L45</f>
        <v>朝阳区酒仙桥路2号A栋8层811</v>
      </c>
      <c r="B62" s="3283">
        <f>抵押物清单!J45</f>
        <v>158.19999999999999</v>
      </c>
      <c r="C62" s="24">
        <f t="shared" si="12"/>
        <v>0.99</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t="s">
        <v>3690</v>
      </c>
      <c r="Q62" s="24">
        <f t="shared" si="19"/>
        <v>1</v>
      </c>
      <c r="R62" s="670">
        <f t="shared" si="20"/>
        <v>58806</v>
      </c>
      <c r="S62" s="322">
        <f t="shared" si="21"/>
        <v>930</v>
      </c>
    </row>
    <row r="63" spans="1:19">
      <c r="A63" s="3282" t="str">
        <f>抵押物清单!L46</f>
        <v>朝阳区酒仙桥路2号A栋8层812</v>
      </c>
      <c r="B63" s="3283">
        <f>抵押物清单!J46</f>
        <v>154.30000000000001</v>
      </c>
      <c r="C63" s="24">
        <f t="shared" si="12"/>
        <v>0.99</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t="s">
        <v>3690</v>
      </c>
      <c r="Q63" s="24">
        <f t="shared" si="19"/>
        <v>1</v>
      </c>
      <c r="R63" s="670">
        <f t="shared" si="20"/>
        <v>58806</v>
      </c>
      <c r="S63" s="322">
        <f t="shared" si="21"/>
        <v>907</v>
      </c>
    </row>
    <row r="64" spans="1:19">
      <c r="A64" s="3282" t="str">
        <f>抵押物清单!L47</f>
        <v>朝阳区酒仙桥路2号A栋8层813</v>
      </c>
      <c r="B64" s="3283">
        <f>抵押物清单!J47</f>
        <v>194.67</v>
      </c>
      <c r="C64" s="24">
        <f t="shared" si="12"/>
        <v>0.98</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t="s">
        <v>3690</v>
      </c>
      <c r="Q64" s="24">
        <f t="shared" si="19"/>
        <v>1</v>
      </c>
      <c r="R64" s="670">
        <f t="shared" si="20"/>
        <v>58212</v>
      </c>
      <c r="S64" s="322">
        <f t="shared" si="21"/>
        <v>1133</v>
      </c>
    </row>
    <row r="65" spans="1:19">
      <c r="A65" s="3282"/>
      <c r="B65" s="3283"/>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t="s">
        <v>3690</v>
      </c>
      <c r="Q65" s="24">
        <f t="shared" si="19"/>
        <v>1</v>
      </c>
      <c r="R65" s="670">
        <f t="shared" si="20"/>
        <v>0</v>
      </c>
      <c r="S65" s="322">
        <f t="shared" si="21"/>
        <v>0</v>
      </c>
    </row>
    <row r="66" spans="1:19">
      <c r="A66" s="3282" t="str">
        <f>抵押物清单!L49</f>
        <v>朝阳区酒仙桥路2号A栋8层815</v>
      </c>
      <c r="B66" s="3283">
        <f>抵押物清单!J49</f>
        <v>147.19</v>
      </c>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t="s">
        <v>3690</v>
      </c>
      <c r="Q66" s="24">
        <f t="shared" si="19"/>
        <v>1</v>
      </c>
      <c r="R66" s="670">
        <f t="shared" si="20"/>
        <v>59400</v>
      </c>
      <c r="S66" s="322">
        <f t="shared" si="21"/>
        <v>874</v>
      </c>
    </row>
    <row r="67" spans="1:19">
      <c r="A67" s="3282" t="str">
        <f>抵押物清单!L50</f>
        <v>朝阳区酒仙桥路2号A栋9层911</v>
      </c>
      <c r="B67" s="3283">
        <f>抵押物清单!J50</f>
        <v>158.19999999999999</v>
      </c>
      <c r="C67" s="24">
        <f t="shared" si="12"/>
        <v>0.99</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t="s">
        <v>3690</v>
      </c>
      <c r="Q67" s="24">
        <f t="shared" si="19"/>
        <v>1</v>
      </c>
      <c r="R67" s="670">
        <f t="shared" si="20"/>
        <v>58806</v>
      </c>
      <c r="S67" s="322">
        <f t="shared" si="21"/>
        <v>930</v>
      </c>
    </row>
    <row r="68" spans="1:19">
      <c r="A68" s="3282" t="str">
        <f>抵押物清单!L51</f>
        <v>朝阳区酒仙桥路2号A栋9层912</v>
      </c>
      <c r="B68" s="3283">
        <f>抵押物清单!J51</f>
        <v>154.30000000000001</v>
      </c>
      <c r="C68" s="24">
        <f t="shared" si="12"/>
        <v>0.99</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t="s">
        <v>3690</v>
      </c>
      <c r="Q68" s="24">
        <f t="shared" si="19"/>
        <v>1</v>
      </c>
      <c r="R68" s="670">
        <f t="shared" si="20"/>
        <v>58806</v>
      </c>
      <c r="S68" s="322">
        <f t="shared" si="21"/>
        <v>907</v>
      </c>
    </row>
    <row r="69" spans="1:19">
      <c r="A69" s="3282" t="str">
        <f>抵押物清单!L52</f>
        <v>朝阳区酒仙桥路2号A栋9层913</v>
      </c>
      <c r="B69" s="3283">
        <f>抵押物清单!J52</f>
        <v>194.67</v>
      </c>
      <c r="C69" s="24">
        <f t="shared" si="12"/>
        <v>0.98</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t="s">
        <v>3690</v>
      </c>
      <c r="Q69" s="24">
        <f t="shared" si="19"/>
        <v>1</v>
      </c>
      <c r="R69" s="670">
        <f t="shared" si="20"/>
        <v>58212</v>
      </c>
      <c r="S69" s="322">
        <f t="shared" si="21"/>
        <v>1133</v>
      </c>
    </row>
    <row r="70" spans="1:19">
      <c r="A70" s="3282" t="str">
        <f>抵押物清单!L53</f>
        <v>朝阳区酒仙桥路2号A栋9层914</v>
      </c>
      <c r="B70" s="3283">
        <f>抵押物清单!J53</f>
        <v>135.66</v>
      </c>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t="s">
        <v>3690</v>
      </c>
      <c r="Q70" s="24">
        <f t="shared" si="19"/>
        <v>1</v>
      </c>
      <c r="R70" s="670">
        <f t="shared" si="20"/>
        <v>59400</v>
      </c>
      <c r="S70" s="322">
        <f t="shared" si="21"/>
        <v>806</v>
      </c>
    </row>
    <row r="71" spans="1:19">
      <c r="A71" s="3282" t="str">
        <f>抵押物清单!L54</f>
        <v>朝阳区酒仙桥路2号A栋9层915</v>
      </c>
      <c r="B71" s="3283">
        <f>抵押物清单!J54</f>
        <v>147.19</v>
      </c>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t="s">
        <v>3690</v>
      </c>
      <c r="Q71" s="24">
        <f t="shared" si="19"/>
        <v>1</v>
      </c>
      <c r="R71" s="670">
        <f t="shared" si="20"/>
        <v>59400</v>
      </c>
      <c r="S71" s="322">
        <f t="shared" si="21"/>
        <v>874</v>
      </c>
    </row>
    <row r="72" spans="1:19">
      <c r="A72" s="3282" t="str">
        <f>抵押物清单!L55</f>
        <v>朝阳区酒仙桥路2号A栋10层1011</v>
      </c>
      <c r="B72" s="3283">
        <f>抵押物清单!J55</f>
        <v>158.19999999999999</v>
      </c>
      <c r="C72" s="24">
        <f t="shared" si="12"/>
        <v>0.99</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t="s">
        <v>3690</v>
      </c>
      <c r="Q72" s="24">
        <f t="shared" si="19"/>
        <v>1</v>
      </c>
      <c r="R72" s="670">
        <f t="shared" si="20"/>
        <v>58806</v>
      </c>
      <c r="S72" s="322">
        <f t="shared" si="21"/>
        <v>930</v>
      </c>
    </row>
    <row r="73" spans="1:19">
      <c r="A73" s="3282" t="str">
        <f>抵押物清单!L56</f>
        <v>朝阳区酒仙桥路2号A栋10层1012</v>
      </c>
      <c r="B73" s="3283">
        <f>抵押物清单!J56</f>
        <v>154.30000000000001</v>
      </c>
      <c r="C73" s="24">
        <f t="shared" si="12"/>
        <v>0.99</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t="s">
        <v>3690</v>
      </c>
      <c r="Q73" s="24">
        <f t="shared" si="19"/>
        <v>1</v>
      </c>
      <c r="R73" s="670">
        <f t="shared" si="20"/>
        <v>58806</v>
      </c>
      <c r="S73" s="322">
        <f t="shared" si="21"/>
        <v>907</v>
      </c>
    </row>
    <row r="74" spans="1:19">
      <c r="A74" s="3282" t="str">
        <f>抵押物清单!L57</f>
        <v>朝阳区酒仙桥路2号A栋10层1013</v>
      </c>
      <c r="B74" s="3283">
        <f>抵押物清单!J57</f>
        <v>194.67</v>
      </c>
      <c r="C74" s="24">
        <f t="shared" si="12"/>
        <v>0.98</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t="s">
        <v>3690</v>
      </c>
      <c r="Q74" s="24">
        <f t="shared" si="19"/>
        <v>1</v>
      </c>
      <c r="R74" s="670">
        <f t="shared" si="20"/>
        <v>58212</v>
      </c>
      <c r="S74" s="322">
        <f t="shared" si="21"/>
        <v>1133</v>
      </c>
    </row>
    <row r="75" spans="1:19">
      <c r="A75" s="3282" t="str">
        <f>抵押物清单!L58</f>
        <v>朝阳区酒仙桥路2号A栋10层1014</v>
      </c>
      <c r="B75" s="3283">
        <f>抵押物清单!J58</f>
        <v>135.66</v>
      </c>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t="s">
        <v>3690</v>
      </c>
      <c r="Q75" s="24">
        <f t="shared" si="19"/>
        <v>1</v>
      </c>
      <c r="R75" s="670">
        <f t="shared" si="20"/>
        <v>59400</v>
      </c>
      <c r="S75" s="322">
        <f t="shared" si="21"/>
        <v>806</v>
      </c>
    </row>
    <row r="76" spans="1:19">
      <c r="A76" s="3282" t="str">
        <f>抵押物清单!L59</f>
        <v>朝阳区酒仙桥路2号A栋10层1015</v>
      </c>
      <c r="B76" s="3283">
        <f>抵押物清单!J59</f>
        <v>147.19</v>
      </c>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t="s">
        <v>3690</v>
      </c>
      <c r="Q76" s="24">
        <f t="shared" si="19"/>
        <v>1</v>
      </c>
      <c r="R76" s="670">
        <f t="shared" si="20"/>
        <v>59400</v>
      </c>
      <c r="S76" s="322">
        <f t="shared" si="21"/>
        <v>874</v>
      </c>
    </row>
    <row r="77" spans="1:19">
      <c r="A77" s="3282" t="str">
        <f>抵押物清单!L60</f>
        <v>朝阳区酒仙桥路2号A栋11层1111</v>
      </c>
      <c r="B77" s="3283">
        <f>抵押物清单!J60</f>
        <v>158.19999999999999</v>
      </c>
      <c r="C77" s="24">
        <f t="shared" si="12"/>
        <v>0.99</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t="s">
        <v>3690</v>
      </c>
      <c r="Q77" s="24">
        <f t="shared" si="19"/>
        <v>1</v>
      </c>
      <c r="R77" s="670">
        <f t="shared" si="20"/>
        <v>58806</v>
      </c>
      <c r="S77" s="322">
        <f t="shared" si="21"/>
        <v>930</v>
      </c>
    </row>
    <row r="78" spans="1:19">
      <c r="A78" s="3282" t="str">
        <f>抵押物清单!L61</f>
        <v>朝阳区酒仙桥路2号A栋11层1112</v>
      </c>
      <c r="B78" s="3283">
        <f>抵押物清单!J61</f>
        <v>154.30000000000001</v>
      </c>
      <c r="C78" s="24">
        <f t="shared" si="12"/>
        <v>0.99</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t="s">
        <v>3690</v>
      </c>
      <c r="Q78" s="24">
        <f t="shared" si="19"/>
        <v>1</v>
      </c>
      <c r="R78" s="670">
        <f t="shared" si="20"/>
        <v>58806</v>
      </c>
      <c r="S78" s="322">
        <f t="shared" ref="S78:S122" si="22">ROUND(R78*B78/10000,0)</f>
        <v>907</v>
      </c>
    </row>
    <row r="79" spans="1:19">
      <c r="A79" s="3282" t="str">
        <f>抵押物清单!L62</f>
        <v>朝阳区酒仙桥路2号A栋11层1113</v>
      </c>
      <c r="B79" s="3283">
        <f>抵押物清单!J62</f>
        <v>194.67</v>
      </c>
      <c r="C79" s="24">
        <f t="shared" si="12"/>
        <v>0.98</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t="s">
        <v>3690</v>
      </c>
      <c r="Q79" s="24">
        <f t="shared" si="19"/>
        <v>1</v>
      </c>
      <c r="R79" s="670">
        <f t="shared" si="20"/>
        <v>58212</v>
      </c>
      <c r="S79" s="322">
        <f t="shared" si="22"/>
        <v>1133</v>
      </c>
    </row>
    <row r="80" spans="1:19">
      <c r="A80" s="3282" t="str">
        <f>抵押物清单!L63</f>
        <v>朝阳区酒仙桥路2号A栋11层1114</v>
      </c>
      <c r="B80" s="3283">
        <f>抵押物清单!J63</f>
        <v>135.66</v>
      </c>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t="s">
        <v>3690</v>
      </c>
      <c r="Q80" s="24">
        <f t="shared" si="19"/>
        <v>1</v>
      </c>
      <c r="R80" s="670">
        <f t="shared" si="20"/>
        <v>59400</v>
      </c>
      <c r="S80" s="322">
        <f t="shared" si="22"/>
        <v>806</v>
      </c>
    </row>
    <row r="81" spans="1:19">
      <c r="A81" s="3282" t="str">
        <f>抵押物清单!L64</f>
        <v>朝阳区酒仙桥路2号A栋11层1115</v>
      </c>
      <c r="B81" s="3283">
        <f>抵押物清单!J64</f>
        <v>147.19</v>
      </c>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t="s">
        <v>3690</v>
      </c>
      <c r="Q81" s="24">
        <f t="shared" si="19"/>
        <v>1</v>
      </c>
      <c r="R81" s="670">
        <f t="shared" si="20"/>
        <v>59400</v>
      </c>
      <c r="S81" s="322">
        <f t="shared" si="22"/>
        <v>874</v>
      </c>
    </row>
    <row r="82" spans="1:19">
      <c r="A82" s="3282" t="str">
        <f>抵押物清单!L65</f>
        <v>朝阳区酒仙桥路2号A栋12层1211</v>
      </c>
      <c r="B82" s="3283">
        <f>抵押物清单!J65</f>
        <v>158.19999999999999</v>
      </c>
      <c r="C82" s="24">
        <f t="shared" si="12"/>
        <v>0.99</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t="s">
        <v>3690</v>
      </c>
      <c r="Q82" s="24">
        <f t="shared" si="19"/>
        <v>1</v>
      </c>
      <c r="R82" s="670">
        <f t="shared" si="20"/>
        <v>58806</v>
      </c>
      <c r="S82" s="322">
        <f t="shared" si="22"/>
        <v>930</v>
      </c>
    </row>
    <row r="83" spans="1:19">
      <c r="A83" s="3282" t="str">
        <f>抵押物清单!L66</f>
        <v>朝阳区酒仙桥路2号A栋12层1212</v>
      </c>
      <c r="B83" s="3283">
        <f>抵押物清单!J66</f>
        <v>154.30000000000001</v>
      </c>
      <c r="C83" s="24">
        <f t="shared" si="12"/>
        <v>0.99</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t="s">
        <v>3690</v>
      </c>
      <c r="Q83" s="24">
        <f t="shared" si="19"/>
        <v>1</v>
      </c>
      <c r="R83" s="670">
        <f t="shared" si="20"/>
        <v>58806</v>
      </c>
      <c r="S83" s="322">
        <f t="shared" si="22"/>
        <v>907</v>
      </c>
    </row>
    <row r="84" spans="1:19">
      <c r="A84" s="3282" t="str">
        <f>抵押物清单!L67</f>
        <v>朝阳区酒仙桥路2号A栋12层1213</v>
      </c>
      <c r="B84" s="3283">
        <f>抵押物清单!J67</f>
        <v>194.67</v>
      </c>
      <c r="C84" s="24">
        <f t="shared" si="12"/>
        <v>0.98</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t="s">
        <v>3690</v>
      </c>
      <c r="Q84" s="24">
        <f t="shared" si="19"/>
        <v>1</v>
      </c>
      <c r="R84" s="670">
        <f t="shared" si="20"/>
        <v>58212</v>
      </c>
      <c r="S84" s="322">
        <f t="shared" si="22"/>
        <v>1133</v>
      </c>
    </row>
    <row r="85" spans="1:19">
      <c r="A85" s="3282" t="str">
        <f>抵押物清单!L68</f>
        <v>朝阳区酒仙桥路2号A栋12层1214</v>
      </c>
      <c r="B85" s="3283">
        <f>抵押物清单!J68</f>
        <v>135.66</v>
      </c>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t="s">
        <v>3690</v>
      </c>
      <c r="Q85" s="24">
        <f t="shared" si="19"/>
        <v>1</v>
      </c>
      <c r="R85" s="670">
        <f t="shared" si="20"/>
        <v>59400</v>
      </c>
      <c r="S85" s="322">
        <f t="shared" si="22"/>
        <v>806</v>
      </c>
    </row>
    <row r="86" spans="1:19">
      <c r="A86" s="3282" t="str">
        <f>抵押物清单!L69</f>
        <v>朝阳区酒仙桥路2号A栋12层1215</v>
      </c>
      <c r="B86" s="3283">
        <f>抵押物清单!J69</f>
        <v>147.19</v>
      </c>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t="s">
        <v>3690</v>
      </c>
      <c r="Q86" s="24">
        <f t="shared" si="19"/>
        <v>1</v>
      </c>
      <c r="R86" s="670">
        <f t="shared" si="20"/>
        <v>59400</v>
      </c>
      <c r="S86" s="322">
        <f t="shared" si="22"/>
        <v>874</v>
      </c>
    </row>
    <row r="87" spans="1:19">
      <c r="A87" s="3282" t="str">
        <f>抵押物清单!L70</f>
        <v>朝阳区酒仙桥路2号A栋13层1311</v>
      </c>
      <c r="B87" s="3283">
        <f>抵押物清单!J70</f>
        <v>158.19999999999999</v>
      </c>
      <c r="C87" s="24">
        <f t="shared" si="12"/>
        <v>0.99</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t="s">
        <v>3690</v>
      </c>
      <c r="Q87" s="24">
        <f t="shared" si="19"/>
        <v>1</v>
      </c>
      <c r="R87" s="670">
        <f t="shared" si="20"/>
        <v>58806</v>
      </c>
      <c r="S87" s="322">
        <f t="shared" si="22"/>
        <v>930</v>
      </c>
    </row>
    <row r="88" spans="1:19">
      <c r="A88" s="3282" t="str">
        <f>抵押物清单!L71</f>
        <v>朝阳区酒仙桥路2号A栋13层1312</v>
      </c>
      <c r="B88" s="3283">
        <f>抵押物清单!J71</f>
        <v>154.30000000000001</v>
      </c>
      <c r="C88" s="24">
        <f t="shared" si="12"/>
        <v>0.99</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t="s">
        <v>3690</v>
      </c>
      <c r="Q88" s="24">
        <f t="shared" si="19"/>
        <v>1</v>
      </c>
      <c r="R88" s="670">
        <f t="shared" si="20"/>
        <v>58806</v>
      </c>
      <c r="S88" s="322">
        <f t="shared" si="22"/>
        <v>907</v>
      </c>
    </row>
    <row r="89" spans="1:19">
      <c r="A89" s="3282" t="str">
        <f>抵押物清单!L72</f>
        <v>朝阳区酒仙桥路2号A栋13层1313</v>
      </c>
      <c r="B89" s="3283">
        <f>抵押物清单!J72</f>
        <v>194.67</v>
      </c>
      <c r="C89" s="24">
        <f t="shared" si="12"/>
        <v>0.98</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t="s">
        <v>3690</v>
      </c>
      <c r="Q89" s="24">
        <f t="shared" si="19"/>
        <v>1</v>
      </c>
      <c r="R89" s="670">
        <f t="shared" si="20"/>
        <v>58212</v>
      </c>
      <c r="S89" s="322">
        <f t="shared" si="22"/>
        <v>1133</v>
      </c>
    </row>
    <row r="90" spans="1:19">
      <c r="A90" s="3282" t="str">
        <f>抵押物清单!L73</f>
        <v>朝阳区酒仙桥路2号A栋13层1314</v>
      </c>
      <c r="B90" s="3283">
        <f>抵押物清单!J73</f>
        <v>135.66</v>
      </c>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t="s">
        <v>3690</v>
      </c>
      <c r="Q90" s="24">
        <f t="shared" ref="Q90:Q153" si="30">(SUMIF($17:$17,P90,$18:$18)-SUMIF($17:$17,$P$24,$18:$18)+100)/100</f>
        <v>1</v>
      </c>
      <c r="R90" s="670">
        <f t="shared" ref="R90:R153" si="31">IF(B90="",0,ROUND($R$24*C90*E90*G90*I90*K90*M90*O90*Q90,0))</f>
        <v>59400</v>
      </c>
      <c r="S90" s="322">
        <f t="shared" si="22"/>
        <v>806</v>
      </c>
    </row>
    <row r="91" spans="1:19">
      <c r="A91" s="3282" t="str">
        <f>抵押物清单!L74</f>
        <v>朝阳区酒仙桥路2号A栋13层1315</v>
      </c>
      <c r="B91" s="3283">
        <f>抵押物清单!J74</f>
        <v>147.19</v>
      </c>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t="s">
        <v>3690</v>
      </c>
      <c r="Q91" s="24">
        <f t="shared" si="30"/>
        <v>1</v>
      </c>
      <c r="R91" s="670">
        <f t="shared" si="31"/>
        <v>59400</v>
      </c>
      <c r="S91" s="322">
        <f t="shared" si="22"/>
        <v>874</v>
      </c>
    </row>
    <row r="92" spans="1:19">
      <c r="A92" s="3282" t="str">
        <f>抵押物清单!L75</f>
        <v>朝阳区酒仙桥路2号A栋14层1411</v>
      </c>
      <c r="B92" s="3283">
        <f>抵押物清单!J75</f>
        <v>158.19999999999999</v>
      </c>
      <c r="C92" s="24">
        <f t="shared" si="23"/>
        <v>0.99</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t="s">
        <v>3690</v>
      </c>
      <c r="Q92" s="24">
        <f t="shared" si="30"/>
        <v>1</v>
      </c>
      <c r="R92" s="670">
        <f t="shared" si="31"/>
        <v>58806</v>
      </c>
      <c r="S92" s="322">
        <f t="shared" si="22"/>
        <v>930</v>
      </c>
    </row>
    <row r="93" spans="1:19">
      <c r="A93" s="3282" t="str">
        <f>抵押物清单!L76</f>
        <v>朝阳区酒仙桥路2号A栋14层1412</v>
      </c>
      <c r="B93" s="3283">
        <f>抵押物清单!J76</f>
        <v>154.30000000000001</v>
      </c>
      <c r="C93" s="24">
        <f t="shared" si="23"/>
        <v>0.99</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t="s">
        <v>3690</v>
      </c>
      <c r="Q93" s="24">
        <f t="shared" si="30"/>
        <v>1</v>
      </c>
      <c r="R93" s="670">
        <f t="shared" si="31"/>
        <v>58806</v>
      </c>
      <c r="S93" s="322">
        <f t="shared" si="22"/>
        <v>907</v>
      </c>
    </row>
    <row r="94" spans="1:19">
      <c r="A94" s="3282" t="str">
        <f>抵押物清单!L77</f>
        <v>朝阳区酒仙桥路2号A栋14层1413</v>
      </c>
      <c r="B94" s="3283">
        <f>抵押物清单!J77</f>
        <v>194.67</v>
      </c>
      <c r="C94" s="24">
        <f t="shared" si="23"/>
        <v>0.98</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t="s">
        <v>3690</v>
      </c>
      <c r="Q94" s="24">
        <f t="shared" si="30"/>
        <v>1</v>
      </c>
      <c r="R94" s="670">
        <f t="shared" si="31"/>
        <v>58212</v>
      </c>
      <c r="S94" s="322">
        <f t="shared" si="22"/>
        <v>1133</v>
      </c>
    </row>
    <row r="95" spans="1:19">
      <c r="A95" s="3282" t="str">
        <f>抵押物清单!L78</f>
        <v>朝阳区酒仙桥路2号A栋14层1414</v>
      </c>
      <c r="B95" s="3283">
        <f>抵押物清单!J78</f>
        <v>135.66</v>
      </c>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t="s">
        <v>3690</v>
      </c>
      <c r="Q95" s="24">
        <f t="shared" si="30"/>
        <v>1</v>
      </c>
      <c r="R95" s="670">
        <f t="shared" si="31"/>
        <v>59400</v>
      </c>
      <c r="S95" s="322">
        <f t="shared" si="22"/>
        <v>806</v>
      </c>
    </row>
    <row r="96" spans="1:19">
      <c r="A96" s="3282" t="str">
        <f>抵押物清单!L79</f>
        <v>朝阳区酒仙桥路2号A栋14层1415</v>
      </c>
      <c r="B96" s="3283">
        <f>抵押物清单!J79</f>
        <v>147.19</v>
      </c>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t="s">
        <v>3690</v>
      </c>
      <c r="Q96" s="24">
        <f t="shared" si="30"/>
        <v>1</v>
      </c>
      <c r="R96" s="670">
        <f t="shared" si="31"/>
        <v>59400</v>
      </c>
      <c r="S96" s="322">
        <f t="shared" si="22"/>
        <v>874</v>
      </c>
    </row>
    <row r="97" spans="1:19">
      <c r="A97" s="3282" t="str">
        <f>抵押物清单!L80</f>
        <v>朝阳区酒仙桥路2号A栋15层1511</v>
      </c>
      <c r="B97" s="3283">
        <f>抵押物清单!J80</f>
        <v>158.19999999999999</v>
      </c>
      <c r="C97" s="24">
        <f t="shared" si="23"/>
        <v>0.99</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t="s">
        <v>3692</v>
      </c>
      <c r="Q97" s="24">
        <f t="shared" si="30"/>
        <v>1.03</v>
      </c>
      <c r="R97" s="670">
        <f t="shared" si="31"/>
        <v>60570</v>
      </c>
      <c r="S97" s="322">
        <f t="shared" si="22"/>
        <v>958</v>
      </c>
    </row>
    <row r="98" spans="1:19">
      <c r="A98" s="3282" t="str">
        <f>抵押物清单!L81</f>
        <v>朝阳区酒仙桥路2号A栋15层1512</v>
      </c>
      <c r="B98" s="3283">
        <f>抵押物清单!J81</f>
        <v>154.30000000000001</v>
      </c>
      <c r="C98" s="24">
        <f t="shared" si="23"/>
        <v>0.99</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t="s">
        <v>3692</v>
      </c>
      <c r="Q98" s="24">
        <f t="shared" si="30"/>
        <v>1.03</v>
      </c>
      <c r="R98" s="670">
        <f t="shared" si="31"/>
        <v>60570</v>
      </c>
      <c r="S98" s="322">
        <f t="shared" si="22"/>
        <v>935</v>
      </c>
    </row>
    <row r="99" spans="1:19">
      <c r="A99" s="3282" t="str">
        <f>抵押物清单!L82</f>
        <v>朝阳区酒仙桥路2号A栋15层1513</v>
      </c>
      <c r="B99" s="3283">
        <f>抵押物清单!J82</f>
        <v>194.67</v>
      </c>
      <c r="C99" s="24">
        <f t="shared" si="23"/>
        <v>0.98</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t="s">
        <v>3692</v>
      </c>
      <c r="Q99" s="24">
        <f t="shared" si="30"/>
        <v>1.03</v>
      </c>
      <c r="R99" s="670">
        <f t="shared" si="31"/>
        <v>59958</v>
      </c>
      <c r="S99" s="322">
        <f t="shared" si="22"/>
        <v>1167</v>
      </c>
    </row>
    <row r="100" spans="1:19">
      <c r="A100" s="3282" t="str">
        <f>抵押物清单!L83</f>
        <v>朝阳区酒仙桥路2号A栋15层1514</v>
      </c>
      <c r="B100" s="3283">
        <f>抵押物清单!J83</f>
        <v>135.66</v>
      </c>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t="s">
        <v>3692</v>
      </c>
      <c r="Q100" s="24">
        <f t="shared" si="30"/>
        <v>1.03</v>
      </c>
      <c r="R100" s="670">
        <f t="shared" si="31"/>
        <v>61182</v>
      </c>
      <c r="S100" s="322">
        <f t="shared" si="22"/>
        <v>830</v>
      </c>
    </row>
    <row r="101" spans="1:19">
      <c r="A101" s="3282" t="str">
        <f>抵押物清单!L84</f>
        <v>朝阳区酒仙桥路2号A栋15层1515</v>
      </c>
      <c r="B101" s="3283">
        <f>抵押物清单!J84</f>
        <v>147.19</v>
      </c>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t="s">
        <v>3692</v>
      </c>
      <c r="Q101" s="24">
        <f t="shared" si="30"/>
        <v>1.03</v>
      </c>
      <c r="R101" s="670">
        <f t="shared" si="31"/>
        <v>61182</v>
      </c>
      <c r="S101" s="322">
        <f t="shared" si="22"/>
        <v>901</v>
      </c>
    </row>
    <row r="102" spans="1:19">
      <c r="A102" s="3282" t="str">
        <f>抵押物清单!L85</f>
        <v>朝阳区酒仙桥路2号A栋16层1611</v>
      </c>
      <c r="B102" s="3283">
        <f>抵押物清单!J85</f>
        <v>158.19999999999999</v>
      </c>
      <c r="C102" s="24">
        <f t="shared" si="23"/>
        <v>0.99</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t="s">
        <v>3692</v>
      </c>
      <c r="Q102" s="24">
        <f t="shared" si="30"/>
        <v>1.03</v>
      </c>
      <c r="R102" s="670">
        <f t="shared" si="31"/>
        <v>60570</v>
      </c>
      <c r="S102" s="322">
        <f t="shared" si="22"/>
        <v>958</v>
      </c>
    </row>
    <row r="103" spans="1:19">
      <c r="A103" s="3282" t="str">
        <f>抵押物清单!L86</f>
        <v>朝阳区酒仙桥路2号A栋16层1612</v>
      </c>
      <c r="B103" s="3283">
        <f>抵押物清单!J86</f>
        <v>154.30000000000001</v>
      </c>
      <c r="C103" s="24">
        <f t="shared" si="23"/>
        <v>0.99</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t="s">
        <v>3692</v>
      </c>
      <c r="Q103" s="24">
        <f t="shared" si="30"/>
        <v>1.03</v>
      </c>
      <c r="R103" s="670">
        <f t="shared" si="31"/>
        <v>60570</v>
      </c>
      <c r="S103" s="322">
        <f t="shared" si="22"/>
        <v>935</v>
      </c>
    </row>
    <row r="104" spans="1:19">
      <c r="A104" s="3282" t="str">
        <f>抵押物清单!L87</f>
        <v>朝阳区酒仙桥路2号A栋16层1613</v>
      </c>
      <c r="B104" s="3283">
        <f>抵押物清单!J87</f>
        <v>194.67</v>
      </c>
      <c r="C104" s="24">
        <f t="shared" si="23"/>
        <v>0.98</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t="s">
        <v>3692</v>
      </c>
      <c r="Q104" s="24">
        <f t="shared" si="30"/>
        <v>1.03</v>
      </c>
      <c r="R104" s="670">
        <f t="shared" si="31"/>
        <v>59958</v>
      </c>
      <c r="S104" s="322">
        <f t="shared" si="22"/>
        <v>1167</v>
      </c>
    </row>
    <row r="105" spans="1:19">
      <c r="A105" s="3282" t="str">
        <f>抵押物清单!L88</f>
        <v>朝阳区酒仙桥路2号A栋16层1614</v>
      </c>
      <c r="B105" s="3283">
        <f>抵押物清单!J88</f>
        <v>135.66</v>
      </c>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t="s">
        <v>3692</v>
      </c>
      <c r="Q105" s="24">
        <f t="shared" si="30"/>
        <v>1.03</v>
      </c>
      <c r="R105" s="670">
        <f t="shared" si="31"/>
        <v>61182</v>
      </c>
      <c r="S105" s="322">
        <f t="shared" si="22"/>
        <v>830</v>
      </c>
    </row>
    <row r="106" spans="1:19">
      <c r="A106" s="3282" t="str">
        <f>抵押物清单!L89</f>
        <v>朝阳区酒仙桥路2号A栋16层1615</v>
      </c>
      <c r="B106" s="3283">
        <f>抵押物清单!J89</f>
        <v>147.19</v>
      </c>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t="s">
        <v>3692</v>
      </c>
      <c r="Q106" s="24">
        <f t="shared" si="30"/>
        <v>1.03</v>
      </c>
      <c r="R106" s="670">
        <f t="shared" si="31"/>
        <v>61182</v>
      </c>
      <c r="S106" s="322">
        <f t="shared" si="22"/>
        <v>901</v>
      </c>
    </row>
    <row r="107" spans="1:19">
      <c r="A107" s="3282" t="str">
        <f>抵押物清单!L90</f>
        <v>朝阳区酒仙桥路2号A栋17层1711</v>
      </c>
      <c r="B107" s="3283">
        <f>抵押物清单!J90</f>
        <v>158.19999999999999</v>
      </c>
      <c r="C107" s="24">
        <f t="shared" si="23"/>
        <v>0.99</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t="s">
        <v>3692</v>
      </c>
      <c r="Q107" s="24">
        <f t="shared" si="30"/>
        <v>1.03</v>
      </c>
      <c r="R107" s="670">
        <f t="shared" si="31"/>
        <v>60570</v>
      </c>
      <c r="S107" s="322">
        <f t="shared" si="22"/>
        <v>958</v>
      </c>
    </row>
    <row r="108" spans="1:19">
      <c r="A108" s="3282" t="str">
        <f>抵押物清单!L91</f>
        <v>朝阳区酒仙桥路2号A栋17层1712</v>
      </c>
      <c r="B108" s="3283">
        <f>抵押物清单!J91</f>
        <v>154.30000000000001</v>
      </c>
      <c r="C108" s="24">
        <f t="shared" si="23"/>
        <v>0.99</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t="s">
        <v>3692</v>
      </c>
      <c r="Q108" s="24">
        <f t="shared" si="30"/>
        <v>1.03</v>
      </c>
      <c r="R108" s="670">
        <f t="shared" si="31"/>
        <v>60570</v>
      </c>
      <c r="S108" s="322">
        <f t="shared" si="22"/>
        <v>935</v>
      </c>
    </row>
    <row r="109" spans="1:19">
      <c r="A109" s="3282" t="str">
        <f>抵押物清单!L92</f>
        <v>朝阳区酒仙桥路2号A栋17层1713</v>
      </c>
      <c r="B109" s="3283">
        <f>抵押物清单!J92</f>
        <v>194.67</v>
      </c>
      <c r="C109" s="24">
        <f t="shared" si="23"/>
        <v>0.98</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t="s">
        <v>3692</v>
      </c>
      <c r="Q109" s="24">
        <f t="shared" si="30"/>
        <v>1.03</v>
      </c>
      <c r="R109" s="670">
        <f t="shared" si="31"/>
        <v>59958</v>
      </c>
      <c r="S109" s="322">
        <f t="shared" si="22"/>
        <v>1167</v>
      </c>
    </row>
    <row r="110" spans="1:19">
      <c r="A110" s="3282" t="str">
        <f>抵押物清单!L93</f>
        <v>朝阳区酒仙桥路2号A栋17层1714</v>
      </c>
      <c r="B110" s="3283">
        <f>抵押物清单!J93</f>
        <v>135.66</v>
      </c>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t="s">
        <v>3692</v>
      </c>
      <c r="Q110" s="24">
        <f t="shared" si="30"/>
        <v>1.03</v>
      </c>
      <c r="R110" s="670">
        <f t="shared" si="31"/>
        <v>61182</v>
      </c>
      <c r="S110" s="322">
        <f t="shared" si="22"/>
        <v>830</v>
      </c>
    </row>
    <row r="111" spans="1:19">
      <c r="A111" s="3282" t="str">
        <f>抵押物清单!L94</f>
        <v>朝阳区酒仙桥路2号A栋17层1715</v>
      </c>
      <c r="B111" s="3283">
        <f>抵押物清单!J94</f>
        <v>147.19</v>
      </c>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t="s">
        <v>3692</v>
      </c>
      <c r="Q111" s="24">
        <f t="shared" si="30"/>
        <v>1.03</v>
      </c>
      <c r="R111" s="670">
        <f t="shared" si="31"/>
        <v>61182</v>
      </c>
      <c r="S111" s="322">
        <f t="shared" si="22"/>
        <v>901</v>
      </c>
    </row>
    <row r="112" spans="1:19">
      <c r="A112" s="3282" t="str">
        <f>抵押物清单!L95</f>
        <v>朝阳区酒仙桥路2号A栋18层1811</v>
      </c>
      <c r="B112" s="3283">
        <f>抵押物清单!J95</f>
        <v>158.19999999999999</v>
      </c>
      <c r="C112" s="24">
        <f t="shared" si="23"/>
        <v>0.99</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t="s">
        <v>3692</v>
      </c>
      <c r="Q112" s="24">
        <f t="shared" si="30"/>
        <v>1.03</v>
      </c>
      <c r="R112" s="670">
        <f t="shared" si="31"/>
        <v>60570</v>
      </c>
      <c r="S112" s="322">
        <f t="shared" si="22"/>
        <v>958</v>
      </c>
    </row>
    <row r="113" spans="1:19">
      <c r="A113" s="3282" t="str">
        <f>抵押物清单!L96</f>
        <v>朝阳区酒仙桥路2号A栋18层1812</v>
      </c>
      <c r="B113" s="3283">
        <f>抵押物清单!J96</f>
        <v>154.30000000000001</v>
      </c>
      <c r="C113" s="24">
        <f t="shared" si="23"/>
        <v>0.99</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t="s">
        <v>3692</v>
      </c>
      <c r="Q113" s="24">
        <f t="shared" si="30"/>
        <v>1.03</v>
      </c>
      <c r="R113" s="670">
        <f t="shared" si="31"/>
        <v>60570</v>
      </c>
      <c r="S113" s="322">
        <f t="shared" si="22"/>
        <v>935</v>
      </c>
    </row>
    <row r="114" spans="1:19">
      <c r="A114" s="3282" t="str">
        <f>抵押物清单!L97</f>
        <v>朝阳区酒仙桥路2号A栋18层1813</v>
      </c>
      <c r="B114" s="3283">
        <f>抵押物清单!J97</f>
        <v>194.67</v>
      </c>
      <c r="C114" s="24">
        <f t="shared" si="23"/>
        <v>0.98</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t="s">
        <v>3692</v>
      </c>
      <c r="Q114" s="24">
        <f t="shared" si="30"/>
        <v>1.03</v>
      </c>
      <c r="R114" s="670">
        <f t="shared" si="31"/>
        <v>59958</v>
      </c>
      <c r="S114" s="322">
        <f t="shared" si="22"/>
        <v>1167</v>
      </c>
    </row>
    <row r="115" spans="1:19">
      <c r="A115" s="3282" t="str">
        <f>抵押物清单!L98</f>
        <v>朝阳区酒仙桥路2号A栋18层1814</v>
      </c>
      <c r="B115" s="3283">
        <f>抵押物清单!J98</f>
        <v>135.66</v>
      </c>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t="s">
        <v>3692</v>
      </c>
      <c r="Q115" s="24">
        <f t="shared" si="30"/>
        <v>1.03</v>
      </c>
      <c r="R115" s="670">
        <f t="shared" si="31"/>
        <v>61182</v>
      </c>
      <c r="S115" s="322">
        <f t="shared" si="22"/>
        <v>830</v>
      </c>
    </row>
    <row r="116" spans="1:19">
      <c r="A116" s="3282" t="str">
        <f>抵押物清单!L99</f>
        <v>朝阳区酒仙桥路2号A栋18层1815</v>
      </c>
      <c r="B116" s="3283">
        <f>抵押物清单!J99</f>
        <v>147.19</v>
      </c>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t="s">
        <v>3692</v>
      </c>
      <c r="Q116" s="24">
        <f t="shared" si="30"/>
        <v>1.03</v>
      </c>
      <c r="R116" s="670">
        <f t="shared" si="31"/>
        <v>61182</v>
      </c>
      <c r="S116" s="322">
        <f t="shared" si="22"/>
        <v>901</v>
      </c>
    </row>
    <row r="117" spans="1:19">
      <c r="A117" s="3282" t="str">
        <f>抵押物清单!L100</f>
        <v>朝阳区酒仙桥路2号A栋19层1911</v>
      </c>
      <c r="B117" s="3283">
        <f>抵押物清单!J100</f>
        <v>158.19999999999999</v>
      </c>
      <c r="C117" s="24">
        <f t="shared" si="23"/>
        <v>0.99</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t="s">
        <v>3692</v>
      </c>
      <c r="Q117" s="24">
        <f t="shared" si="30"/>
        <v>1.03</v>
      </c>
      <c r="R117" s="670">
        <f t="shared" si="31"/>
        <v>60570</v>
      </c>
      <c r="S117" s="322">
        <f t="shared" si="22"/>
        <v>958</v>
      </c>
    </row>
    <row r="118" spans="1:19">
      <c r="A118" s="3282" t="str">
        <f>抵押物清单!L101</f>
        <v>朝阳区酒仙桥路2号A栋19层1912</v>
      </c>
      <c r="B118" s="3283">
        <f>抵押物清单!J101</f>
        <v>154.30000000000001</v>
      </c>
      <c r="C118" s="24">
        <f t="shared" si="23"/>
        <v>0.99</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t="s">
        <v>3692</v>
      </c>
      <c r="Q118" s="24">
        <f t="shared" si="30"/>
        <v>1.03</v>
      </c>
      <c r="R118" s="670">
        <f t="shared" si="31"/>
        <v>60570</v>
      </c>
      <c r="S118" s="322">
        <f t="shared" si="22"/>
        <v>935</v>
      </c>
    </row>
    <row r="119" spans="1:19">
      <c r="A119" s="3282" t="str">
        <f>抵押物清单!L102</f>
        <v>朝阳区酒仙桥路2号A栋19层1913</v>
      </c>
      <c r="B119" s="3283">
        <f>抵押物清单!J102</f>
        <v>194.67</v>
      </c>
      <c r="C119" s="24">
        <f t="shared" si="23"/>
        <v>0.98</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t="s">
        <v>3692</v>
      </c>
      <c r="Q119" s="24">
        <f t="shared" si="30"/>
        <v>1.03</v>
      </c>
      <c r="R119" s="670">
        <f t="shared" si="31"/>
        <v>59958</v>
      </c>
      <c r="S119" s="322">
        <f t="shared" si="22"/>
        <v>1167</v>
      </c>
    </row>
    <row r="120" spans="1:19">
      <c r="A120" s="3282" t="str">
        <f>抵押物清单!L103</f>
        <v>朝阳区酒仙桥路2号A栋19层1914</v>
      </c>
      <c r="B120" s="3283">
        <f>抵押物清单!J103</f>
        <v>135.66</v>
      </c>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t="s">
        <v>3692</v>
      </c>
      <c r="Q120" s="24">
        <f t="shared" si="30"/>
        <v>1.03</v>
      </c>
      <c r="R120" s="670">
        <f t="shared" si="31"/>
        <v>61182</v>
      </c>
      <c r="S120" s="322">
        <f t="shared" si="22"/>
        <v>830</v>
      </c>
    </row>
    <row r="121" spans="1:19">
      <c r="A121" s="3282" t="str">
        <f>抵押物清单!L104</f>
        <v>朝阳区酒仙桥路2号A栋19层1915</v>
      </c>
      <c r="B121" s="3283">
        <f>抵押物清单!J104</f>
        <v>147.19</v>
      </c>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t="s">
        <v>3692</v>
      </c>
      <c r="Q121" s="24">
        <f t="shared" si="30"/>
        <v>1.03</v>
      </c>
      <c r="R121" s="670">
        <f t="shared" si="31"/>
        <v>61182</v>
      </c>
      <c r="S121" s="322">
        <f t="shared" si="22"/>
        <v>901</v>
      </c>
    </row>
    <row r="122" spans="1:19">
      <c r="A122" s="3282" t="str">
        <f>抵押物清单!L105</f>
        <v>朝阳区酒仙桥路2号A栋20层2011</v>
      </c>
      <c r="B122" s="3283">
        <f>抵押物清单!J105</f>
        <v>158.19999999999999</v>
      </c>
      <c r="C122" s="24">
        <f t="shared" si="23"/>
        <v>0.99</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t="s">
        <v>3692</v>
      </c>
      <c r="Q122" s="24">
        <f t="shared" si="30"/>
        <v>1.03</v>
      </c>
      <c r="R122" s="670">
        <f t="shared" si="31"/>
        <v>60570</v>
      </c>
      <c r="S122" s="322">
        <f t="shared" si="22"/>
        <v>958</v>
      </c>
    </row>
    <row r="123" spans="1:19">
      <c r="A123" s="3282" t="str">
        <f>抵押物清单!L106</f>
        <v>朝阳区酒仙桥路2号A栋20层2012</v>
      </c>
      <c r="B123" s="3283">
        <f>抵押物清单!J106</f>
        <v>154.30000000000001</v>
      </c>
      <c r="C123" s="24">
        <f t="shared" si="23"/>
        <v>0.99</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t="s">
        <v>3692</v>
      </c>
      <c r="Q123" s="24">
        <f t="shared" si="30"/>
        <v>1.03</v>
      </c>
      <c r="R123" s="670">
        <f t="shared" si="31"/>
        <v>60570</v>
      </c>
      <c r="S123" s="322">
        <f t="shared" ref="S123:S186" si="32">ROUND(R123*B123/10000,0)</f>
        <v>935</v>
      </c>
    </row>
    <row r="124" spans="1:19">
      <c r="A124" s="3282" t="str">
        <f>抵押物清单!L107</f>
        <v>朝阳区酒仙桥路2号A栋20层2013</v>
      </c>
      <c r="B124" s="3283">
        <f>抵押物清单!J107</f>
        <v>194.67</v>
      </c>
      <c r="C124" s="24">
        <f t="shared" si="23"/>
        <v>0.98</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t="s">
        <v>3692</v>
      </c>
      <c r="Q124" s="24">
        <f t="shared" si="30"/>
        <v>1.03</v>
      </c>
      <c r="R124" s="670">
        <f t="shared" si="31"/>
        <v>59958</v>
      </c>
      <c r="S124" s="322">
        <f t="shared" si="32"/>
        <v>1167</v>
      </c>
    </row>
    <row r="125" spans="1:19">
      <c r="A125" s="3282" t="str">
        <f>抵押物清单!L108</f>
        <v>朝阳区酒仙桥路2号A栋20层2014</v>
      </c>
      <c r="B125" s="3283">
        <f>抵押物清单!J108</f>
        <v>135.66</v>
      </c>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t="s">
        <v>3692</v>
      </c>
      <c r="Q125" s="24">
        <f t="shared" si="30"/>
        <v>1.03</v>
      </c>
      <c r="R125" s="670">
        <f t="shared" si="31"/>
        <v>61182</v>
      </c>
      <c r="S125" s="322">
        <f t="shared" si="32"/>
        <v>830</v>
      </c>
    </row>
    <row r="126" spans="1:19">
      <c r="A126" s="3282" t="str">
        <f>抵押物清单!L109</f>
        <v>朝阳区酒仙桥路2号A栋20层2015</v>
      </c>
      <c r="B126" s="3283">
        <f>抵押物清单!J109</f>
        <v>147.19</v>
      </c>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t="s">
        <v>3692</v>
      </c>
      <c r="Q126" s="24">
        <f t="shared" si="30"/>
        <v>1.03</v>
      </c>
      <c r="R126" s="670">
        <f t="shared" si="31"/>
        <v>61182</v>
      </c>
      <c r="S126" s="322">
        <f t="shared" si="32"/>
        <v>901</v>
      </c>
    </row>
    <row r="127" spans="1:19">
      <c r="A127" s="3282" t="str">
        <f>抵押物清单!L110</f>
        <v>朝阳区酒仙桥路2号A栋21层2111</v>
      </c>
      <c r="B127" s="3283">
        <f>抵押物清单!J110</f>
        <v>223.33</v>
      </c>
      <c r="C127" s="24">
        <f t="shared" si="23"/>
        <v>0.98</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t="s">
        <v>3692</v>
      </c>
      <c r="Q127" s="24">
        <f t="shared" si="30"/>
        <v>1.03</v>
      </c>
      <c r="R127" s="670">
        <f t="shared" si="31"/>
        <v>59958</v>
      </c>
      <c r="S127" s="322">
        <f t="shared" si="32"/>
        <v>1339</v>
      </c>
    </row>
    <row r="128" spans="1:19">
      <c r="A128" s="3282" t="str">
        <f>抵押物清单!L111</f>
        <v>朝阳区酒仙桥路2号A栋21层2112</v>
      </c>
      <c r="B128" s="3283">
        <f>抵押物清单!J111</f>
        <v>224.57</v>
      </c>
      <c r="C128" s="24">
        <f t="shared" si="23"/>
        <v>0.98</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t="s">
        <v>3692</v>
      </c>
      <c r="Q128" s="24">
        <f t="shared" si="30"/>
        <v>1.03</v>
      </c>
      <c r="R128" s="670">
        <f t="shared" si="31"/>
        <v>59958</v>
      </c>
      <c r="S128" s="322">
        <f t="shared" si="32"/>
        <v>1346</v>
      </c>
    </row>
    <row r="129" spans="1:19">
      <c r="A129" s="3282" t="str">
        <f>抵押物清单!L112</f>
        <v>朝阳区酒仙桥路2号A栋21层2113</v>
      </c>
      <c r="B129" s="3283">
        <f>抵押物清单!J112</f>
        <v>236.91</v>
      </c>
      <c r="C129" s="24">
        <f t="shared" si="23"/>
        <v>0.98</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t="s">
        <v>3692</v>
      </c>
      <c r="Q129" s="24">
        <f t="shared" si="30"/>
        <v>1.03</v>
      </c>
      <c r="R129" s="670">
        <f t="shared" si="31"/>
        <v>59958</v>
      </c>
      <c r="S129" s="322">
        <f t="shared" si="32"/>
        <v>1420</v>
      </c>
    </row>
    <row r="130" spans="1:19">
      <c r="A130" s="3282"/>
      <c r="B130" s="3283"/>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0.03</v>
      </c>
      <c r="R130" s="670">
        <f t="shared" si="31"/>
        <v>0</v>
      </c>
      <c r="S130" s="322">
        <f t="shared" si="32"/>
        <v>0</v>
      </c>
    </row>
    <row r="131" spans="1:19">
      <c r="A131" s="3282" t="str">
        <f>抵押物清单!L114</f>
        <v>朝阳区酒仙桥路2号B栋2层221</v>
      </c>
      <c r="B131" s="3283">
        <f>抵押物清单!J114</f>
        <v>158.19999999999999</v>
      </c>
      <c r="C131" s="24">
        <f t="shared" si="23"/>
        <v>0.99</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t="s">
        <v>3691</v>
      </c>
      <c r="Q131" s="24">
        <f t="shared" si="30"/>
        <v>0.97</v>
      </c>
      <c r="R131" s="670">
        <f t="shared" si="31"/>
        <v>57042</v>
      </c>
      <c r="S131" s="322">
        <f t="shared" si="32"/>
        <v>902</v>
      </c>
    </row>
    <row r="132" spans="1:19">
      <c r="A132" s="3282" t="str">
        <f>抵押物清单!L115</f>
        <v>朝阳区酒仙桥路2号B栋2层222</v>
      </c>
      <c r="B132" s="3283">
        <f>抵押物清单!J115</f>
        <v>154.30000000000001</v>
      </c>
      <c r="C132" s="24">
        <f t="shared" si="23"/>
        <v>0.99</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t="s">
        <v>3691</v>
      </c>
      <c r="Q132" s="24">
        <f t="shared" si="30"/>
        <v>0.97</v>
      </c>
      <c r="R132" s="670">
        <f t="shared" si="31"/>
        <v>57042</v>
      </c>
      <c r="S132" s="322">
        <f t="shared" si="32"/>
        <v>880</v>
      </c>
    </row>
    <row r="133" spans="1:19">
      <c r="A133" s="3282" t="str">
        <f>抵押物清单!L116</f>
        <v>朝阳区酒仙桥路2号B栋2层223</v>
      </c>
      <c r="B133" s="3283">
        <f>抵押物清单!J116</f>
        <v>176.26</v>
      </c>
      <c r="C133" s="24">
        <f t="shared" si="23"/>
        <v>0.99</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t="s">
        <v>3691</v>
      </c>
      <c r="Q133" s="24">
        <f t="shared" si="30"/>
        <v>0.97</v>
      </c>
      <c r="R133" s="670">
        <f t="shared" si="31"/>
        <v>57042</v>
      </c>
      <c r="S133" s="322">
        <f t="shared" si="32"/>
        <v>1005</v>
      </c>
    </row>
    <row r="134" spans="1:19">
      <c r="A134" s="3282" t="str">
        <f>抵押物清单!L117</f>
        <v>朝阳区酒仙桥路2号B栋2层224</v>
      </c>
      <c r="B134" s="3283">
        <f>抵押物清单!J117</f>
        <v>155.13</v>
      </c>
      <c r="C134" s="24">
        <f t="shared" si="23"/>
        <v>0.99</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t="s">
        <v>3691</v>
      </c>
      <c r="Q134" s="24">
        <f t="shared" si="30"/>
        <v>0.97</v>
      </c>
      <c r="R134" s="670">
        <f t="shared" si="31"/>
        <v>57042</v>
      </c>
      <c r="S134" s="322">
        <f t="shared" si="32"/>
        <v>885</v>
      </c>
    </row>
    <row r="135" spans="1:19">
      <c r="A135" s="3282" t="str">
        <f>抵押物清单!L118</f>
        <v>朝阳区酒仙桥路2号B栋2层225</v>
      </c>
      <c r="B135" s="3283">
        <f>抵押物清单!J118</f>
        <v>111.52</v>
      </c>
      <c r="C135" s="24">
        <f t="shared" si="23"/>
        <v>1.01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t="s">
        <v>3691</v>
      </c>
      <c r="Q135" s="24">
        <f t="shared" si="30"/>
        <v>0.97</v>
      </c>
      <c r="R135" s="670">
        <f t="shared" si="31"/>
        <v>58194</v>
      </c>
      <c r="S135" s="322">
        <f t="shared" si="32"/>
        <v>649</v>
      </c>
    </row>
    <row r="136" spans="1:19">
      <c r="A136" s="3282" t="str">
        <f>抵押物清单!L119</f>
        <v>朝阳区酒仙桥路2号B栋2层226</v>
      </c>
      <c r="B136" s="3283">
        <f>抵押物清单!J119</f>
        <v>100.84</v>
      </c>
      <c r="C136" s="24">
        <f t="shared" si="23"/>
        <v>1.01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t="s">
        <v>3691</v>
      </c>
      <c r="Q136" s="24">
        <f t="shared" si="30"/>
        <v>0.97</v>
      </c>
      <c r="R136" s="670">
        <f t="shared" si="31"/>
        <v>58194</v>
      </c>
      <c r="S136" s="322">
        <f t="shared" si="32"/>
        <v>587</v>
      </c>
    </row>
    <row r="137" spans="1:19">
      <c r="A137" s="3282" t="str">
        <f>抵押物清单!L120</f>
        <v>朝阳区酒仙桥路2号B栋3层321</v>
      </c>
      <c r="B137" s="3283">
        <f>抵押物清单!J120</f>
        <v>158.19999999999999</v>
      </c>
      <c r="C137" s="24">
        <f t="shared" si="23"/>
        <v>0.99</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t="s">
        <v>3691</v>
      </c>
      <c r="Q137" s="24">
        <f t="shared" si="30"/>
        <v>0.97</v>
      </c>
      <c r="R137" s="670">
        <f t="shared" si="31"/>
        <v>57042</v>
      </c>
      <c r="S137" s="322">
        <f t="shared" si="32"/>
        <v>902</v>
      </c>
    </row>
    <row r="138" spans="1:19">
      <c r="A138" s="3282" t="str">
        <f>抵押物清单!L121</f>
        <v>朝阳区酒仙桥路2号B栋3层322</v>
      </c>
      <c r="B138" s="3283">
        <f>抵押物清单!J121</f>
        <v>154.30000000000001</v>
      </c>
      <c r="C138" s="24">
        <f t="shared" si="23"/>
        <v>0.99</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t="s">
        <v>3691</v>
      </c>
      <c r="Q138" s="24">
        <f t="shared" si="30"/>
        <v>0.97</v>
      </c>
      <c r="R138" s="670">
        <f t="shared" si="31"/>
        <v>57042</v>
      </c>
      <c r="S138" s="322">
        <f t="shared" si="32"/>
        <v>880</v>
      </c>
    </row>
    <row r="139" spans="1:19">
      <c r="A139" s="3282" t="str">
        <f>抵押物清单!L122</f>
        <v>朝阳区酒仙桥路2号B栋3层323</v>
      </c>
      <c r="B139" s="3283">
        <f>抵押物清单!J122</f>
        <v>176.26</v>
      </c>
      <c r="C139" s="24">
        <f t="shared" si="23"/>
        <v>0.99</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t="s">
        <v>3691</v>
      </c>
      <c r="Q139" s="24">
        <f t="shared" si="30"/>
        <v>0.97</v>
      </c>
      <c r="R139" s="670">
        <f t="shared" si="31"/>
        <v>57042</v>
      </c>
      <c r="S139" s="322">
        <f t="shared" si="32"/>
        <v>1005</v>
      </c>
    </row>
    <row r="140" spans="1:19">
      <c r="A140" s="3282" t="str">
        <f>抵押物清单!L123</f>
        <v>朝阳区酒仙桥路2号B栋3层324</v>
      </c>
      <c r="B140" s="3283">
        <f>抵押物清单!J123</f>
        <v>155.13</v>
      </c>
      <c r="C140" s="24">
        <f t="shared" si="23"/>
        <v>0.99</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t="s">
        <v>3691</v>
      </c>
      <c r="Q140" s="24">
        <f t="shared" si="30"/>
        <v>0.97</v>
      </c>
      <c r="R140" s="670">
        <f t="shared" si="31"/>
        <v>57042</v>
      </c>
      <c r="S140" s="322">
        <f t="shared" si="32"/>
        <v>885</v>
      </c>
    </row>
    <row r="141" spans="1:19">
      <c r="A141" s="3282" t="str">
        <f>抵押物清单!L124</f>
        <v>朝阳区酒仙桥路2号B栋3层325</v>
      </c>
      <c r="B141" s="3283">
        <f>抵押物清单!J124</f>
        <v>111.52</v>
      </c>
      <c r="C141" s="24">
        <f t="shared" si="23"/>
        <v>1.01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t="s">
        <v>3691</v>
      </c>
      <c r="Q141" s="24">
        <f t="shared" si="30"/>
        <v>0.97</v>
      </c>
      <c r="R141" s="670">
        <f t="shared" si="31"/>
        <v>58194</v>
      </c>
      <c r="S141" s="322">
        <f t="shared" si="32"/>
        <v>649</v>
      </c>
    </row>
    <row r="142" spans="1:19">
      <c r="A142" s="3282" t="str">
        <f>抵押物清单!L125</f>
        <v>朝阳区酒仙桥路2号B栋3层326</v>
      </c>
      <c r="B142" s="3283">
        <f>抵押物清单!J125</f>
        <v>100.84</v>
      </c>
      <c r="C142" s="24">
        <f t="shared" si="23"/>
        <v>1.01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t="s">
        <v>3691</v>
      </c>
      <c r="Q142" s="24">
        <f t="shared" si="30"/>
        <v>0.97</v>
      </c>
      <c r="R142" s="670">
        <f t="shared" si="31"/>
        <v>58194</v>
      </c>
      <c r="S142" s="322">
        <f t="shared" si="32"/>
        <v>587</v>
      </c>
    </row>
    <row r="143" spans="1:19">
      <c r="A143" s="3282" t="str">
        <f>抵押物清单!L126</f>
        <v>朝阳区酒仙桥路2号B栋4层421</v>
      </c>
      <c r="B143" s="3283">
        <f>抵押物清单!J126</f>
        <v>158.19999999999999</v>
      </c>
      <c r="C143" s="24">
        <f t="shared" si="23"/>
        <v>0.99</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t="s">
        <v>3691</v>
      </c>
      <c r="Q143" s="24">
        <f t="shared" si="30"/>
        <v>0.97</v>
      </c>
      <c r="R143" s="670">
        <f t="shared" si="31"/>
        <v>57042</v>
      </c>
      <c r="S143" s="322">
        <f t="shared" si="32"/>
        <v>902</v>
      </c>
    </row>
    <row r="144" spans="1:19">
      <c r="A144" s="3282" t="str">
        <f>抵押物清单!L127</f>
        <v>朝阳区酒仙桥路2号B栋4层422</v>
      </c>
      <c r="B144" s="3283">
        <f>抵押物清单!J127</f>
        <v>154.30000000000001</v>
      </c>
      <c r="C144" s="24">
        <f t="shared" si="23"/>
        <v>0.99</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t="s">
        <v>3691</v>
      </c>
      <c r="Q144" s="24">
        <f t="shared" si="30"/>
        <v>0.97</v>
      </c>
      <c r="R144" s="670">
        <f t="shared" si="31"/>
        <v>57042</v>
      </c>
      <c r="S144" s="322">
        <f t="shared" si="32"/>
        <v>880</v>
      </c>
    </row>
    <row r="145" spans="1:19">
      <c r="A145" s="3282" t="str">
        <f>抵押物清单!L128</f>
        <v>朝阳区酒仙桥路2号B栋4层423</v>
      </c>
      <c r="B145" s="3283">
        <f>抵押物清单!J128</f>
        <v>176.26</v>
      </c>
      <c r="C145" s="24">
        <f t="shared" si="23"/>
        <v>0.99</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t="s">
        <v>3691</v>
      </c>
      <c r="Q145" s="24">
        <f t="shared" si="30"/>
        <v>0.97</v>
      </c>
      <c r="R145" s="670">
        <f t="shared" si="31"/>
        <v>57042</v>
      </c>
      <c r="S145" s="322">
        <f t="shared" si="32"/>
        <v>1005</v>
      </c>
    </row>
    <row r="146" spans="1:19">
      <c r="A146" s="3282" t="str">
        <f>抵押物清单!L129</f>
        <v>朝阳区酒仙桥路2号B栋4层424</v>
      </c>
      <c r="B146" s="3283">
        <f>抵押物清单!J129</f>
        <v>155.13</v>
      </c>
      <c r="C146" s="24">
        <f t="shared" si="23"/>
        <v>0.99</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t="s">
        <v>3691</v>
      </c>
      <c r="Q146" s="24">
        <f t="shared" si="30"/>
        <v>0.97</v>
      </c>
      <c r="R146" s="670">
        <f t="shared" si="31"/>
        <v>57042</v>
      </c>
      <c r="S146" s="322">
        <f t="shared" si="32"/>
        <v>885</v>
      </c>
    </row>
    <row r="147" spans="1:19">
      <c r="A147" s="3282" t="str">
        <f>抵押物清单!L130</f>
        <v>朝阳区酒仙桥路2号B栋4层425</v>
      </c>
      <c r="B147" s="3283">
        <f>抵押物清单!J130</f>
        <v>111.52</v>
      </c>
      <c r="C147" s="24">
        <f t="shared" si="23"/>
        <v>1.01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t="s">
        <v>3691</v>
      </c>
      <c r="Q147" s="24">
        <f t="shared" si="30"/>
        <v>0.97</v>
      </c>
      <c r="R147" s="670">
        <f t="shared" si="31"/>
        <v>58194</v>
      </c>
      <c r="S147" s="322">
        <f t="shared" si="32"/>
        <v>649</v>
      </c>
    </row>
    <row r="148" spans="1:19">
      <c r="A148" s="3282" t="str">
        <f>抵押物清单!L131</f>
        <v>朝阳区酒仙桥路2号B栋4层426</v>
      </c>
      <c r="B148" s="3283">
        <f>抵押物清单!J131</f>
        <v>100.84</v>
      </c>
      <c r="C148" s="24">
        <f t="shared" si="23"/>
        <v>1.01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t="s">
        <v>3691</v>
      </c>
      <c r="Q148" s="24">
        <f t="shared" si="30"/>
        <v>0.97</v>
      </c>
      <c r="R148" s="670">
        <f t="shared" si="31"/>
        <v>58194</v>
      </c>
      <c r="S148" s="322">
        <f t="shared" si="32"/>
        <v>587</v>
      </c>
    </row>
    <row r="149" spans="1:19">
      <c r="A149" s="3282" t="str">
        <f>抵押物清单!L132</f>
        <v>朝阳区酒仙桥路2号B栋5层521</v>
      </c>
      <c r="B149" s="3283">
        <f>抵押物清单!J132</f>
        <v>158.19999999999999</v>
      </c>
      <c r="C149" s="24">
        <f t="shared" si="23"/>
        <v>0.99</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t="s">
        <v>3691</v>
      </c>
      <c r="Q149" s="24">
        <f t="shared" si="30"/>
        <v>0.97</v>
      </c>
      <c r="R149" s="670">
        <f t="shared" si="31"/>
        <v>57042</v>
      </c>
      <c r="S149" s="322">
        <f t="shared" si="32"/>
        <v>902</v>
      </c>
    </row>
    <row r="150" spans="1:19">
      <c r="A150" s="3282" t="str">
        <f>抵押物清单!L133</f>
        <v>朝阳区酒仙桥路2号B栋5层522</v>
      </c>
      <c r="B150" s="3283">
        <f>抵押物清单!J133</f>
        <v>154.30000000000001</v>
      </c>
      <c r="C150" s="24">
        <f t="shared" si="23"/>
        <v>0.99</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t="s">
        <v>3691</v>
      </c>
      <c r="Q150" s="24">
        <f t="shared" si="30"/>
        <v>0.97</v>
      </c>
      <c r="R150" s="670">
        <f t="shared" si="31"/>
        <v>57042</v>
      </c>
      <c r="S150" s="322">
        <f t="shared" si="32"/>
        <v>880</v>
      </c>
    </row>
    <row r="151" spans="1:19">
      <c r="A151" s="3282" t="str">
        <f>抵押物清单!L134</f>
        <v>朝阳区酒仙桥路2号B栋5层523</v>
      </c>
      <c r="B151" s="3283">
        <f>抵押物清单!J134</f>
        <v>176.26</v>
      </c>
      <c r="C151" s="24">
        <f t="shared" si="23"/>
        <v>0.99</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t="s">
        <v>3691</v>
      </c>
      <c r="Q151" s="24">
        <f t="shared" si="30"/>
        <v>0.97</v>
      </c>
      <c r="R151" s="670">
        <f t="shared" si="31"/>
        <v>57042</v>
      </c>
      <c r="S151" s="322">
        <f t="shared" si="32"/>
        <v>1005</v>
      </c>
    </row>
    <row r="152" spans="1:19">
      <c r="A152" s="3282" t="str">
        <f>抵押物清单!L135</f>
        <v>朝阳区酒仙桥路2号B栋5层524</v>
      </c>
      <c r="B152" s="3283">
        <f>抵押物清单!J135</f>
        <v>155.13</v>
      </c>
      <c r="C152" s="24">
        <f t="shared" si="23"/>
        <v>0.99</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t="s">
        <v>3691</v>
      </c>
      <c r="Q152" s="24">
        <f t="shared" si="30"/>
        <v>0.97</v>
      </c>
      <c r="R152" s="670">
        <f t="shared" si="31"/>
        <v>57042</v>
      </c>
      <c r="S152" s="322">
        <f t="shared" si="32"/>
        <v>885</v>
      </c>
    </row>
    <row r="153" spans="1:19">
      <c r="A153" s="3282" t="str">
        <f>抵押物清单!L136</f>
        <v>朝阳区酒仙桥路2号B栋5层525</v>
      </c>
      <c r="B153" s="3283">
        <f>抵押物清单!J136</f>
        <v>111.52</v>
      </c>
      <c r="C153" s="24">
        <f t="shared" si="23"/>
        <v>1.01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t="s">
        <v>3691</v>
      </c>
      <c r="Q153" s="24">
        <f t="shared" si="30"/>
        <v>0.97</v>
      </c>
      <c r="R153" s="670">
        <f t="shared" si="31"/>
        <v>58194</v>
      </c>
      <c r="S153" s="322">
        <f t="shared" si="32"/>
        <v>649</v>
      </c>
    </row>
    <row r="154" spans="1:19">
      <c r="A154" s="3282" t="str">
        <f>抵押物清单!L137</f>
        <v>朝阳区酒仙桥路2号B栋5层526</v>
      </c>
      <c r="B154" s="3283">
        <f>抵押物清单!J137</f>
        <v>100.84</v>
      </c>
      <c r="C154" s="24">
        <f t="shared" ref="C154:C217" si="33">IF(B154="",1,(LOOKUP(B154,$3:$3,$4:$4)-LOOKUP($B$24,$3:$3,$4:$4)+100)/100)</f>
        <v>1.01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t="s">
        <v>3691</v>
      </c>
      <c r="Q154" s="24">
        <f t="shared" ref="Q154:Q217" si="40">(SUMIF($17:$17,P154,$18:$18)-SUMIF($17:$17,$P$24,$18:$18)+100)/100</f>
        <v>0.97</v>
      </c>
      <c r="R154" s="670">
        <f t="shared" ref="R154:R217" si="41">IF(B154="",0,ROUND($R$24*C154*E154*G154*I154*K154*M154*O154*Q154,0))</f>
        <v>58194</v>
      </c>
      <c r="S154" s="322">
        <f t="shared" si="32"/>
        <v>587</v>
      </c>
    </row>
    <row r="155" spans="1:19">
      <c r="A155" s="3282" t="str">
        <f>抵押物清单!L138</f>
        <v>朝阳区酒仙桥路2号B栋6层621</v>
      </c>
      <c r="B155" s="3283">
        <f>抵押物清单!J138</f>
        <v>158.19999999999999</v>
      </c>
      <c r="C155" s="24">
        <f t="shared" si="33"/>
        <v>0.99</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t="s">
        <v>3691</v>
      </c>
      <c r="Q155" s="24">
        <f t="shared" si="40"/>
        <v>0.97</v>
      </c>
      <c r="R155" s="670">
        <f t="shared" si="41"/>
        <v>57042</v>
      </c>
      <c r="S155" s="322">
        <f t="shared" si="32"/>
        <v>902</v>
      </c>
    </row>
    <row r="156" spans="1:19">
      <c r="A156" s="3282" t="str">
        <f>抵押物清单!L139</f>
        <v>朝阳区酒仙桥路2号B栋6层622</v>
      </c>
      <c r="B156" s="3283">
        <f>抵押物清单!J139</f>
        <v>154.30000000000001</v>
      </c>
      <c r="C156" s="24">
        <f t="shared" si="33"/>
        <v>0.99</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t="s">
        <v>3691</v>
      </c>
      <c r="Q156" s="24">
        <f t="shared" si="40"/>
        <v>0.97</v>
      </c>
      <c r="R156" s="670">
        <f t="shared" si="41"/>
        <v>57042</v>
      </c>
      <c r="S156" s="322">
        <f t="shared" si="32"/>
        <v>880</v>
      </c>
    </row>
    <row r="157" spans="1:19">
      <c r="A157" s="3282" t="str">
        <f>抵押物清单!L140</f>
        <v>朝阳区酒仙桥路2号B栋6层623</v>
      </c>
      <c r="B157" s="3283">
        <f>抵押物清单!J140</f>
        <v>176.26</v>
      </c>
      <c r="C157" s="24">
        <f t="shared" si="33"/>
        <v>0.99</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t="s">
        <v>3691</v>
      </c>
      <c r="Q157" s="24">
        <f t="shared" si="40"/>
        <v>0.97</v>
      </c>
      <c r="R157" s="670">
        <f t="shared" si="41"/>
        <v>57042</v>
      </c>
      <c r="S157" s="322">
        <f t="shared" si="32"/>
        <v>1005</v>
      </c>
    </row>
    <row r="158" spans="1:19">
      <c r="A158" s="3282" t="str">
        <f>抵押物清单!L141</f>
        <v>朝阳区酒仙桥路2号B栋6层624</v>
      </c>
      <c r="B158" s="3283">
        <f>抵押物清单!J141</f>
        <v>155.13</v>
      </c>
      <c r="C158" s="24">
        <f t="shared" si="33"/>
        <v>0.99</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t="s">
        <v>3691</v>
      </c>
      <c r="Q158" s="24">
        <f t="shared" si="40"/>
        <v>0.97</v>
      </c>
      <c r="R158" s="670">
        <f t="shared" si="41"/>
        <v>57042</v>
      </c>
      <c r="S158" s="322">
        <f t="shared" si="32"/>
        <v>885</v>
      </c>
    </row>
    <row r="159" spans="1:19">
      <c r="A159" s="3282" t="str">
        <f>抵押物清单!L142</f>
        <v>朝阳区酒仙桥路2号B栋6层626</v>
      </c>
      <c r="B159" s="3283">
        <f>抵押物清单!J142</f>
        <v>100.84</v>
      </c>
      <c r="C159" s="24">
        <f t="shared" si="33"/>
        <v>1.01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t="s">
        <v>3691</v>
      </c>
      <c r="Q159" s="24">
        <f t="shared" si="40"/>
        <v>0.97</v>
      </c>
      <c r="R159" s="670">
        <f t="shared" si="41"/>
        <v>58194</v>
      </c>
      <c r="S159" s="322">
        <f t="shared" si="32"/>
        <v>587</v>
      </c>
    </row>
    <row r="160" spans="1:19">
      <c r="A160" s="3282" t="str">
        <f>抵押物清单!L143</f>
        <v>朝阳区酒仙桥路2号B栋7层721</v>
      </c>
      <c r="B160" s="3283">
        <f>抵押物清单!J143</f>
        <v>158.19999999999999</v>
      </c>
      <c r="C160" s="24">
        <f t="shared" si="33"/>
        <v>0.99</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t="s">
        <v>3691</v>
      </c>
      <c r="Q160" s="24">
        <f t="shared" si="40"/>
        <v>0.97</v>
      </c>
      <c r="R160" s="670">
        <f t="shared" si="41"/>
        <v>57042</v>
      </c>
      <c r="S160" s="322">
        <f t="shared" si="32"/>
        <v>902</v>
      </c>
    </row>
    <row r="161" spans="1:19">
      <c r="A161" s="3282" t="str">
        <f>抵押物清单!L144</f>
        <v>朝阳区酒仙桥路2号B栋7层722</v>
      </c>
      <c r="B161" s="3283">
        <f>抵押物清单!J144</f>
        <v>154.30000000000001</v>
      </c>
      <c r="C161" s="24">
        <f t="shared" si="33"/>
        <v>0.99</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t="s">
        <v>3691</v>
      </c>
      <c r="Q161" s="24">
        <f t="shared" si="40"/>
        <v>0.97</v>
      </c>
      <c r="R161" s="670">
        <f t="shared" si="41"/>
        <v>57042</v>
      </c>
      <c r="S161" s="322">
        <f t="shared" si="32"/>
        <v>880</v>
      </c>
    </row>
    <row r="162" spans="1:19">
      <c r="A162" s="3282" t="str">
        <f>抵押物清单!L145</f>
        <v>朝阳区酒仙桥路2号B栋7层723</v>
      </c>
      <c r="B162" s="3283">
        <f>抵押物清单!J145</f>
        <v>194.67</v>
      </c>
      <c r="C162" s="24">
        <f t="shared" si="33"/>
        <v>0.98</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t="s">
        <v>3691</v>
      </c>
      <c r="Q162" s="24">
        <f t="shared" si="40"/>
        <v>0.97</v>
      </c>
      <c r="R162" s="670">
        <f t="shared" si="41"/>
        <v>56466</v>
      </c>
      <c r="S162" s="322">
        <f t="shared" si="32"/>
        <v>1099</v>
      </c>
    </row>
    <row r="163" spans="1:19">
      <c r="A163" s="3282" t="str">
        <f>抵押物清单!L146</f>
        <v>朝阳区酒仙桥路2号B栋7层724</v>
      </c>
      <c r="B163" s="3283">
        <f>抵押物清单!J146</f>
        <v>135.66</v>
      </c>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t="s">
        <v>3691</v>
      </c>
      <c r="Q163" s="24">
        <f t="shared" si="40"/>
        <v>0.97</v>
      </c>
      <c r="R163" s="670">
        <f t="shared" si="41"/>
        <v>57618</v>
      </c>
      <c r="S163" s="322">
        <f t="shared" si="32"/>
        <v>782</v>
      </c>
    </row>
    <row r="164" spans="1:19">
      <c r="A164" s="3282" t="str">
        <f>抵押物清单!L147</f>
        <v>朝阳区酒仙桥路2号B栋7层725</v>
      </c>
      <c r="B164" s="3283">
        <f>抵押物清单!J147</f>
        <v>147.19</v>
      </c>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t="s">
        <v>3691</v>
      </c>
      <c r="Q164" s="24">
        <f t="shared" si="40"/>
        <v>0.97</v>
      </c>
      <c r="R164" s="670">
        <f t="shared" si="41"/>
        <v>57618</v>
      </c>
      <c r="S164" s="322">
        <f t="shared" si="32"/>
        <v>848</v>
      </c>
    </row>
    <row r="165" spans="1:19">
      <c r="A165" s="3282" t="str">
        <f>抵押物清单!L148</f>
        <v>朝阳区酒仙桥路2号B栋8层821</v>
      </c>
      <c r="B165" s="3283">
        <f>抵押物清单!J148</f>
        <v>158.19999999999999</v>
      </c>
      <c r="C165" s="24">
        <f t="shared" si="33"/>
        <v>0.99</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t="s">
        <v>3690</v>
      </c>
      <c r="Q165" s="24">
        <f t="shared" si="40"/>
        <v>1</v>
      </c>
      <c r="R165" s="670">
        <f t="shared" si="41"/>
        <v>58806</v>
      </c>
      <c r="S165" s="322">
        <f t="shared" si="32"/>
        <v>930</v>
      </c>
    </row>
    <row r="166" spans="1:19">
      <c r="A166" s="3282" t="str">
        <f>抵押物清单!L149</f>
        <v>朝阳区酒仙桥路2号B栋8层822</v>
      </c>
      <c r="B166" s="3283">
        <f>抵押物清单!J149</f>
        <v>154.30000000000001</v>
      </c>
      <c r="C166" s="24">
        <f t="shared" si="33"/>
        <v>0.99</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t="s">
        <v>3690</v>
      </c>
      <c r="Q166" s="24">
        <f t="shared" si="40"/>
        <v>1</v>
      </c>
      <c r="R166" s="670">
        <f t="shared" si="41"/>
        <v>58806</v>
      </c>
      <c r="S166" s="322">
        <f t="shared" si="32"/>
        <v>907</v>
      </c>
    </row>
    <row r="167" spans="1:19">
      <c r="A167" s="3282" t="str">
        <f>抵押物清单!L150</f>
        <v>朝阳区酒仙桥路2号B栋8层824</v>
      </c>
      <c r="B167" s="3283">
        <f>抵押物清单!J150</f>
        <v>135.66</v>
      </c>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t="s">
        <v>3690</v>
      </c>
      <c r="Q167" s="24">
        <f t="shared" si="40"/>
        <v>1</v>
      </c>
      <c r="R167" s="670">
        <f t="shared" si="41"/>
        <v>59400</v>
      </c>
      <c r="S167" s="322">
        <f t="shared" si="32"/>
        <v>806</v>
      </c>
    </row>
    <row r="168" spans="1:19">
      <c r="A168" s="3282" t="str">
        <f>抵押物清单!L151</f>
        <v>朝阳区酒仙桥路2号B栋8层825</v>
      </c>
      <c r="B168" s="3283">
        <f>抵押物清单!J151</f>
        <v>147.19</v>
      </c>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t="s">
        <v>3690</v>
      </c>
      <c r="Q168" s="24">
        <f t="shared" si="40"/>
        <v>1</v>
      </c>
      <c r="R168" s="670">
        <f t="shared" si="41"/>
        <v>59400</v>
      </c>
      <c r="S168" s="322">
        <f t="shared" si="32"/>
        <v>874</v>
      </c>
    </row>
    <row r="169" spans="1:19">
      <c r="A169" s="3282" t="str">
        <f>抵押物清单!L152</f>
        <v>朝阳区酒仙桥路2号B栋9层921</v>
      </c>
      <c r="B169" s="3283">
        <f>抵押物清单!J152</f>
        <v>158.19999999999999</v>
      </c>
      <c r="C169" s="24">
        <f t="shared" si="33"/>
        <v>0.99</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t="s">
        <v>3690</v>
      </c>
      <c r="Q169" s="24">
        <f t="shared" si="40"/>
        <v>1</v>
      </c>
      <c r="R169" s="670">
        <f t="shared" si="41"/>
        <v>58806</v>
      </c>
      <c r="S169" s="322">
        <f t="shared" si="32"/>
        <v>930</v>
      </c>
    </row>
    <row r="170" spans="1:19">
      <c r="A170" s="3282" t="str">
        <f>抵押物清单!L153</f>
        <v>朝阳区酒仙桥路2号B栋9层922</v>
      </c>
      <c r="B170" s="3283">
        <f>抵押物清单!J153</f>
        <v>154.30000000000001</v>
      </c>
      <c r="C170" s="24">
        <f t="shared" si="33"/>
        <v>0.99</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t="s">
        <v>3690</v>
      </c>
      <c r="Q170" s="24">
        <f t="shared" si="40"/>
        <v>1</v>
      </c>
      <c r="R170" s="670">
        <f t="shared" si="41"/>
        <v>58806</v>
      </c>
      <c r="S170" s="322">
        <f t="shared" si="32"/>
        <v>907</v>
      </c>
    </row>
    <row r="171" spans="1:19">
      <c r="A171" s="3282" t="str">
        <f>抵押物清单!L154</f>
        <v>朝阳区酒仙桥路2号B栋9层923</v>
      </c>
      <c r="B171" s="3283">
        <f>抵押物清单!J154</f>
        <v>194.67</v>
      </c>
      <c r="C171" s="24">
        <f t="shared" si="33"/>
        <v>0.98</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t="s">
        <v>3690</v>
      </c>
      <c r="Q171" s="24">
        <f t="shared" si="40"/>
        <v>1</v>
      </c>
      <c r="R171" s="670">
        <f t="shared" si="41"/>
        <v>58212</v>
      </c>
      <c r="S171" s="322">
        <f t="shared" si="32"/>
        <v>1133</v>
      </c>
    </row>
    <row r="172" spans="1:19">
      <c r="A172" s="3282" t="str">
        <f>抵押物清单!L155</f>
        <v>朝阳区酒仙桥路2号B栋9层924</v>
      </c>
      <c r="B172" s="3283">
        <f>抵押物清单!J155</f>
        <v>135.66</v>
      </c>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t="s">
        <v>3690</v>
      </c>
      <c r="Q172" s="24">
        <f t="shared" si="40"/>
        <v>1</v>
      </c>
      <c r="R172" s="670">
        <f t="shared" si="41"/>
        <v>59400</v>
      </c>
      <c r="S172" s="322">
        <f t="shared" si="32"/>
        <v>806</v>
      </c>
    </row>
    <row r="173" spans="1:19">
      <c r="A173" s="3282" t="str">
        <f>抵押物清单!L156</f>
        <v>朝阳区酒仙桥路2号B栋9层925</v>
      </c>
      <c r="B173" s="3283">
        <f>抵押物清单!J156</f>
        <v>147.19</v>
      </c>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t="s">
        <v>3690</v>
      </c>
      <c r="Q173" s="24">
        <f t="shared" si="40"/>
        <v>1</v>
      </c>
      <c r="R173" s="670">
        <f t="shared" si="41"/>
        <v>59400</v>
      </c>
      <c r="S173" s="322">
        <f t="shared" si="32"/>
        <v>874</v>
      </c>
    </row>
    <row r="174" spans="1:19">
      <c r="A174" s="3282" t="str">
        <f>抵押物清单!L157</f>
        <v>朝阳区酒仙桥路2号B栋10层1021</v>
      </c>
      <c r="B174" s="3283">
        <f>抵押物清单!J157</f>
        <v>158.19999999999999</v>
      </c>
      <c r="C174" s="24">
        <f t="shared" si="33"/>
        <v>0.99</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t="s">
        <v>3690</v>
      </c>
      <c r="Q174" s="24">
        <f t="shared" si="40"/>
        <v>1</v>
      </c>
      <c r="R174" s="670">
        <f t="shared" si="41"/>
        <v>58806</v>
      </c>
      <c r="S174" s="322">
        <f t="shared" si="32"/>
        <v>930</v>
      </c>
    </row>
    <row r="175" spans="1:19">
      <c r="A175" s="3282" t="str">
        <f>抵押物清单!L158</f>
        <v>朝阳区酒仙桥路2号B栋10层1022</v>
      </c>
      <c r="B175" s="3283">
        <f>抵押物清单!J158</f>
        <v>154.30000000000001</v>
      </c>
      <c r="C175" s="24">
        <f t="shared" si="33"/>
        <v>0.99</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t="s">
        <v>3690</v>
      </c>
      <c r="Q175" s="24">
        <f t="shared" si="40"/>
        <v>1</v>
      </c>
      <c r="R175" s="670">
        <f t="shared" si="41"/>
        <v>58806</v>
      </c>
      <c r="S175" s="322">
        <f t="shared" si="32"/>
        <v>907</v>
      </c>
    </row>
    <row r="176" spans="1:19">
      <c r="A176" s="3282" t="str">
        <f>抵押物清单!L159</f>
        <v>朝阳区酒仙桥路2号B栋10层1023</v>
      </c>
      <c r="B176" s="3283">
        <f>抵押物清单!J159</f>
        <v>194.67</v>
      </c>
      <c r="C176" s="24">
        <f t="shared" si="33"/>
        <v>0.98</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t="s">
        <v>3690</v>
      </c>
      <c r="Q176" s="24">
        <f t="shared" si="40"/>
        <v>1</v>
      </c>
      <c r="R176" s="670">
        <f t="shared" si="41"/>
        <v>58212</v>
      </c>
      <c r="S176" s="322">
        <f t="shared" si="32"/>
        <v>1133</v>
      </c>
    </row>
    <row r="177" spans="1:19">
      <c r="A177" s="3282" t="str">
        <f>抵押物清单!L160</f>
        <v>朝阳区酒仙桥路2号B栋10层1024</v>
      </c>
      <c r="B177" s="3283">
        <f>抵押物清单!J160</f>
        <v>135.66</v>
      </c>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t="s">
        <v>3690</v>
      </c>
      <c r="Q177" s="24">
        <f t="shared" si="40"/>
        <v>1</v>
      </c>
      <c r="R177" s="670">
        <f t="shared" si="41"/>
        <v>59400</v>
      </c>
      <c r="S177" s="322">
        <f t="shared" si="32"/>
        <v>806</v>
      </c>
    </row>
    <row r="178" spans="1:19">
      <c r="A178" s="3282" t="str">
        <f>抵押物清单!L161</f>
        <v>朝阳区酒仙桥路2号B栋10层1025</v>
      </c>
      <c r="B178" s="3283">
        <f>抵押物清单!J161</f>
        <v>147.19</v>
      </c>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t="s">
        <v>3690</v>
      </c>
      <c r="Q178" s="24">
        <f t="shared" si="40"/>
        <v>1</v>
      </c>
      <c r="R178" s="670">
        <f t="shared" si="41"/>
        <v>59400</v>
      </c>
      <c r="S178" s="322">
        <f t="shared" si="32"/>
        <v>874</v>
      </c>
    </row>
    <row r="179" spans="1:19">
      <c r="A179" s="3282" t="str">
        <f>抵押物清单!L162</f>
        <v>朝阳区酒仙桥路2号B栋11层1121</v>
      </c>
      <c r="B179" s="3283">
        <f>抵押物清单!J162</f>
        <v>158.19999999999999</v>
      </c>
      <c r="C179" s="24">
        <f t="shared" si="33"/>
        <v>0.99</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t="s">
        <v>3690</v>
      </c>
      <c r="Q179" s="24">
        <f t="shared" si="40"/>
        <v>1</v>
      </c>
      <c r="R179" s="670">
        <f t="shared" si="41"/>
        <v>58806</v>
      </c>
      <c r="S179" s="322">
        <f t="shared" si="32"/>
        <v>930</v>
      </c>
    </row>
    <row r="180" spans="1:19">
      <c r="A180" s="3282" t="str">
        <f>抵押物清单!L163</f>
        <v>朝阳区酒仙桥路2号B栋11层1122</v>
      </c>
      <c r="B180" s="3283">
        <f>抵押物清单!J163</f>
        <v>154.30000000000001</v>
      </c>
      <c r="C180" s="24">
        <f t="shared" si="33"/>
        <v>0.99</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t="s">
        <v>3690</v>
      </c>
      <c r="Q180" s="24">
        <f t="shared" si="40"/>
        <v>1</v>
      </c>
      <c r="R180" s="670">
        <f t="shared" si="41"/>
        <v>58806</v>
      </c>
      <c r="S180" s="322">
        <f t="shared" si="32"/>
        <v>907</v>
      </c>
    </row>
    <row r="181" spans="1:19">
      <c r="A181" s="3282" t="str">
        <f>抵押物清单!L164</f>
        <v>朝阳区酒仙桥路2号B栋11层1124</v>
      </c>
      <c r="B181" s="3283">
        <f>抵押物清单!J164</f>
        <v>135.66</v>
      </c>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t="s">
        <v>3690</v>
      </c>
      <c r="Q181" s="24">
        <f t="shared" si="40"/>
        <v>1</v>
      </c>
      <c r="R181" s="670">
        <f t="shared" si="41"/>
        <v>59400</v>
      </c>
      <c r="S181" s="322">
        <f t="shared" si="32"/>
        <v>806</v>
      </c>
    </row>
    <row r="182" spans="1:19">
      <c r="A182" s="3282" t="str">
        <f>抵押物清单!L165</f>
        <v>朝阳区酒仙桥路2号B栋11层1125</v>
      </c>
      <c r="B182" s="3283">
        <f>抵押物清单!J165</f>
        <v>147.19</v>
      </c>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t="s">
        <v>3690</v>
      </c>
      <c r="Q182" s="24">
        <f t="shared" si="40"/>
        <v>1</v>
      </c>
      <c r="R182" s="670">
        <f t="shared" si="41"/>
        <v>59400</v>
      </c>
      <c r="S182" s="322">
        <f t="shared" si="32"/>
        <v>874</v>
      </c>
    </row>
    <row r="183" spans="1:19">
      <c r="A183" s="3282" t="str">
        <f>抵押物清单!L166</f>
        <v>朝阳区酒仙桥路2号B栋12层1221</v>
      </c>
      <c r="B183" s="3283">
        <f>抵押物清单!J166</f>
        <v>158.19999999999999</v>
      </c>
      <c r="C183" s="24">
        <f t="shared" si="33"/>
        <v>0.99</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t="s">
        <v>3690</v>
      </c>
      <c r="Q183" s="24">
        <f t="shared" si="40"/>
        <v>1</v>
      </c>
      <c r="R183" s="670">
        <f t="shared" si="41"/>
        <v>58806</v>
      </c>
      <c r="S183" s="322">
        <f t="shared" si="32"/>
        <v>930</v>
      </c>
    </row>
    <row r="184" spans="1:19">
      <c r="A184" s="3282" t="str">
        <f>抵押物清单!L167</f>
        <v>朝阳区酒仙桥路2号B栋12层1222</v>
      </c>
      <c r="B184" s="3283">
        <f>抵押物清单!J167</f>
        <v>154.30000000000001</v>
      </c>
      <c r="C184" s="24">
        <f t="shared" si="33"/>
        <v>0.99</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t="s">
        <v>3690</v>
      </c>
      <c r="Q184" s="24">
        <f t="shared" si="40"/>
        <v>1</v>
      </c>
      <c r="R184" s="670">
        <f t="shared" si="41"/>
        <v>58806</v>
      </c>
      <c r="S184" s="322">
        <f t="shared" si="32"/>
        <v>907</v>
      </c>
    </row>
    <row r="185" spans="1:19">
      <c r="A185" s="3282" t="str">
        <f>抵押物清单!L168</f>
        <v>朝阳区酒仙桥路2号B栋12层1223</v>
      </c>
      <c r="B185" s="3283">
        <f>抵押物清单!J168</f>
        <v>194.67</v>
      </c>
      <c r="C185" s="24">
        <f t="shared" si="33"/>
        <v>0.98</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t="s">
        <v>3690</v>
      </c>
      <c r="Q185" s="24">
        <f t="shared" si="40"/>
        <v>1</v>
      </c>
      <c r="R185" s="670">
        <f t="shared" si="41"/>
        <v>58212</v>
      </c>
      <c r="S185" s="322">
        <f t="shared" si="32"/>
        <v>1133</v>
      </c>
    </row>
    <row r="186" spans="1:19">
      <c r="A186" s="3282" t="str">
        <f>抵押物清单!L169</f>
        <v>朝阳区酒仙桥路2号B栋12层1224</v>
      </c>
      <c r="B186" s="3283">
        <f>抵押物清单!J169</f>
        <v>135.66</v>
      </c>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t="s">
        <v>3690</v>
      </c>
      <c r="Q186" s="24">
        <f t="shared" si="40"/>
        <v>1</v>
      </c>
      <c r="R186" s="670">
        <f t="shared" si="41"/>
        <v>59400</v>
      </c>
      <c r="S186" s="322">
        <f t="shared" si="32"/>
        <v>806</v>
      </c>
    </row>
    <row r="187" spans="1:19">
      <c r="A187" s="3282" t="str">
        <f>抵押物清单!L170</f>
        <v>朝阳区酒仙桥路2号B栋12层1225</v>
      </c>
      <c r="B187" s="3283">
        <f>抵押物清单!J170</f>
        <v>147.19</v>
      </c>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t="s">
        <v>3690</v>
      </c>
      <c r="Q187" s="24">
        <f t="shared" si="40"/>
        <v>1</v>
      </c>
      <c r="R187" s="670">
        <f t="shared" si="41"/>
        <v>59400</v>
      </c>
      <c r="S187" s="322">
        <f t="shared" ref="S187:S222" si="42">ROUND(R187*B187/10000,0)</f>
        <v>874</v>
      </c>
    </row>
    <row r="188" spans="1:19">
      <c r="A188" s="3282" t="str">
        <f>抵押物清单!L171</f>
        <v>朝阳区酒仙桥路2号B栋13层1321</v>
      </c>
      <c r="B188" s="3283">
        <f>抵押物清单!J171</f>
        <v>158.19999999999999</v>
      </c>
      <c r="C188" s="24">
        <f t="shared" si="33"/>
        <v>0.99</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t="s">
        <v>3690</v>
      </c>
      <c r="Q188" s="24">
        <f t="shared" si="40"/>
        <v>1</v>
      </c>
      <c r="R188" s="670">
        <f t="shared" si="41"/>
        <v>58806</v>
      </c>
      <c r="S188" s="322">
        <f t="shared" si="42"/>
        <v>930</v>
      </c>
    </row>
    <row r="189" spans="1:19">
      <c r="A189" s="3282" t="str">
        <f>抵押物清单!L172</f>
        <v>朝阳区酒仙桥路2号B栋13层1322</v>
      </c>
      <c r="B189" s="3283">
        <f>抵押物清单!J172</f>
        <v>154.30000000000001</v>
      </c>
      <c r="C189" s="24">
        <f t="shared" si="33"/>
        <v>0.99</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t="s">
        <v>3690</v>
      </c>
      <c r="Q189" s="24">
        <f t="shared" si="40"/>
        <v>1</v>
      </c>
      <c r="R189" s="670">
        <f t="shared" si="41"/>
        <v>58806</v>
      </c>
      <c r="S189" s="322">
        <f t="shared" si="42"/>
        <v>907</v>
      </c>
    </row>
    <row r="190" spans="1:19">
      <c r="A190" s="3282" t="str">
        <f>抵押物清单!L173</f>
        <v>朝阳区酒仙桥路2号B栋13层1323</v>
      </c>
      <c r="B190" s="3283">
        <f>抵押物清单!J173</f>
        <v>194.67</v>
      </c>
      <c r="C190" s="24">
        <f t="shared" si="33"/>
        <v>0.98</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t="s">
        <v>3690</v>
      </c>
      <c r="Q190" s="24">
        <f t="shared" si="40"/>
        <v>1</v>
      </c>
      <c r="R190" s="670">
        <f t="shared" si="41"/>
        <v>58212</v>
      </c>
      <c r="S190" s="322">
        <f t="shared" si="42"/>
        <v>1133</v>
      </c>
    </row>
    <row r="191" spans="1:19">
      <c r="A191" s="3282" t="str">
        <f>抵押物清单!L174</f>
        <v>朝阳区酒仙桥路2号B栋13层1324</v>
      </c>
      <c r="B191" s="3283">
        <f>抵押物清单!J174</f>
        <v>135.66</v>
      </c>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t="s">
        <v>3690</v>
      </c>
      <c r="Q191" s="24">
        <f t="shared" si="40"/>
        <v>1</v>
      </c>
      <c r="R191" s="670">
        <f t="shared" si="41"/>
        <v>59400</v>
      </c>
      <c r="S191" s="322">
        <f t="shared" si="42"/>
        <v>806</v>
      </c>
    </row>
    <row r="192" spans="1:19">
      <c r="A192" s="3282" t="str">
        <f>抵押物清单!L175</f>
        <v>朝阳区酒仙桥路2号B栋13层1325</v>
      </c>
      <c r="B192" s="3283">
        <f>抵押物清单!J175</f>
        <v>147.19</v>
      </c>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t="s">
        <v>3690</v>
      </c>
      <c r="Q192" s="24">
        <f t="shared" si="40"/>
        <v>1</v>
      </c>
      <c r="R192" s="670">
        <f t="shared" si="41"/>
        <v>59400</v>
      </c>
      <c r="S192" s="322">
        <f t="shared" si="42"/>
        <v>874</v>
      </c>
    </row>
    <row r="193" spans="1:19">
      <c r="A193" s="3282" t="str">
        <f>抵押物清单!L176</f>
        <v>朝阳区酒仙桥路2号B栋14层1421</v>
      </c>
      <c r="B193" s="3283">
        <f>抵押物清单!J176</f>
        <v>158.19999999999999</v>
      </c>
      <c r="C193" s="24">
        <f t="shared" si="33"/>
        <v>0.99</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t="s">
        <v>3690</v>
      </c>
      <c r="Q193" s="24">
        <f t="shared" si="40"/>
        <v>1</v>
      </c>
      <c r="R193" s="670">
        <f t="shared" si="41"/>
        <v>58806</v>
      </c>
      <c r="S193" s="322">
        <f t="shared" si="42"/>
        <v>930</v>
      </c>
    </row>
    <row r="194" spans="1:19">
      <c r="A194" s="3282" t="str">
        <f>抵押物清单!L177</f>
        <v>朝阳区酒仙桥路2号B栋14层1423</v>
      </c>
      <c r="B194" s="3283">
        <f>抵押物清单!J177</f>
        <v>194.67</v>
      </c>
      <c r="C194" s="24">
        <f t="shared" si="33"/>
        <v>0.98</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t="s">
        <v>3690</v>
      </c>
      <c r="Q194" s="24">
        <f t="shared" si="40"/>
        <v>1</v>
      </c>
      <c r="R194" s="670">
        <f t="shared" si="41"/>
        <v>58212</v>
      </c>
      <c r="S194" s="322">
        <f t="shared" si="42"/>
        <v>1133</v>
      </c>
    </row>
    <row r="195" spans="1:19">
      <c r="A195" s="3282" t="str">
        <f>抵押物清单!L178</f>
        <v>朝阳区酒仙桥路2号B栋14层1424</v>
      </c>
      <c r="B195" s="3283">
        <f>抵押物清单!J178</f>
        <v>135.66</v>
      </c>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t="s">
        <v>3690</v>
      </c>
      <c r="Q195" s="24">
        <f t="shared" si="40"/>
        <v>1</v>
      </c>
      <c r="R195" s="670">
        <f t="shared" si="41"/>
        <v>59400</v>
      </c>
      <c r="S195" s="322">
        <f t="shared" si="42"/>
        <v>806</v>
      </c>
    </row>
    <row r="196" spans="1:19">
      <c r="A196" s="3282" t="str">
        <f>抵押物清单!L179</f>
        <v>朝阳区酒仙桥路2号B栋15层1521</v>
      </c>
      <c r="B196" s="3283">
        <f>抵押物清单!J179</f>
        <v>158.19999999999999</v>
      </c>
      <c r="C196" s="24">
        <f t="shared" si="33"/>
        <v>0.99</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t="s">
        <v>3692</v>
      </c>
      <c r="Q196" s="24">
        <f t="shared" si="40"/>
        <v>1.03</v>
      </c>
      <c r="R196" s="670">
        <f t="shared" si="41"/>
        <v>60570</v>
      </c>
      <c r="S196" s="322">
        <f t="shared" si="42"/>
        <v>958</v>
      </c>
    </row>
    <row r="197" spans="1:19">
      <c r="A197" s="3282" t="str">
        <f>抵押物清单!L180</f>
        <v>朝阳区酒仙桥路2号B栋15层1522</v>
      </c>
      <c r="B197" s="3283">
        <f>抵押物清单!J180</f>
        <v>154.30000000000001</v>
      </c>
      <c r="C197" s="24">
        <f t="shared" si="33"/>
        <v>0.99</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t="s">
        <v>3692</v>
      </c>
      <c r="Q197" s="24">
        <f t="shared" si="40"/>
        <v>1.03</v>
      </c>
      <c r="R197" s="670">
        <f t="shared" si="41"/>
        <v>60570</v>
      </c>
      <c r="S197" s="322">
        <f t="shared" si="42"/>
        <v>935</v>
      </c>
    </row>
    <row r="198" spans="1:19">
      <c r="A198" s="3282" t="str">
        <f>抵押物清单!L181</f>
        <v>朝阳区酒仙桥路2号B栋15层1524</v>
      </c>
      <c r="B198" s="3283">
        <f>抵押物清单!J181</f>
        <v>135.66</v>
      </c>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t="s">
        <v>3692</v>
      </c>
      <c r="Q198" s="24">
        <f t="shared" si="40"/>
        <v>1.03</v>
      </c>
      <c r="R198" s="670">
        <f t="shared" si="41"/>
        <v>61182</v>
      </c>
      <c r="S198" s="322">
        <f t="shared" si="42"/>
        <v>830</v>
      </c>
    </row>
    <row r="199" spans="1:19">
      <c r="A199" s="3282" t="str">
        <f>抵押物清单!L182</f>
        <v>朝阳区酒仙桥路2号B栋15层1525</v>
      </c>
      <c r="B199" s="3283">
        <f>抵押物清单!J182</f>
        <v>147.19</v>
      </c>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t="s">
        <v>3692</v>
      </c>
      <c r="Q199" s="24">
        <f t="shared" si="40"/>
        <v>1.03</v>
      </c>
      <c r="R199" s="670">
        <f t="shared" si="41"/>
        <v>61182</v>
      </c>
      <c r="S199" s="322">
        <f t="shared" si="42"/>
        <v>901</v>
      </c>
    </row>
    <row r="200" spans="1:19">
      <c r="A200" s="3282" t="str">
        <f>抵押物清单!L183</f>
        <v>朝阳区酒仙桥路2号B栋16层1621</v>
      </c>
      <c r="B200" s="3283">
        <f>抵押物清单!J183</f>
        <v>158.19999999999999</v>
      </c>
      <c r="C200" s="24">
        <f t="shared" si="33"/>
        <v>0.99</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t="s">
        <v>3692</v>
      </c>
      <c r="Q200" s="24">
        <f t="shared" si="40"/>
        <v>1.03</v>
      </c>
      <c r="R200" s="670">
        <f t="shared" si="41"/>
        <v>60570</v>
      </c>
      <c r="S200" s="322">
        <f t="shared" si="42"/>
        <v>958</v>
      </c>
    </row>
    <row r="201" spans="1:19">
      <c r="A201" s="3282" t="str">
        <f>抵押物清单!L184</f>
        <v>朝阳区酒仙桥路2号B栋16层1623</v>
      </c>
      <c r="B201" s="3283">
        <f>抵押物清单!J184</f>
        <v>194.67</v>
      </c>
      <c r="C201" s="24">
        <f t="shared" si="33"/>
        <v>0.98</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t="s">
        <v>3692</v>
      </c>
      <c r="Q201" s="24">
        <f t="shared" si="40"/>
        <v>1.03</v>
      </c>
      <c r="R201" s="670">
        <f t="shared" si="41"/>
        <v>59958</v>
      </c>
      <c r="S201" s="322">
        <f t="shared" si="42"/>
        <v>1167</v>
      </c>
    </row>
    <row r="202" spans="1:19">
      <c r="A202" s="3282" t="str">
        <f>抵押物清单!L185</f>
        <v>朝阳区酒仙桥路2号B栋16层1624</v>
      </c>
      <c r="B202" s="3283">
        <f>抵押物清单!J185</f>
        <v>135.66</v>
      </c>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t="s">
        <v>3692</v>
      </c>
      <c r="Q202" s="24">
        <f t="shared" si="40"/>
        <v>1.03</v>
      </c>
      <c r="R202" s="670">
        <f t="shared" si="41"/>
        <v>61182</v>
      </c>
      <c r="S202" s="322">
        <f t="shared" si="42"/>
        <v>830</v>
      </c>
    </row>
    <row r="203" spans="1:19">
      <c r="A203" s="3282" t="str">
        <f>抵押物清单!L186</f>
        <v>朝阳区酒仙桥路2号B栋16层1625</v>
      </c>
      <c r="B203" s="3283">
        <f>抵押物清单!J186</f>
        <v>147.19</v>
      </c>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t="s">
        <v>3692</v>
      </c>
      <c r="Q203" s="24">
        <f t="shared" si="40"/>
        <v>1.03</v>
      </c>
      <c r="R203" s="670">
        <f t="shared" si="41"/>
        <v>61182</v>
      </c>
      <c r="S203" s="322">
        <f t="shared" si="42"/>
        <v>901</v>
      </c>
    </row>
    <row r="204" spans="1:19">
      <c r="A204" s="3282" t="str">
        <f>抵押物清单!L187</f>
        <v>朝阳区酒仙桥路2号B栋17层1721</v>
      </c>
      <c r="B204" s="3283">
        <f>抵押物清单!J187</f>
        <v>158.19999999999999</v>
      </c>
      <c r="C204" s="24">
        <f t="shared" si="33"/>
        <v>0.99</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t="s">
        <v>3692</v>
      </c>
      <c r="Q204" s="24">
        <f t="shared" si="40"/>
        <v>1.03</v>
      </c>
      <c r="R204" s="670">
        <f t="shared" si="41"/>
        <v>60570</v>
      </c>
      <c r="S204" s="322">
        <f t="shared" si="42"/>
        <v>958</v>
      </c>
    </row>
    <row r="205" spans="1:19">
      <c r="A205" s="3282" t="str">
        <f>抵押物清单!L188</f>
        <v>朝阳区酒仙桥路2号B栋17层1722</v>
      </c>
      <c r="B205" s="3283">
        <f>抵押物清单!J188</f>
        <v>154.30000000000001</v>
      </c>
      <c r="C205" s="24">
        <f t="shared" si="33"/>
        <v>0.99</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t="s">
        <v>3692</v>
      </c>
      <c r="Q205" s="24">
        <f t="shared" si="40"/>
        <v>1.03</v>
      </c>
      <c r="R205" s="670">
        <f t="shared" si="41"/>
        <v>60570</v>
      </c>
      <c r="S205" s="322">
        <f t="shared" si="42"/>
        <v>935</v>
      </c>
    </row>
    <row r="206" spans="1:19">
      <c r="A206" s="3282" t="str">
        <f>抵押物清单!L189</f>
        <v>朝阳区酒仙桥路2号B栋17层1724</v>
      </c>
      <c r="B206" s="3283">
        <f>抵押物清单!J189</f>
        <v>135.66</v>
      </c>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t="s">
        <v>3692</v>
      </c>
      <c r="Q206" s="24">
        <f t="shared" si="40"/>
        <v>1.03</v>
      </c>
      <c r="R206" s="670">
        <f t="shared" si="41"/>
        <v>61182</v>
      </c>
      <c r="S206" s="322">
        <f t="shared" si="42"/>
        <v>830</v>
      </c>
    </row>
    <row r="207" spans="1:19">
      <c r="A207" s="3282" t="str">
        <f>抵押物清单!L190</f>
        <v>朝阳区酒仙桥路2号B栋17层1725</v>
      </c>
      <c r="B207" s="3283">
        <f>抵押物清单!J190</f>
        <v>147.19</v>
      </c>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t="s">
        <v>3692</v>
      </c>
      <c r="Q207" s="24">
        <f t="shared" si="40"/>
        <v>1.03</v>
      </c>
      <c r="R207" s="670">
        <f t="shared" si="41"/>
        <v>61182</v>
      </c>
      <c r="S207" s="322">
        <f t="shared" si="42"/>
        <v>901</v>
      </c>
    </row>
    <row r="208" spans="1:19">
      <c r="A208" s="3282" t="str">
        <f>抵押物清单!L191</f>
        <v>朝阳区酒仙桥路2号B栋18层1822</v>
      </c>
      <c r="B208" s="3283">
        <f>抵押物清单!J191</f>
        <v>154.30000000000001</v>
      </c>
      <c r="C208" s="24">
        <f t="shared" si="33"/>
        <v>0.99</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t="s">
        <v>3692</v>
      </c>
      <c r="Q208" s="24">
        <f t="shared" si="40"/>
        <v>1.03</v>
      </c>
      <c r="R208" s="670">
        <f t="shared" si="41"/>
        <v>60570</v>
      </c>
      <c r="S208" s="322">
        <f t="shared" si="42"/>
        <v>935</v>
      </c>
    </row>
    <row r="209" spans="1:19">
      <c r="A209" s="3282" t="str">
        <f>抵押物清单!L192</f>
        <v>朝阳区酒仙桥路2号B栋18层1824</v>
      </c>
      <c r="B209" s="3283">
        <f>抵押物清单!J192</f>
        <v>135.66</v>
      </c>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t="s">
        <v>3692</v>
      </c>
      <c r="Q209" s="24">
        <f t="shared" si="40"/>
        <v>1.03</v>
      </c>
      <c r="R209" s="670">
        <f t="shared" si="41"/>
        <v>61182</v>
      </c>
      <c r="S209" s="322">
        <f t="shared" si="42"/>
        <v>830</v>
      </c>
    </row>
    <row r="210" spans="1:19">
      <c r="A210" s="3282" t="str">
        <f>抵押物清单!L193</f>
        <v>朝阳区酒仙桥路2号B栋18层1825</v>
      </c>
      <c r="B210" s="3283">
        <f>抵押物清单!J193</f>
        <v>147.19</v>
      </c>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t="s">
        <v>3692</v>
      </c>
      <c r="Q210" s="24">
        <f t="shared" si="40"/>
        <v>1.03</v>
      </c>
      <c r="R210" s="670">
        <f t="shared" si="41"/>
        <v>61182</v>
      </c>
      <c r="S210" s="322">
        <f t="shared" si="42"/>
        <v>901</v>
      </c>
    </row>
    <row r="211" spans="1:19">
      <c r="A211" s="3282" t="str">
        <f>抵押物清单!L194</f>
        <v>朝阳区酒仙桥路2号B栋19层1921</v>
      </c>
      <c r="B211" s="3283">
        <f>抵押物清单!J194</f>
        <v>158.19999999999999</v>
      </c>
      <c r="C211" s="24">
        <f t="shared" si="33"/>
        <v>0.99</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t="s">
        <v>3692</v>
      </c>
      <c r="Q211" s="24">
        <f t="shared" si="40"/>
        <v>1.03</v>
      </c>
      <c r="R211" s="670">
        <f t="shared" si="41"/>
        <v>60570</v>
      </c>
      <c r="S211" s="322">
        <f t="shared" si="42"/>
        <v>958</v>
      </c>
    </row>
    <row r="212" spans="1:19">
      <c r="A212" s="3282" t="str">
        <f>抵押物清单!L195</f>
        <v>朝阳区酒仙桥路2号B栋19层1922</v>
      </c>
      <c r="B212" s="3283">
        <f>抵押物清单!J195</f>
        <v>154.30000000000001</v>
      </c>
      <c r="C212" s="24">
        <f t="shared" si="33"/>
        <v>0.99</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t="s">
        <v>3692</v>
      </c>
      <c r="Q212" s="24">
        <f t="shared" si="40"/>
        <v>1.03</v>
      </c>
      <c r="R212" s="670">
        <f t="shared" si="41"/>
        <v>60570</v>
      </c>
      <c r="S212" s="322">
        <f t="shared" si="42"/>
        <v>935</v>
      </c>
    </row>
    <row r="213" spans="1:19">
      <c r="A213" s="3282" t="str">
        <f>抵押物清单!L196</f>
        <v>朝阳区酒仙桥路2号B栋20层2021</v>
      </c>
      <c r="B213" s="3283">
        <f>抵押物清单!J196</f>
        <v>158.19999999999999</v>
      </c>
      <c r="C213" s="24">
        <f t="shared" si="33"/>
        <v>0.99</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t="s">
        <v>3692</v>
      </c>
      <c r="Q213" s="24">
        <f t="shared" si="40"/>
        <v>1.03</v>
      </c>
      <c r="R213" s="670">
        <f t="shared" si="41"/>
        <v>60570</v>
      </c>
      <c r="S213" s="322">
        <f t="shared" si="42"/>
        <v>958</v>
      </c>
    </row>
    <row r="214" spans="1:19">
      <c r="A214" s="3282" t="str">
        <f>抵押物清单!L197</f>
        <v>朝阳区酒仙桥路2号B栋20层2022</v>
      </c>
      <c r="B214" s="3283">
        <f>抵押物清单!J197</f>
        <v>154.30000000000001</v>
      </c>
      <c r="C214" s="24">
        <f t="shared" si="33"/>
        <v>0.99</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t="s">
        <v>3692</v>
      </c>
      <c r="Q214" s="24">
        <f t="shared" si="40"/>
        <v>1.03</v>
      </c>
      <c r="R214" s="670">
        <f t="shared" si="41"/>
        <v>60570</v>
      </c>
      <c r="S214" s="322">
        <f t="shared" si="42"/>
        <v>935</v>
      </c>
    </row>
    <row r="215" spans="1:19">
      <c r="A215" s="3282" t="str">
        <f>抵押物清单!L198</f>
        <v>朝阳区酒仙桥路2号B栋20层2023</v>
      </c>
      <c r="B215" s="3283">
        <f>抵押物清单!J198</f>
        <v>194.67</v>
      </c>
      <c r="C215" s="24">
        <f t="shared" si="33"/>
        <v>0.98</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t="s">
        <v>3692</v>
      </c>
      <c r="Q215" s="24">
        <f t="shared" si="40"/>
        <v>1.03</v>
      </c>
      <c r="R215" s="670">
        <f t="shared" si="41"/>
        <v>59958</v>
      </c>
      <c r="S215" s="322">
        <f t="shared" si="42"/>
        <v>1167</v>
      </c>
    </row>
    <row r="216" spans="1:19">
      <c r="A216" s="3282" t="str">
        <f>抵押物清单!L199</f>
        <v>朝阳区酒仙桥路2号B栋20层2024</v>
      </c>
      <c r="B216" s="3283">
        <f>抵押物清单!J199</f>
        <v>135.66</v>
      </c>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t="s">
        <v>3692</v>
      </c>
      <c r="Q216" s="24">
        <f t="shared" si="40"/>
        <v>1.03</v>
      </c>
      <c r="R216" s="670">
        <f t="shared" si="41"/>
        <v>61182</v>
      </c>
      <c r="S216" s="322">
        <f t="shared" si="42"/>
        <v>830</v>
      </c>
    </row>
    <row r="217" spans="1:19">
      <c r="A217" s="3282" t="str">
        <f>抵押物清单!L200</f>
        <v>朝阳区酒仙桥路2号B栋20层2025</v>
      </c>
      <c r="B217" s="3283">
        <f>抵押物清单!J200</f>
        <v>147.19</v>
      </c>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t="s">
        <v>3692</v>
      </c>
      <c r="Q217" s="24">
        <f t="shared" si="40"/>
        <v>1.03</v>
      </c>
      <c r="R217" s="670">
        <f t="shared" si="41"/>
        <v>61182</v>
      </c>
      <c r="S217" s="322">
        <f t="shared" si="42"/>
        <v>901</v>
      </c>
    </row>
    <row r="218" spans="1:19">
      <c r="A218" s="3282" t="str">
        <f>抵押物清单!L201</f>
        <v>朝阳区酒仙桥路2号B栋21层2121</v>
      </c>
      <c r="B218" s="3283">
        <f>抵押物清单!J201</f>
        <v>223.33</v>
      </c>
      <c r="C218" s="24">
        <f t="shared" ref="C218:C281" si="43">IF(B218="",1,(LOOKUP(B218,$3:$3,$4:$4)-LOOKUP($B$24,$3:$3,$4:$4)+100)/100)</f>
        <v>0.98</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t="s">
        <v>3692</v>
      </c>
      <c r="Q218" s="24">
        <f t="shared" ref="Q218:Q281" si="50">(SUMIF($17:$17,P218,$18:$18)-SUMIF($17:$17,$P$24,$18:$18)+100)/100</f>
        <v>1.03</v>
      </c>
      <c r="R218" s="670">
        <f t="shared" ref="R218:R281" si="51">IF(B218="",0,ROUND($R$24*C218*E218*G218*I218*K218*M218*O218*Q218,0))</f>
        <v>59958</v>
      </c>
      <c r="S218" s="322">
        <f t="shared" si="42"/>
        <v>1339</v>
      </c>
    </row>
    <row r="219" spans="1:19">
      <c r="A219" s="3282"/>
      <c r="B219" s="3283"/>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0.03</v>
      </c>
      <c r="R219" s="670">
        <f t="shared" si="51"/>
        <v>0</v>
      </c>
      <c r="S219" s="322">
        <f t="shared" si="42"/>
        <v>0</v>
      </c>
    </row>
    <row r="220" spans="1:19">
      <c r="A220" s="328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0.03</v>
      </c>
      <c r="R220" s="670">
        <f t="shared" si="51"/>
        <v>0</v>
      </c>
      <c r="S220" s="322">
        <f t="shared" si="42"/>
        <v>0</v>
      </c>
    </row>
    <row r="221" spans="1:19">
      <c r="A221" s="328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0.03</v>
      </c>
      <c r="R221" s="670">
        <f t="shared" si="51"/>
        <v>0</v>
      </c>
      <c r="S221" s="322">
        <f t="shared" si="42"/>
        <v>0</v>
      </c>
    </row>
    <row r="222" spans="1:19">
      <c r="A222" s="328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0.03</v>
      </c>
      <c r="R222" s="670">
        <f t="shared" si="51"/>
        <v>0</v>
      </c>
      <c r="S222" s="322">
        <f t="shared" si="42"/>
        <v>0</v>
      </c>
    </row>
    <row r="223" spans="1:19">
      <c r="A223" s="328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0.03</v>
      </c>
      <c r="R223" s="670">
        <f t="shared" si="51"/>
        <v>0</v>
      </c>
      <c r="S223" s="322">
        <f t="shared" ref="S223:S286" si="52">ROUND(R223*B223/10000,0)</f>
        <v>0</v>
      </c>
    </row>
    <row r="224" spans="1:19">
      <c r="A224" s="328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0.03</v>
      </c>
      <c r="R224" s="670">
        <f t="shared" si="51"/>
        <v>0</v>
      </c>
      <c r="S224" s="322">
        <f t="shared" si="52"/>
        <v>0</v>
      </c>
    </row>
    <row r="225" spans="1:19">
      <c r="A225" s="328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0.03</v>
      </c>
      <c r="R225" s="670">
        <f t="shared" si="51"/>
        <v>0</v>
      </c>
      <c r="S225" s="322">
        <f t="shared" si="52"/>
        <v>0</v>
      </c>
    </row>
    <row r="226" spans="1:19">
      <c r="A226" s="328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0.03</v>
      </c>
      <c r="R226" s="670">
        <f t="shared" si="51"/>
        <v>0</v>
      </c>
      <c r="S226" s="322">
        <f t="shared" si="52"/>
        <v>0</v>
      </c>
    </row>
    <row r="227" spans="1:19">
      <c r="A227" s="328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0.03</v>
      </c>
      <c r="R227" s="670">
        <f t="shared" si="51"/>
        <v>0</v>
      </c>
      <c r="S227" s="322">
        <f t="shared" si="52"/>
        <v>0</v>
      </c>
    </row>
    <row r="228" spans="1:19">
      <c r="A228" s="328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0.03</v>
      </c>
      <c r="R228" s="670">
        <f t="shared" si="51"/>
        <v>0</v>
      </c>
      <c r="S228" s="322">
        <f t="shared" si="52"/>
        <v>0</v>
      </c>
    </row>
    <row r="229" spans="1:19">
      <c r="A229" s="328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0.03</v>
      </c>
      <c r="R229" s="670">
        <f t="shared" si="51"/>
        <v>0</v>
      </c>
      <c r="S229" s="322">
        <f t="shared" si="52"/>
        <v>0</v>
      </c>
    </row>
    <row r="230" spans="1:19">
      <c r="A230" s="328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0.03</v>
      </c>
      <c r="R230" s="670">
        <f t="shared" si="51"/>
        <v>0</v>
      </c>
      <c r="S230" s="322">
        <f t="shared" si="52"/>
        <v>0</v>
      </c>
    </row>
    <row r="231" spans="1:19">
      <c r="A231" s="328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0.03</v>
      </c>
      <c r="R231" s="670">
        <f t="shared" si="51"/>
        <v>0</v>
      </c>
      <c r="S231" s="322">
        <f t="shared" si="52"/>
        <v>0</v>
      </c>
    </row>
    <row r="232" spans="1:19">
      <c r="A232" s="328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0.03</v>
      </c>
      <c r="R232" s="670">
        <f t="shared" si="51"/>
        <v>0</v>
      </c>
      <c r="S232" s="322">
        <f t="shared" si="52"/>
        <v>0</v>
      </c>
    </row>
    <row r="233" spans="1:19">
      <c r="A233" s="328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0.03</v>
      </c>
      <c r="R233" s="670">
        <f t="shared" si="51"/>
        <v>0</v>
      </c>
      <c r="S233" s="322">
        <f t="shared" si="52"/>
        <v>0</v>
      </c>
    </row>
    <row r="234" spans="1:19">
      <c r="A234" s="328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0.03</v>
      </c>
      <c r="R234" s="670">
        <f t="shared" si="51"/>
        <v>0</v>
      </c>
      <c r="S234" s="322">
        <f t="shared" si="52"/>
        <v>0</v>
      </c>
    </row>
    <row r="235" spans="1:19">
      <c r="A235" s="328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0.03</v>
      </c>
      <c r="R235" s="670">
        <f t="shared" si="51"/>
        <v>0</v>
      </c>
      <c r="S235" s="322">
        <f t="shared" si="52"/>
        <v>0</v>
      </c>
    </row>
    <row r="236" spans="1:19">
      <c r="A236" s="328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0.03</v>
      </c>
      <c r="R236" s="670">
        <f t="shared" si="51"/>
        <v>0</v>
      </c>
      <c r="S236" s="322">
        <f t="shared" si="52"/>
        <v>0</v>
      </c>
    </row>
    <row r="237" spans="1:19">
      <c r="A237" s="328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0.03</v>
      </c>
      <c r="R237" s="670">
        <f t="shared" si="51"/>
        <v>0</v>
      </c>
      <c r="S237" s="322">
        <f t="shared" si="52"/>
        <v>0</v>
      </c>
    </row>
    <row r="238" spans="1:19">
      <c r="A238" s="328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0.03</v>
      </c>
      <c r="R238" s="670">
        <f t="shared" si="51"/>
        <v>0</v>
      </c>
      <c r="S238" s="322">
        <f t="shared" si="52"/>
        <v>0</v>
      </c>
    </row>
    <row r="239" spans="1:19">
      <c r="A239" s="328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0.03</v>
      </c>
      <c r="R239" s="670">
        <f t="shared" si="51"/>
        <v>0</v>
      </c>
      <c r="S239" s="322">
        <f t="shared" si="52"/>
        <v>0</v>
      </c>
    </row>
    <row r="240" spans="1:19">
      <c r="A240" s="328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0.03</v>
      </c>
      <c r="R240" s="670">
        <f t="shared" si="51"/>
        <v>0</v>
      </c>
      <c r="S240" s="322">
        <f t="shared" si="52"/>
        <v>0</v>
      </c>
    </row>
    <row r="241" spans="1:19">
      <c r="A241" s="328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0.03</v>
      </c>
      <c r="R241" s="670">
        <f t="shared" si="51"/>
        <v>0</v>
      </c>
      <c r="S241" s="322">
        <f t="shared" si="52"/>
        <v>0</v>
      </c>
    </row>
    <row r="242" spans="1:19">
      <c r="A242" s="328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0.03</v>
      </c>
      <c r="R242" s="670">
        <f t="shared" si="51"/>
        <v>0</v>
      </c>
      <c r="S242" s="322">
        <f t="shared" si="52"/>
        <v>0</v>
      </c>
    </row>
    <row r="243" spans="1:19">
      <c r="A243" s="328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0.03</v>
      </c>
      <c r="R243" s="670">
        <f t="shared" si="51"/>
        <v>0</v>
      </c>
      <c r="S243" s="322">
        <f t="shared" si="52"/>
        <v>0</v>
      </c>
    </row>
    <row r="244" spans="1:19">
      <c r="A244" s="328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0.03</v>
      </c>
      <c r="R244" s="670">
        <f t="shared" si="51"/>
        <v>0</v>
      </c>
      <c r="S244" s="322">
        <f t="shared" si="52"/>
        <v>0</v>
      </c>
    </row>
    <row r="245" spans="1:19">
      <c r="A245" s="328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0.03</v>
      </c>
      <c r="R245" s="670">
        <f t="shared" si="51"/>
        <v>0</v>
      </c>
      <c r="S245" s="322">
        <f t="shared" si="52"/>
        <v>0</v>
      </c>
    </row>
    <row r="246" spans="1:19">
      <c r="A246" s="328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0.03</v>
      </c>
      <c r="R246" s="670">
        <f t="shared" si="51"/>
        <v>0</v>
      </c>
      <c r="S246" s="322">
        <f t="shared" si="52"/>
        <v>0</v>
      </c>
    </row>
    <row r="247" spans="1:19">
      <c r="A247" s="328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0.03</v>
      </c>
      <c r="R247" s="670">
        <f t="shared" si="51"/>
        <v>0</v>
      </c>
      <c r="S247" s="322">
        <f t="shared" si="52"/>
        <v>0</v>
      </c>
    </row>
    <row r="248" spans="1:19">
      <c r="A248" s="328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0.03</v>
      </c>
      <c r="R248" s="670">
        <f t="shared" si="51"/>
        <v>0</v>
      </c>
      <c r="S248" s="322">
        <f t="shared" si="52"/>
        <v>0</v>
      </c>
    </row>
    <row r="249" spans="1:19">
      <c r="A249" s="328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0.03</v>
      </c>
      <c r="R249" s="670">
        <f t="shared" si="51"/>
        <v>0</v>
      </c>
      <c r="S249" s="322">
        <f t="shared" si="52"/>
        <v>0</v>
      </c>
    </row>
    <row r="250" spans="1:19">
      <c r="A250" s="328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0.03</v>
      </c>
      <c r="R250" s="670">
        <f t="shared" si="51"/>
        <v>0</v>
      </c>
      <c r="S250" s="322">
        <f t="shared" si="52"/>
        <v>0</v>
      </c>
    </row>
    <row r="251" spans="1:19">
      <c r="A251" s="328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0.03</v>
      </c>
      <c r="R251" s="670">
        <f t="shared" si="51"/>
        <v>0</v>
      </c>
      <c r="S251" s="322">
        <f t="shared" si="52"/>
        <v>0</v>
      </c>
    </row>
    <row r="252" spans="1:19">
      <c r="A252" s="328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0.03</v>
      </c>
      <c r="R252" s="670">
        <f t="shared" si="51"/>
        <v>0</v>
      </c>
      <c r="S252" s="322">
        <f t="shared" si="52"/>
        <v>0</v>
      </c>
    </row>
    <row r="253" spans="1:19">
      <c r="A253" s="328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0.03</v>
      </c>
      <c r="R253" s="670">
        <f t="shared" si="51"/>
        <v>0</v>
      </c>
      <c r="S253" s="322">
        <f t="shared" si="52"/>
        <v>0</v>
      </c>
    </row>
    <row r="254" spans="1:19">
      <c r="A254" s="328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0.03</v>
      </c>
      <c r="R254" s="670">
        <f t="shared" si="51"/>
        <v>0</v>
      </c>
      <c r="S254" s="322">
        <f t="shared" si="52"/>
        <v>0</v>
      </c>
    </row>
    <row r="255" spans="1:19">
      <c r="A255" s="328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0.03</v>
      </c>
      <c r="R255" s="670">
        <f t="shared" si="51"/>
        <v>0</v>
      </c>
      <c r="S255" s="322">
        <f t="shared" si="52"/>
        <v>0</v>
      </c>
    </row>
    <row r="256" spans="1:19">
      <c r="A256" s="328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0.03</v>
      </c>
      <c r="R256" s="670">
        <f t="shared" si="51"/>
        <v>0</v>
      </c>
      <c r="S256" s="322">
        <f t="shared" si="52"/>
        <v>0</v>
      </c>
    </row>
    <row r="257" spans="1:19">
      <c r="A257" s="328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0.03</v>
      </c>
      <c r="R257" s="670">
        <f t="shared" si="51"/>
        <v>0</v>
      </c>
      <c r="S257" s="322">
        <f t="shared" si="52"/>
        <v>0</v>
      </c>
    </row>
    <row r="258" spans="1:19">
      <c r="A258" s="328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0.03</v>
      </c>
      <c r="R258" s="670">
        <f t="shared" si="51"/>
        <v>0</v>
      </c>
      <c r="S258" s="322">
        <f t="shared" si="52"/>
        <v>0</v>
      </c>
    </row>
    <row r="259" spans="1:19">
      <c r="A259" s="328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0.03</v>
      </c>
      <c r="R259" s="670">
        <f t="shared" si="51"/>
        <v>0</v>
      </c>
      <c r="S259" s="322">
        <f t="shared" si="52"/>
        <v>0</v>
      </c>
    </row>
    <row r="260" spans="1:19">
      <c r="A260" s="328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0.03</v>
      </c>
      <c r="R260" s="670">
        <f t="shared" si="51"/>
        <v>0</v>
      </c>
      <c r="S260" s="322">
        <f t="shared" si="52"/>
        <v>0</v>
      </c>
    </row>
    <row r="261" spans="1:19">
      <c r="A261" s="328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0.03</v>
      </c>
      <c r="R261" s="670">
        <f t="shared" si="51"/>
        <v>0</v>
      </c>
      <c r="S261" s="322">
        <f t="shared" si="52"/>
        <v>0</v>
      </c>
    </row>
    <row r="262" spans="1:19">
      <c r="A262" s="328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0.03</v>
      </c>
      <c r="R262" s="670">
        <f t="shared" si="51"/>
        <v>0</v>
      </c>
      <c r="S262" s="322">
        <f t="shared" si="52"/>
        <v>0</v>
      </c>
    </row>
    <row r="263" spans="1:19">
      <c r="A263" s="328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0.03</v>
      </c>
      <c r="R263" s="670">
        <f t="shared" si="51"/>
        <v>0</v>
      </c>
      <c r="S263" s="322">
        <f t="shared" si="52"/>
        <v>0</v>
      </c>
    </row>
    <row r="264" spans="1:19">
      <c r="A264" s="328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0.03</v>
      </c>
      <c r="R264" s="670">
        <f t="shared" si="51"/>
        <v>0</v>
      </c>
      <c r="S264" s="322">
        <f t="shared" si="52"/>
        <v>0</v>
      </c>
    </row>
    <row r="265" spans="1:19">
      <c r="A265" s="328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0.03</v>
      </c>
      <c r="R265" s="670">
        <f t="shared" si="51"/>
        <v>0</v>
      </c>
      <c r="S265" s="322">
        <f t="shared" si="52"/>
        <v>0</v>
      </c>
    </row>
    <row r="266" spans="1:19">
      <c r="A266" s="328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0.03</v>
      </c>
      <c r="R266" s="670">
        <f t="shared" si="51"/>
        <v>0</v>
      </c>
      <c r="S266" s="322">
        <f t="shared" si="52"/>
        <v>0</v>
      </c>
    </row>
    <row r="267" spans="1:19">
      <c r="A267" s="328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0.03</v>
      </c>
      <c r="R267" s="670">
        <f t="shared" si="51"/>
        <v>0</v>
      </c>
      <c r="S267" s="322">
        <f t="shared" si="52"/>
        <v>0</v>
      </c>
    </row>
    <row r="268" spans="1:19">
      <c r="A268" s="328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0.03</v>
      </c>
      <c r="R268" s="670">
        <f t="shared" si="51"/>
        <v>0</v>
      </c>
      <c r="S268" s="322">
        <f t="shared" si="52"/>
        <v>0</v>
      </c>
    </row>
    <row r="269" spans="1:19">
      <c r="A269" s="328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0.03</v>
      </c>
      <c r="R269" s="670">
        <f t="shared" si="51"/>
        <v>0</v>
      </c>
      <c r="S269" s="322">
        <f t="shared" si="52"/>
        <v>0</v>
      </c>
    </row>
    <row r="270" spans="1:19">
      <c r="A270" s="328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0.03</v>
      </c>
      <c r="R270" s="670">
        <f t="shared" si="51"/>
        <v>0</v>
      </c>
      <c r="S270" s="322">
        <f t="shared" si="52"/>
        <v>0</v>
      </c>
    </row>
    <row r="271" spans="1:19">
      <c r="A271" s="328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0.03</v>
      </c>
      <c r="R271" s="670">
        <f t="shared" si="51"/>
        <v>0</v>
      </c>
      <c r="S271" s="322">
        <f t="shared" si="52"/>
        <v>0</v>
      </c>
    </row>
    <row r="272" spans="1:19">
      <c r="A272" s="328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0.03</v>
      </c>
      <c r="R272" s="670">
        <f t="shared" si="51"/>
        <v>0</v>
      </c>
      <c r="S272" s="322">
        <f t="shared" si="52"/>
        <v>0</v>
      </c>
    </row>
    <row r="273" spans="1:19">
      <c r="A273" s="328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0.03</v>
      </c>
      <c r="R273" s="670">
        <f t="shared" si="51"/>
        <v>0</v>
      </c>
      <c r="S273" s="322">
        <f t="shared" si="52"/>
        <v>0</v>
      </c>
    </row>
    <row r="274" spans="1:19">
      <c r="A274" s="328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0.03</v>
      </c>
      <c r="R274" s="670">
        <f t="shared" si="51"/>
        <v>0</v>
      </c>
      <c r="S274" s="322">
        <f t="shared" si="52"/>
        <v>0</v>
      </c>
    </row>
    <row r="275" spans="1:19">
      <c r="A275" s="328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0.03</v>
      </c>
      <c r="R275" s="670">
        <f t="shared" si="51"/>
        <v>0</v>
      </c>
      <c r="S275" s="322">
        <f t="shared" si="52"/>
        <v>0</v>
      </c>
    </row>
    <row r="276" spans="1:19">
      <c r="A276" s="328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0.03</v>
      </c>
      <c r="R276" s="670">
        <f t="shared" si="51"/>
        <v>0</v>
      </c>
      <c r="S276" s="322">
        <f t="shared" si="52"/>
        <v>0</v>
      </c>
    </row>
    <row r="277" spans="1:19">
      <c r="A277" s="328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0.03</v>
      </c>
      <c r="R277" s="670">
        <f t="shared" si="51"/>
        <v>0</v>
      </c>
      <c r="S277" s="322">
        <f t="shared" si="52"/>
        <v>0</v>
      </c>
    </row>
    <row r="278" spans="1:19">
      <c r="A278" s="328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0.03</v>
      </c>
      <c r="R278" s="670">
        <f t="shared" si="51"/>
        <v>0</v>
      </c>
      <c r="S278" s="322">
        <f t="shared" si="52"/>
        <v>0</v>
      </c>
    </row>
    <row r="279" spans="1:19">
      <c r="A279" s="328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0.03</v>
      </c>
      <c r="R279" s="670">
        <f t="shared" si="51"/>
        <v>0</v>
      </c>
      <c r="S279" s="322">
        <f t="shared" si="52"/>
        <v>0</v>
      </c>
    </row>
    <row r="280" spans="1:19">
      <c r="A280" s="328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0.03</v>
      </c>
      <c r="R280" s="670">
        <f t="shared" si="51"/>
        <v>0</v>
      </c>
      <c r="S280" s="322">
        <f t="shared" si="52"/>
        <v>0</v>
      </c>
    </row>
    <row r="281" spans="1:19">
      <c r="A281" s="328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0.03</v>
      </c>
      <c r="R281" s="670">
        <f t="shared" si="51"/>
        <v>0</v>
      </c>
      <c r="S281" s="322">
        <f t="shared" si="52"/>
        <v>0</v>
      </c>
    </row>
    <row r="282" spans="1:19">
      <c r="A282" s="328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0.03</v>
      </c>
      <c r="R282" s="670">
        <f t="shared" ref="R282:R345" si="61">IF(B282="",0,ROUND($R$24*C282*E282*G282*I282*K282*M282*O282*Q282,0))</f>
        <v>0</v>
      </c>
      <c r="S282" s="322">
        <f t="shared" si="52"/>
        <v>0</v>
      </c>
    </row>
    <row r="283" spans="1:19">
      <c r="A283" s="328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0.03</v>
      </c>
      <c r="R283" s="670">
        <f t="shared" si="61"/>
        <v>0</v>
      </c>
      <c r="S283" s="322">
        <f t="shared" si="52"/>
        <v>0</v>
      </c>
    </row>
    <row r="284" spans="1:19">
      <c r="A284" s="328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0.03</v>
      </c>
      <c r="R284" s="670">
        <f t="shared" si="61"/>
        <v>0</v>
      </c>
      <c r="S284" s="322">
        <f t="shared" si="52"/>
        <v>0</v>
      </c>
    </row>
    <row r="285" spans="1:19">
      <c r="A285" s="328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0.03</v>
      </c>
      <c r="R285" s="670">
        <f t="shared" si="61"/>
        <v>0</v>
      </c>
      <c r="S285" s="322">
        <f t="shared" si="52"/>
        <v>0</v>
      </c>
    </row>
    <row r="286" spans="1:19">
      <c r="A286" s="328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0.03</v>
      </c>
      <c r="R286" s="670">
        <f t="shared" si="61"/>
        <v>0</v>
      </c>
      <c r="S286" s="322">
        <f t="shared" si="52"/>
        <v>0</v>
      </c>
    </row>
    <row r="287" spans="1:19">
      <c r="A287" s="328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0.03</v>
      </c>
      <c r="R287" s="670">
        <f t="shared" si="61"/>
        <v>0</v>
      </c>
      <c r="S287" s="322">
        <f t="shared" ref="S287:S320" si="62">ROUND(R287*B287/10000,0)</f>
        <v>0</v>
      </c>
    </row>
    <row r="288" spans="1:19">
      <c r="A288" s="328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0.03</v>
      </c>
      <c r="R288" s="670">
        <f t="shared" si="61"/>
        <v>0</v>
      </c>
      <c r="S288" s="322">
        <f t="shared" si="62"/>
        <v>0</v>
      </c>
    </row>
    <row r="289" spans="1:19">
      <c r="A289" s="328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0.03</v>
      </c>
      <c r="R289" s="670">
        <f t="shared" si="61"/>
        <v>0</v>
      </c>
      <c r="S289" s="322">
        <f t="shared" si="62"/>
        <v>0</v>
      </c>
    </row>
    <row r="290" spans="1:19">
      <c r="A290" s="328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0.03</v>
      </c>
      <c r="R290" s="670">
        <f t="shared" si="61"/>
        <v>0</v>
      </c>
      <c r="S290" s="322">
        <f t="shared" si="62"/>
        <v>0</v>
      </c>
    </row>
    <row r="291" spans="1:19">
      <c r="A291" s="328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0.03</v>
      </c>
      <c r="R291" s="670">
        <f t="shared" si="61"/>
        <v>0</v>
      </c>
      <c r="S291" s="322">
        <f t="shared" si="62"/>
        <v>0</v>
      </c>
    </row>
    <row r="292" spans="1:19">
      <c r="A292" s="328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0.03</v>
      </c>
      <c r="R292" s="670">
        <f t="shared" si="61"/>
        <v>0</v>
      </c>
      <c r="S292" s="322">
        <f t="shared" si="62"/>
        <v>0</v>
      </c>
    </row>
    <row r="293" spans="1:19">
      <c r="A293" s="328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0.03</v>
      </c>
      <c r="R293" s="670">
        <f t="shared" si="61"/>
        <v>0</v>
      </c>
      <c r="S293" s="322">
        <f t="shared" si="62"/>
        <v>0</v>
      </c>
    </row>
    <row r="294" spans="1:19">
      <c r="A294" s="328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0.03</v>
      </c>
      <c r="R294" s="670">
        <f t="shared" si="61"/>
        <v>0</v>
      </c>
      <c r="S294" s="322">
        <f t="shared" si="62"/>
        <v>0</v>
      </c>
    </row>
    <row r="295" spans="1:19">
      <c r="A295" s="328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0.03</v>
      </c>
      <c r="R295" s="670">
        <f t="shared" si="61"/>
        <v>0</v>
      </c>
      <c r="S295" s="322">
        <f t="shared" si="62"/>
        <v>0</v>
      </c>
    </row>
    <row r="296" spans="1:19">
      <c r="A296" s="328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0.03</v>
      </c>
      <c r="R296" s="670">
        <f t="shared" si="61"/>
        <v>0</v>
      </c>
      <c r="S296" s="322">
        <f t="shared" si="62"/>
        <v>0</v>
      </c>
    </row>
    <row r="297" spans="1:19">
      <c r="A297" s="328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0.03</v>
      </c>
      <c r="R297" s="670">
        <f t="shared" si="61"/>
        <v>0</v>
      </c>
      <c r="S297" s="322">
        <f t="shared" si="62"/>
        <v>0</v>
      </c>
    </row>
    <row r="298" spans="1:19">
      <c r="A298" s="328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0.03</v>
      </c>
      <c r="R298" s="670">
        <f t="shared" si="61"/>
        <v>0</v>
      </c>
      <c r="S298" s="322">
        <f t="shared" si="62"/>
        <v>0</v>
      </c>
    </row>
    <row r="299" spans="1:19">
      <c r="A299" s="328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0.03</v>
      </c>
      <c r="R299" s="670">
        <f t="shared" si="61"/>
        <v>0</v>
      </c>
      <c r="S299" s="322">
        <f t="shared" si="62"/>
        <v>0</v>
      </c>
    </row>
    <row r="300" spans="1:19">
      <c r="A300" s="328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0.03</v>
      </c>
      <c r="R300" s="670">
        <f t="shared" si="61"/>
        <v>0</v>
      </c>
      <c r="S300" s="322">
        <f t="shared" si="62"/>
        <v>0</v>
      </c>
    </row>
    <row r="301" spans="1:19">
      <c r="A301" s="328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0.03</v>
      </c>
      <c r="R301" s="670">
        <f t="shared" si="61"/>
        <v>0</v>
      </c>
      <c r="S301" s="322">
        <f t="shared" si="62"/>
        <v>0</v>
      </c>
    </row>
    <row r="302" spans="1:19">
      <c r="A302" s="328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0.03</v>
      </c>
      <c r="R302" s="670">
        <f t="shared" si="61"/>
        <v>0</v>
      </c>
      <c r="S302" s="322">
        <f t="shared" si="62"/>
        <v>0</v>
      </c>
    </row>
    <row r="303" spans="1:19">
      <c r="A303" s="328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0.03</v>
      </c>
      <c r="R303" s="670">
        <f t="shared" si="61"/>
        <v>0</v>
      </c>
      <c r="S303" s="322">
        <f t="shared" si="62"/>
        <v>0</v>
      </c>
    </row>
    <row r="304" spans="1:19">
      <c r="A304" s="328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0.03</v>
      </c>
      <c r="R304" s="670">
        <f t="shared" si="61"/>
        <v>0</v>
      </c>
      <c r="S304" s="322">
        <f t="shared" si="62"/>
        <v>0</v>
      </c>
    </row>
    <row r="305" spans="1:19">
      <c r="A305" s="328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0.03</v>
      </c>
      <c r="R305" s="670">
        <f t="shared" si="61"/>
        <v>0</v>
      </c>
      <c r="S305" s="322">
        <f t="shared" si="62"/>
        <v>0</v>
      </c>
    </row>
    <row r="306" spans="1:19">
      <c r="A306" s="328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0.03</v>
      </c>
      <c r="R306" s="670">
        <f t="shared" si="61"/>
        <v>0</v>
      </c>
      <c r="S306" s="322">
        <f t="shared" si="62"/>
        <v>0</v>
      </c>
    </row>
    <row r="307" spans="1:19">
      <c r="A307" s="328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0.03</v>
      </c>
      <c r="R307" s="670">
        <f t="shared" si="61"/>
        <v>0</v>
      </c>
      <c r="S307" s="322">
        <f t="shared" si="62"/>
        <v>0</v>
      </c>
    </row>
    <row r="308" spans="1:19">
      <c r="A308" s="328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0.03</v>
      </c>
      <c r="R308" s="670">
        <f t="shared" si="61"/>
        <v>0</v>
      </c>
      <c r="S308" s="322">
        <f t="shared" si="62"/>
        <v>0</v>
      </c>
    </row>
    <row r="309" spans="1:19">
      <c r="A309" s="328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0.03</v>
      </c>
      <c r="R309" s="670">
        <f t="shared" si="61"/>
        <v>0</v>
      </c>
      <c r="S309" s="322">
        <f t="shared" si="62"/>
        <v>0</v>
      </c>
    </row>
    <row r="310" spans="1:19">
      <c r="A310" s="328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0.03</v>
      </c>
      <c r="R310" s="670">
        <f t="shared" si="61"/>
        <v>0</v>
      </c>
      <c r="S310" s="322">
        <f t="shared" si="62"/>
        <v>0</v>
      </c>
    </row>
    <row r="311" spans="1:19">
      <c r="A311" s="328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0.03</v>
      </c>
      <c r="R311" s="670">
        <f t="shared" si="61"/>
        <v>0</v>
      </c>
      <c r="S311" s="322">
        <f t="shared" si="62"/>
        <v>0</v>
      </c>
    </row>
    <row r="312" spans="1:19">
      <c r="A312" s="328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0.03</v>
      </c>
      <c r="R312" s="670">
        <f t="shared" si="61"/>
        <v>0</v>
      </c>
      <c r="S312" s="322">
        <f t="shared" si="62"/>
        <v>0</v>
      </c>
    </row>
    <row r="313" spans="1:19">
      <c r="A313" s="328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0.03</v>
      </c>
      <c r="R313" s="670">
        <f t="shared" si="61"/>
        <v>0</v>
      </c>
      <c r="S313" s="322">
        <f t="shared" si="62"/>
        <v>0</v>
      </c>
    </row>
    <row r="314" spans="1:19">
      <c r="A314" s="328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0.03</v>
      </c>
      <c r="R314" s="670">
        <f t="shared" si="61"/>
        <v>0</v>
      </c>
      <c r="S314" s="322">
        <f t="shared" si="62"/>
        <v>0</v>
      </c>
    </row>
    <row r="315" spans="1:19">
      <c r="A315" s="328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0.03</v>
      </c>
      <c r="R315" s="670">
        <f t="shared" si="61"/>
        <v>0</v>
      </c>
      <c r="S315" s="322">
        <f t="shared" si="62"/>
        <v>0</v>
      </c>
    </row>
    <row r="316" spans="1:19">
      <c r="A316" s="328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0.03</v>
      </c>
      <c r="R316" s="670">
        <f t="shared" si="61"/>
        <v>0</v>
      </c>
      <c r="S316" s="322">
        <f t="shared" si="62"/>
        <v>0</v>
      </c>
    </row>
    <row r="317" spans="1:19">
      <c r="A317" s="155"/>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0.03</v>
      </c>
      <c r="R317" s="670">
        <f t="shared" si="61"/>
        <v>0</v>
      </c>
      <c r="S317" s="322">
        <f t="shared" si="62"/>
        <v>0</v>
      </c>
    </row>
    <row r="318" spans="1:19">
      <c r="A318" s="155"/>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0.03</v>
      </c>
      <c r="R318" s="670">
        <f t="shared" si="61"/>
        <v>0</v>
      </c>
      <c r="S318" s="322">
        <f t="shared" si="62"/>
        <v>0</v>
      </c>
    </row>
    <row r="319" spans="1:19">
      <c r="A319" s="155"/>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0.03</v>
      </c>
      <c r="R319" s="670">
        <f t="shared" si="61"/>
        <v>0</v>
      </c>
      <c r="S319" s="322">
        <f t="shared" si="62"/>
        <v>0</v>
      </c>
    </row>
    <row r="320" spans="1:19">
      <c r="A320" s="155"/>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0.03</v>
      </c>
      <c r="R320" s="670">
        <f t="shared" si="61"/>
        <v>0</v>
      </c>
      <c r="S320" s="322">
        <f t="shared" si="62"/>
        <v>0</v>
      </c>
    </row>
    <row r="321" spans="1:19">
      <c r="A321" s="155"/>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0.03</v>
      </c>
      <c r="R321" s="670">
        <f t="shared" si="61"/>
        <v>0</v>
      </c>
      <c r="S321" s="322">
        <f t="shared" ref="S321:S384" si="63">ROUND(R321*B321/10000,0)</f>
        <v>0</v>
      </c>
    </row>
    <row r="322" spans="1:19">
      <c r="A322" s="155"/>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0.03</v>
      </c>
      <c r="R322" s="670">
        <f t="shared" si="61"/>
        <v>0</v>
      </c>
      <c r="S322" s="322">
        <f t="shared" si="63"/>
        <v>0</v>
      </c>
    </row>
    <row r="323" spans="1:19">
      <c r="A323" s="155"/>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0.03</v>
      </c>
      <c r="R323" s="670">
        <f t="shared" si="61"/>
        <v>0</v>
      </c>
      <c r="S323" s="322">
        <f t="shared" si="63"/>
        <v>0</v>
      </c>
    </row>
    <row r="324" spans="1:19">
      <c r="A324" s="155"/>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0.03</v>
      </c>
      <c r="R324" s="670">
        <f t="shared" si="61"/>
        <v>0</v>
      </c>
      <c r="S324" s="322">
        <f t="shared" si="63"/>
        <v>0</v>
      </c>
    </row>
    <row r="325" spans="1:19">
      <c r="A325" s="155"/>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0.03</v>
      </c>
      <c r="R325" s="670">
        <f t="shared" si="61"/>
        <v>0</v>
      </c>
      <c r="S325" s="322">
        <f t="shared" si="63"/>
        <v>0</v>
      </c>
    </row>
    <row r="326" spans="1:19">
      <c r="A326" s="155"/>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0.03</v>
      </c>
      <c r="R326" s="670">
        <f t="shared" si="61"/>
        <v>0</v>
      </c>
      <c r="S326" s="322">
        <f t="shared" si="63"/>
        <v>0</v>
      </c>
    </row>
    <row r="327" spans="1:19">
      <c r="A327" s="155"/>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0.03</v>
      </c>
      <c r="R327" s="670">
        <f t="shared" si="61"/>
        <v>0</v>
      </c>
      <c r="S327" s="322">
        <f t="shared" si="63"/>
        <v>0</v>
      </c>
    </row>
    <row r="328" spans="1:19">
      <c r="A328" s="155"/>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0.03</v>
      </c>
      <c r="R328" s="670">
        <f t="shared" si="61"/>
        <v>0</v>
      </c>
      <c r="S328" s="322">
        <f t="shared" si="63"/>
        <v>0</v>
      </c>
    </row>
    <row r="329" spans="1:19">
      <c r="A329" s="155"/>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0.03</v>
      </c>
      <c r="R329" s="670">
        <f t="shared" si="61"/>
        <v>0</v>
      </c>
      <c r="S329" s="322">
        <f t="shared" si="63"/>
        <v>0</v>
      </c>
    </row>
    <row r="330" spans="1:19">
      <c r="A330" s="155"/>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0.03</v>
      </c>
      <c r="R330" s="670">
        <f t="shared" si="61"/>
        <v>0</v>
      </c>
      <c r="S330" s="322">
        <f t="shared" si="63"/>
        <v>0</v>
      </c>
    </row>
    <row r="331" spans="1:19">
      <c r="A331" s="155"/>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0.03</v>
      </c>
      <c r="R331" s="670">
        <f t="shared" si="61"/>
        <v>0</v>
      </c>
      <c r="S331" s="322">
        <f t="shared" si="63"/>
        <v>0</v>
      </c>
    </row>
    <row r="332" spans="1:19">
      <c r="A332" s="155"/>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0.03</v>
      </c>
      <c r="R332" s="670">
        <f t="shared" si="61"/>
        <v>0</v>
      </c>
      <c r="S332" s="322">
        <f t="shared" si="63"/>
        <v>0</v>
      </c>
    </row>
    <row r="333" spans="1:19">
      <c r="A333" s="155"/>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0.03</v>
      </c>
      <c r="R333" s="670">
        <f t="shared" si="61"/>
        <v>0</v>
      </c>
      <c r="S333" s="322">
        <f t="shared" si="63"/>
        <v>0</v>
      </c>
    </row>
    <row r="334" spans="1:19">
      <c r="A334" s="155"/>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0.03</v>
      </c>
      <c r="R334" s="670">
        <f t="shared" si="61"/>
        <v>0</v>
      </c>
      <c r="S334" s="322">
        <f t="shared" si="63"/>
        <v>0</v>
      </c>
    </row>
    <row r="335" spans="1:19">
      <c r="A335" s="155"/>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0.03</v>
      </c>
      <c r="R335" s="670">
        <f t="shared" si="61"/>
        <v>0</v>
      </c>
      <c r="S335" s="322">
        <f t="shared" si="63"/>
        <v>0</v>
      </c>
    </row>
    <row r="336" spans="1:19">
      <c r="A336" s="155"/>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0.03</v>
      </c>
      <c r="R336" s="670">
        <f t="shared" si="61"/>
        <v>0</v>
      </c>
      <c r="S336" s="322">
        <f t="shared" si="63"/>
        <v>0</v>
      </c>
    </row>
    <row r="337" spans="1:19">
      <c r="A337" s="155"/>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0.03</v>
      </c>
      <c r="R337" s="670">
        <f t="shared" si="61"/>
        <v>0</v>
      </c>
      <c r="S337" s="322">
        <f t="shared" si="63"/>
        <v>0</v>
      </c>
    </row>
    <row r="338" spans="1:19">
      <c r="A338" s="155"/>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0.03</v>
      </c>
      <c r="R338" s="670">
        <f t="shared" si="61"/>
        <v>0</v>
      </c>
      <c r="S338" s="322">
        <f t="shared" si="63"/>
        <v>0</v>
      </c>
    </row>
    <row r="339" spans="1:19">
      <c r="A339" s="155"/>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0.03</v>
      </c>
      <c r="R339" s="670">
        <f t="shared" si="61"/>
        <v>0</v>
      </c>
      <c r="S339" s="322">
        <f t="shared" si="63"/>
        <v>0</v>
      </c>
    </row>
    <row r="340" spans="1:19">
      <c r="A340" s="155"/>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0.03</v>
      </c>
      <c r="R340" s="670">
        <f t="shared" si="61"/>
        <v>0</v>
      </c>
      <c r="S340" s="322">
        <f t="shared" si="63"/>
        <v>0</v>
      </c>
    </row>
    <row r="341" spans="1:19">
      <c r="A341" s="155"/>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0.03</v>
      </c>
      <c r="R341" s="670">
        <f t="shared" si="61"/>
        <v>0</v>
      </c>
      <c r="S341" s="322">
        <f t="shared" si="63"/>
        <v>0</v>
      </c>
    </row>
    <row r="342" spans="1:19">
      <c r="A342" s="155"/>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0.03</v>
      </c>
      <c r="R342" s="670">
        <f t="shared" si="61"/>
        <v>0</v>
      </c>
      <c r="S342" s="322">
        <f t="shared" si="63"/>
        <v>0</v>
      </c>
    </row>
    <row r="343" spans="1:19">
      <c r="A343" s="155"/>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0.03</v>
      </c>
      <c r="R343" s="670">
        <f t="shared" si="61"/>
        <v>0</v>
      </c>
      <c r="S343" s="322">
        <f t="shared" si="63"/>
        <v>0</v>
      </c>
    </row>
    <row r="344" spans="1:19">
      <c r="A344" s="155"/>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0.03</v>
      </c>
      <c r="R344" s="670">
        <f t="shared" si="61"/>
        <v>0</v>
      </c>
      <c r="S344" s="322">
        <f t="shared" si="63"/>
        <v>0</v>
      </c>
    </row>
    <row r="345" spans="1:19">
      <c r="A345" s="155"/>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0.03</v>
      </c>
      <c r="R345" s="670">
        <f t="shared" si="61"/>
        <v>0</v>
      </c>
      <c r="S345" s="322">
        <f t="shared" si="63"/>
        <v>0</v>
      </c>
    </row>
    <row r="346" spans="1:19">
      <c r="A346" s="155"/>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0.03</v>
      </c>
      <c r="R346" s="670">
        <f t="shared" ref="R346:R409" si="72">IF(B346="",0,ROUND($R$24*C346*E346*G346*I346*K346*M346*O346*Q346,0))</f>
        <v>0</v>
      </c>
      <c r="S346" s="322">
        <f t="shared" si="63"/>
        <v>0</v>
      </c>
    </row>
    <row r="347" spans="1:19">
      <c r="A347" s="155"/>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0.03</v>
      </c>
      <c r="R347" s="670">
        <f t="shared" si="72"/>
        <v>0</v>
      </c>
      <c r="S347" s="322">
        <f t="shared" si="63"/>
        <v>0</v>
      </c>
    </row>
    <row r="348" spans="1:19">
      <c r="A348" s="155"/>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0.03</v>
      </c>
      <c r="R348" s="670">
        <f t="shared" si="72"/>
        <v>0</v>
      </c>
      <c r="S348" s="322">
        <f t="shared" si="63"/>
        <v>0</v>
      </c>
    </row>
    <row r="349" spans="1:19">
      <c r="A349" s="155"/>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0.03</v>
      </c>
      <c r="R349" s="670">
        <f t="shared" si="72"/>
        <v>0</v>
      </c>
      <c r="S349" s="322">
        <f t="shared" si="63"/>
        <v>0</v>
      </c>
    </row>
    <row r="350" spans="1:19">
      <c r="A350" s="155"/>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0.03</v>
      </c>
      <c r="R350" s="670">
        <f t="shared" si="72"/>
        <v>0</v>
      </c>
      <c r="S350" s="322">
        <f t="shared" si="63"/>
        <v>0</v>
      </c>
    </row>
    <row r="351" spans="1:19">
      <c r="A351" s="155"/>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0.03</v>
      </c>
      <c r="R351" s="670">
        <f t="shared" si="72"/>
        <v>0</v>
      </c>
      <c r="S351" s="322">
        <f t="shared" si="63"/>
        <v>0</v>
      </c>
    </row>
    <row r="352" spans="1:19">
      <c r="A352" s="155"/>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0.03</v>
      </c>
      <c r="R352" s="670">
        <f t="shared" si="72"/>
        <v>0</v>
      </c>
      <c r="S352" s="322">
        <f t="shared" si="63"/>
        <v>0</v>
      </c>
    </row>
    <row r="353" spans="1:19">
      <c r="A353" s="155"/>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0.03</v>
      </c>
      <c r="R353" s="670">
        <f t="shared" si="72"/>
        <v>0</v>
      </c>
      <c r="S353" s="322">
        <f t="shared" si="63"/>
        <v>0</v>
      </c>
    </row>
    <row r="354" spans="1:19">
      <c r="A354" s="155"/>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0.03</v>
      </c>
      <c r="R354" s="670">
        <f t="shared" si="72"/>
        <v>0</v>
      </c>
      <c r="S354" s="322">
        <f t="shared" si="63"/>
        <v>0</v>
      </c>
    </row>
    <row r="355" spans="1:19">
      <c r="A355" s="155"/>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0.03</v>
      </c>
      <c r="R355" s="670">
        <f t="shared" si="72"/>
        <v>0</v>
      </c>
      <c r="S355" s="322">
        <f t="shared" si="63"/>
        <v>0</v>
      </c>
    </row>
    <row r="356" spans="1:19">
      <c r="A356" s="155"/>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0.03</v>
      </c>
      <c r="R356" s="670">
        <f t="shared" si="72"/>
        <v>0</v>
      </c>
      <c r="S356" s="322">
        <f t="shared" si="63"/>
        <v>0</v>
      </c>
    </row>
    <row r="357" spans="1:19">
      <c r="A357" s="155"/>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0.03</v>
      </c>
      <c r="R357" s="670">
        <f t="shared" si="72"/>
        <v>0</v>
      </c>
      <c r="S357" s="322">
        <f t="shared" si="63"/>
        <v>0</v>
      </c>
    </row>
    <row r="358" spans="1:19">
      <c r="A358" s="155"/>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0.03</v>
      </c>
      <c r="R358" s="670">
        <f t="shared" si="72"/>
        <v>0</v>
      </c>
      <c r="S358" s="322">
        <f t="shared" si="63"/>
        <v>0</v>
      </c>
    </row>
    <row r="359" spans="1:19">
      <c r="A359" s="155"/>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0.03</v>
      </c>
      <c r="R359" s="670">
        <f t="shared" si="72"/>
        <v>0</v>
      </c>
      <c r="S359" s="322">
        <f t="shared" si="63"/>
        <v>0</v>
      </c>
    </row>
    <row r="360" spans="1:19">
      <c r="A360" s="155"/>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0.03</v>
      </c>
      <c r="R360" s="670">
        <f t="shared" si="72"/>
        <v>0</v>
      </c>
      <c r="S360" s="322">
        <f t="shared" si="63"/>
        <v>0</v>
      </c>
    </row>
    <row r="361" spans="1:19">
      <c r="A361" s="155"/>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0.03</v>
      </c>
      <c r="R361" s="670">
        <f t="shared" si="72"/>
        <v>0</v>
      </c>
      <c r="S361" s="322">
        <f t="shared" si="63"/>
        <v>0</v>
      </c>
    </row>
    <row r="362" spans="1:19">
      <c r="A362" s="155"/>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0.03</v>
      </c>
      <c r="R362" s="670">
        <f t="shared" si="72"/>
        <v>0</v>
      </c>
      <c r="S362" s="322">
        <f t="shared" si="63"/>
        <v>0</v>
      </c>
    </row>
    <row r="363" spans="1:19">
      <c r="A363" s="155"/>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0.03</v>
      </c>
      <c r="R363" s="670">
        <f t="shared" si="72"/>
        <v>0</v>
      </c>
      <c r="S363" s="322">
        <f t="shared" si="63"/>
        <v>0</v>
      </c>
    </row>
    <row r="364" spans="1:19">
      <c r="A364" s="155"/>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0.03</v>
      </c>
      <c r="R364" s="670">
        <f t="shared" si="72"/>
        <v>0</v>
      </c>
      <c r="S364" s="322">
        <f t="shared" si="63"/>
        <v>0</v>
      </c>
    </row>
    <row r="365" spans="1:19">
      <c r="A365" s="155"/>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0.03</v>
      </c>
      <c r="R365" s="670">
        <f t="shared" si="72"/>
        <v>0</v>
      </c>
      <c r="S365" s="322">
        <f t="shared" si="63"/>
        <v>0</v>
      </c>
    </row>
    <row r="366" spans="1:19">
      <c r="A366" s="155"/>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0.03</v>
      </c>
      <c r="R366" s="670">
        <f t="shared" si="72"/>
        <v>0</v>
      </c>
      <c r="S366" s="322">
        <f t="shared" si="63"/>
        <v>0</v>
      </c>
    </row>
    <row r="367" spans="1:19">
      <c r="A367" s="155"/>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0.03</v>
      </c>
      <c r="R367" s="670">
        <f t="shared" si="72"/>
        <v>0</v>
      </c>
      <c r="S367" s="322">
        <f t="shared" si="63"/>
        <v>0</v>
      </c>
    </row>
    <row r="368" spans="1:19">
      <c r="A368" s="155"/>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0.03</v>
      </c>
      <c r="R368" s="670">
        <f t="shared" si="72"/>
        <v>0</v>
      </c>
      <c r="S368" s="322">
        <f t="shared" si="63"/>
        <v>0</v>
      </c>
    </row>
    <row r="369" spans="1:19">
      <c r="A369" s="155"/>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0.03</v>
      </c>
      <c r="R369" s="670">
        <f t="shared" si="72"/>
        <v>0</v>
      </c>
      <c r="S369" s="322">
        <f t="shared" si="63"/>
        <v>0</v>
      </c>
    </row>
    <row r="370" spans="1:19">
      <c r="A370" s="155"/>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0.03</v>
      </c>
      <c r="R370" s="670">
        <f t="shared" si="72"/>
        <v>0</v>
      </c>
      <c r="S370" s="322">
        <f t="shared" si="63"/>
        <v>0</v>
      </c>
    </row>
    <row r="371" spans="1:19">
      <c r="A371" s="155"/>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0.03</v>
      </c>
      <c r="R371" s="670">
        <f t="shared" si="72"/>
        <v>0</v>
      </c>
      <c r="S371" s="322">
        <f t="shared" si="63"/>
        <v>0</v>
      </c>
    </row>
    <row r="372" spans="1:19">
      <c r="A372" s="155"/>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0.03</v>
      </c>
      <c r="R372" s="670">
        <f t="shared" si="72"/>
        <v>0</v>
      </c>
      <c r="S372" s="322">
        <f t="shared" si="63"/>
        <v>0</v>
      </c>
    </row>
    <row r="373" spans="1:19">
      <c r="A373" s="155"/>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0.03</v>
      </c>
      <c r="R373" s="670">
        <f t="shared" si="72"/>
        <v>0</v>
      </c>
      <c r="S373" s="322">
        <f t="shared" si="63"/>
        <v>0</v>
      </c>
    </row>
    <row r="374" spans="1:19">
      <c r="A374" s="155"/>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0.03</v>
      </c>
      <c r="R374" s="670">
        <f t="shared" si="72"/>
        <v>0</v>
      </c>
      <c r="S374" s="322">
        <f t="shared" si="63"/>
        <v>0</v>
      </c>
    </row>
    <row r="375" spans="1:19">
      <c r="A375" s="155"/>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0.03</v>
      </c>
      <c r="R375" s="670">
        <f t="shared" si="72"/>
        <v>0</v>
      </c>
      <c r="S375" s="322">
        <f t="shared" si="63"/>
        <v>0</v>
      </c>
    </row>
    <row r="376" spans="1:19">
      <c r="A376" s="155"/>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0.03</v>
      </c>
      <c r="R376" s="670">
        <f t="shared" si="72"/>
        <v>0</v>
      </c>
      <c r="S376" s="322">
        <f t="shared" si="63"/>
        <v>0</v>
      </c>
    </row>
    <row r="377" spans="1:19">
      <c r="A377" s="155"/>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0.03</v>
      </c>
      <c r="R377" s="670">
        <f t="shared" si="72"/>
        <v>0</v>
      </c>
      <c r="S377" s="322">
        <f t="shared" si="63"/>
        <v>0</v>
      </c>
    </row>
    <row r="378" spans="1:19">
      <c r="A378" s="155"/>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0.03</v>
      </c>
      <c r="R378" s="670">
        <f t="shared" si="72"/>
        <v>0</v>
      </c>
      <c r="S378" s="322">
        <f t="shared" si="63"/>
        <v>0</v>
      </c>
    </row>
    <row r="379" spans="1:19">
      <c r="A379" s="155"/>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0.03</v>
      </c>
      <c r="R379" s="670">
        <f t="shared" si="72"/>
        <v>0</v>
      </c>
      <c r="S379" s="322">
        <f t="shared" si="63"/>
        <v>0</v>
      </c>
    </row>
    <row r="380" spans="1:19">
      <c r="A380" s="155"/>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0.03</v>
      </c>
      <c r="R380" s="670">
        <f t="shared" si="72"/>
        <v>0</v>
      </c>
      <c r="S380" s="322">
        <f t="shared" si="63"/>
        <v>0</v>
      </c>
    </row>
    <row r="381" spans="1:19">
      <c r="A381" s="155"/>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0.03</v>
      </c>
      <c r="R381" s="670">
        <f t="shared" si="72"/>
        <v>0</v>
      </c>
      <c r="S381" s="322">
        <f t="shared" si="63"/>
        <v>0</v>
      </c>
    </row>
    <row r="382" spans="1:19">
      <c r="A382" s="155"/>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0.03</v>
      </c>
      <c r="R382" s="670">
        <f t="shared" si="72"/>
        <v>0</v>
      </c>
      <c r="S382" s="322">
        <f t="shared" si="63"/>
        <v>0</v>
      </c>
    </row>
    <row r="383" spans="1:19">
      <c r="A383" s="155"/>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0.03</v>
      </c>
      <c r="R383" s="670">
        <f t="shared" si="72"/>
        <v>0</v>
      </c>
      <c r="S383" s="322">
        <f t="shared" si="63"/>
        <v>0</v>
      </c>
    </row>
    <row r="384" spans="1:19">
      <c r="A384" s="155"/>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0.03</v>
      </c>
      <c r="R384" s="670">
        <f t="shared" si="72"/>
        <v>0</v>
      </c>
      <c r="S384" s="322">
        <f t="shared" si="63"/>
        <v>0</v>
      </c>
    </row>
    <row r="385" spans="1:19">
      <c r="A385" s="155"/>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0.03</v>
      </c>
      <c r="R385" s="670">
        <f t="shared" si="72"/>
        <v>0</v>
      </c>
      <c r="S385" s="322">
        <f t="shared" ref="S385:S422" si="73">ROUND(R385*B385/10000,0)</f>
        <v>0</v>
      </c>
    </row>
    <row r="386" spans="1:19">
      <c r="A386" s="155"/>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0.03</v>
      </c>
      <c r="R386" s="670">
        <f t="shared" si="72"/>
        <v>0</v>
      </c>
      <c r="S386" s="322">
        <f t="shared" si="73"/>
        <v>0</v>
      </c>
    </row>
    <row r="387" spans="1:19">
      <c r="A387" s="155"/>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0.03</v>
      </c>
      <c r="R387" s="670">
        <f t="shared" si="72"/>
        <v>0</v>
      </c>
      <c r="S387" s="322">
        <f t="shared" si="73"/>
        <v>0</v>
      </c>
    </row>
    <row r="388" spans="1:19">
      <c r="A388" s="155"/>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0.03</v>
      </c>
      <c r="R388" s="670">
        <f t="shared" si="72"/>
        <v>0</v>
      </c>
      <c r="S388" s="322">
        <f t="shared" si="73"/>
        <v>0</v>
      </c>
    </row>
    <row r="389" spans="1:19">
      <c r="A389" s="155"/>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0.03</v>
      </c>
      <c r="R389" s="670">
        <f t="shared" si="72"/>
        <v>0</v>
      </c>
      <c r="S389" s="322">
        <f t="shared" si="73"/>
        <v>0</v>
      </c>
    </row>
    <row r="390" spans="1:19">
      <c r="A390" s="155"/>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0.03</v>
      </c>
      <c r="R390" s="670">
        <f t="shared" si="72"/>
        <v>0</v>
      </c>
      <c r="S390" s="322">
        <f t="shared" si="73"/>
        <v>0</v>
      </c>
    </row>
    <row r="391" spans="1:19">
      <c r="A391" s="155"/>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0.03</v>
      </c>
      <c r="R391" s="670">
        <f t="shared" si="72"/>
        <v>0</v>
      </c>
      <c r="S391" s="322">
        <f t="shared" si="73"/>
        <v>0</v>
      </c>
    </row>
    <row r="392" spans="1:19">
      <c r="A392" s="155"/>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0.03</v>
      </c>
      <c r="R392" s="670">
        <f t="shared" si="72"/>
        <v>0</v>
      </c>
      <c r="S392" s="322">
        <f t="shared" si="73"/>
        <v>0</v>
      </c>
    </row>
    <row r="393" spans="1:19">
      <c r="A393" s="155"/>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0.03</v>
      </c>
      <c r="R393" s="670">
        <f t="shared" si="72"/>
        <v>0</v>
      </c>
      <c r="S393" s="322">
        <f t="shared" si="73"/>
        <v>0</v>
      </c>
    </row>
    <row r="394" spans="1:19">
      <c r="A394" s="155"/>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0.03</v>
      </c>
      <c r="R394" s="670">
        <f t="shared" si="72"/>
        <v>0</v>
      </c>
      <c r="S394" s="322">
        <f t="shared" si="73"/>
        <v>0</v>
      </c>
    </row>
    <row r="395" spans="1:19">
      <c r="A395" s="155"/>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0.03</v>
      </c>
      <c r="R395" s="670">
        <f t="shared" si="72"/>
        <v>0</v>
      </c>
      <c r="S395" s="322">
        <f t="shared" si="73"/>
        <v>0</v>
      </c>
    </row>
    <row r="396" spans="1:19">
      <c r="A396" s="155"/>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0.03</v>
      </c>
      <c r="R396" s="670">
        <f t="shared" si="72"/>
        <v>0</v>
      </c>
      <c r="S396" s="322">
        <f t="shared" si="73"/>
        <v>0</v>
      </c>
    </row>
    <row r="397" spans="1:19">
      <c r="A397" s="155"/>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0.03</v>
      </c>
      <c r="R397" s="670">
        <f t="shared" si="72"/>
        <v>0</v>
      </c>
      <c r="S397" s="322">
        <f t="shared" si="73"/>
        <v>0</v>
      </c>
    </row>
    <row r="398" spans="1:19">
      <c r="A398" s="155"/>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0.03</v>
      </c>
      <c r="R398" s="670">
        <f t="shared" si="72"/>
        <v>0</v>
      </c>
      <c r="S398" s="322">
        <f t="shared" si="73"/>
        <v>0</v>
      </c>
    </row>
    <row r="399" spans="1:19">
      <c r="A399" s="155"/>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0.03</v>
      </c>
      <c r="R399" s="670">
        <f t="shared" si="72"/>
        <v>0</v>
      </c>
      <c r="S399" s="322">
        <f t="shared" si="73"/>
        <v>0</v>
      </c>
    </row>
    <row r="400" spans="1:19">
      <c r="A400" s="155"/>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0.03</v>
      </c>
      <c r="R400" s="670">
        <f t="shared" si="72"/>
        <v>0</v>
      </c>
      <c r="S400" s="322">
        <f t="shared" si="73"/>
        <v>0</v>
      </c>
    </row>
    <row r="401" spans="1:19">
      <c r="A401" s="155"/>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0.03</v>
      </c>
      <c r="R401" s="670">
        <f t="shared" si="72"/>
        <v>0</v>
      </c>
      <c r="S401" s="322">
        <f t="shared" si="73"/>
        <v>0</v>
      </c>
    </row>
    <row r="402" spans="1:19">
      <c r="A402" s="155"/>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0.03</v>
      </c>
      <c r="R402" s="670">
        <f t="shared" si="72"/>
        <v>0</v>
      </c>
      <c r="S402" s="322">
        <f t="shared" si="73"/>
        <v>0</v>
      </c>
    </row>
    <row r="403" spans="1:19">
      <c r="A403" s="155"/>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0.03</v>
      </c>
      <c r="R403" s="670">
        <f t="shared" si="72"/>
        <v>0</v>
      </c>
      <c r="S403" s="322">
        <f t="shared" si="73"/>
        <v>0</v>
      </c>
    </row>
    <row r="404" spans="1:19">
      <c r="A404" s="155"/>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0.03</v>
      </c>
      <c r="R404" s="670">
        <f t="shared" si="72"/>
        <v>0</v>
      </c>
      <c r="S404" s="322">
        <f t="shared" si="73"/>
        <v>0</v>
      </c>
    </row>
    <row r="405" spans="1:19">
      <c r="A405" s="155"/>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0.03</v>
      </c>
      <c r="R405" s="670">
        <f t="shared" si="72"/>
        <v>0</v>
      </c>
      <c r="S405" s="322">
        <f t="shared" si="73"/>
        <v>0</v>
      </c>
    </row>
    <row r="406" spans="1:19">
      <c r="A406" s="155"/>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0.03</v>
      </c>
      <c r="R406" s="670">
        <f t="shared" si="72"/>
        <v>0</v>
      </c>
      <c r="S406" s="322">
        <f t="shared" si="73"/>
        <v>0</v>
      </c>
    </row>
    <row r="407" spans="1:19">
      <c r="A407" s="155"/>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0.03</v>
      </c>
      <c r="R407" s="670">
        <f t="shared" si="72"/>
        <v>0</v>
      </c>
      <c r="S407" s="322">
        <f t="shared" si="73"/>
        <v>0</v>
      </c>
    </row>
    <row r="408" spans="1:19">
      <c r="A408" s="155"/>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0.03</v>
      </c>
      <c r="R408" s="670">
        <f t="shared" si="72"/>
        <v>0</v>
      </c>
      <c r="S408" s="322">
        <f t="shared" si="73"/>
        <v>0</v>
      </c>
    </row>
    <row r="409" spans="1:19">
      <c r="A409" s="155"/>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0.03</v>
      </c>
      <c r="R409" s="670">
        <f t="shared" si="72"/>
        <v>0</v>
      </c>
      <c r="S409" s="322">
        <f t="shared" si="73"/>
        <v>0</v>
      </c>
    </row>
    <row r="410" spans="1:19">
      <c r="A410" s="155"/>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0.03</v>
      </c>
      <c r="R410" s="670">
        <f t="shared" ref="R410:R473" si="82">IF(B410="",0,ROUND($R$24*C410*E410*G410*I410*K410*M410*O410*Q410,0))</f>
        <v>0</v>
      </c>
      <c r="S410" s="322">
        <f t="shared" si="73"/>
        <v>0</v>
      </c>
    </row>
    <row r="411" spans="1:19">
      <c r="A411" s="155"/>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0.03</v>
      </c>
      <c r="R411" s="670">
        <f t="shared" si="82"/>
        <v>0</v>
      </c>
      <c r="S411" s="322">
        <f t="shared" si="73"/>
        <v>0</v>
      </c>
    </row>
    <row r="412" spans="1:19">
      <c r="A412" s="155"/>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0.03</v>
      </c>
      <c r="R412" s="670">
        <f t="shared" si="82"/>
        <v>0</v>
      </c>
      <c r="S412" s="322">
        <f t="shared" si="73"/>
        <v>0</v>
      </c>
    </row>
    <row r="413" spans="1:19">
      <c r="A413" s="155"/>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0.03</v>
      </c>
      <c r="R413" s="670">
        <f t="shared" si="82"/>
        <v>0</v>
      </c>
      <c r="S413" s="322">
        <f t="shared" si="73"/>
        <v>0</v>
      </c>
    </row>
    <row r="414" spans="1:19">
      <c r="A414" s="155"/>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0.03</v>
      </c>
      <c r="R414" s="670">
        <f t="shared" si="82"/>
        <v>0</v>
      </c>
      <c r="S414" s="322">
        <f t="shared" si="73"/>
        <v>0</v>
      </c>
    </row>
    <row r="415" spans="1:19">
      <c r="A415" s="155"/>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0.03</v>
      </c>
      <c r="R415" s="670">
        <f t="shared" si="82"/>
        <v>0</v>
      </c>
      <c r="S415" s="322">
        <f t="shared" si="73"/>
        <v>0</v>
      </c>
    </row>
    <row r="416" spans="1:19">
      <c r="A416" s="155"/>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0.03</v>
      </c>
      <c r="R416" s="670">
        <f t="shared" si="82"/>
        <v>0</v>
      </c>
      <c r="S416" s="322">
        <f t="shared" si="73"/>
        <v>0</v>
      </c>
    </row>
    <row r="417" spans="1:19">
      <c r="A417" s="155"/>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0.03</v>
      </c>
      <c r="R417" s="670">
        <f t="shared" si="82"/>
        <v>0</v>
      </c>
      <c r="S417" s="322">
        <f t="shared" si="73"/>
        <v>0</v>
      </c>
    </row>
    <row r="418" spans="1:19">
      <c r="A418" s="155"/>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0.03</v>
      </c>
      <c r="R418" s="670">
        <f t="shared" si="82"/>
        <v>0</v>
      </c>
      <c r="S418" s="322">
        <f t="shared" si="73"/>
        <v>0</v>
      </c>
    </row>
    <row r="419" spans="1:19">
      <c r="A419" s="155"/>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0.03</v>
      </c>
      <c r="R419" s="670">
        <f t="shared" si="82"/>
        <v>0</v>
      </c>
      <c r="S419" s="322">
        <f t="shared" si="73"/>
        <v>0</v>
      </c>
    </row>
    <row r="420" spans="1:19">
      <c r="A420" s="155"/>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0.03</v>
      </c>
      <c r="R420" s="670">
        <f t="shared" si="82"/>
        <v>0</v>
      </c>
      <c r="S420" s="322">
        <f t="shared" si="73"/>
        <v>0</v>
      </c>
    </row>
    <row r="421" spans="1:19">
      <c r="A421" s="155"/>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0.03</v>
      </c>
      <c r="R421" s="670">
        <f t="shared" si="82"/>
        <v>0</v>
      </c>
      <c r="S421" s="322">
        <f t="shared" si="73"/>
        <v>0</v>
      </c>
    </row>
    <row r="422" spans="1:19">
      <c r="A422" s="155"/>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0.03</v>
      </c>
      <c r="R422" s="670">
        <f t="shared" si="82"/>
        <v>0</v>
      </c>
      <c r="S422" s="322">
        <f t="shared" si="73"/>
        <v>0</v>
      </c>
    </row>
    <row r="423" spans="1:19">
      <c r="A423" s="155"/>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0.03</v>
      </c>
      <c r="R423" s="670">
        <f t="shared" si="82"/>
        <v>0</v>
      </c>
      <c r="S423" s="322">
        <f t="shared" ref="S423:S467" si="83">ROUND(R423*B423/10000,0)</f>
        <v>0</v>
      </c>
    </row>
    <row r="424" spans="1:19">
      <c r="A424" s="155"/>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0.03</v>
      </c>
      <c r="R424" s="670">
        <f t="shared" si="82"/>
        <v>0</v>
      </c>
      <c r="S424" s="322">
        <f t="shared" si="83"/>
        <v>0</v>
      </c>
    </row>
    <row r="425" spans="1:19">
      <c r="A425" s="155"/>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0.03</v>
      </c>
      <c r="R425" s="670">
        <f t="shared" si="82"/>
        <v>0</v>
      </c>
      <c r="S425" s="322">
        <f t="shared" si="83"/>
        <v>0</v>
      </c>
    </row>
    <row r="426" spans="1:19">
      <c r="A426" s="155"/>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0.03</v>
      </c>
      <c r="R426" s="670">
        <f t="shared" si="82"/>
        <v>0</v>
      </c>
      <c r="S426" s="322">
        <f t="shared" si="83"/>
        <v>0</v>
      </c>
    </row>
    <row r="427" spans="1:19">
      <c r="A427" s="155"/>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0.03</v>
      </c>
      <c r="R427" s="670">
        <f t="shared" si="82"/>
        <v>0</v>
      </c>
      <c r="S427" s="322">
        <f t="shared" si="83"/>
        <v>0</v>
      </c>
    </row>
    <row r="428" spans="1:19">
      <c r="A428" s="155"/>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0.03</v>
      </c>
      <c r="R428" s="670">
        <f t="shared" si="82"/>
        <v>0</v>
      </c>
      <c r="S428" s="322">
        <f t="shared" si="83"/>
        <v>0</v>
      </c>
    </row>
    <row r="429" spans="1:19">
      <c r="A429" s="155"/>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0.03</v>
      </c>
      <c r="R429" s="670">
        <f t="shared" si="82"/>
        <v>0</v>
      </c>
      <c r="S429" s="322">
        <f t="shared" si="83"/>
        <v>0</v>
      </c>
    </row>
    <row r="430" spans="1:19">
      <c r="A430" s="155"/>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0.03</v>
      </c>
      <c r="R430" s="670">
        <f t="shared" si="82"/>
        <v>0</v>
      </c>
      <c r="S430" s="322">
        <f t="shared" si="83"/>
        <v>0</v>
      </c>
    </row>
    <row r="431" spans="1:19">
      <c r="A431" s="155"/>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0.03</v>
      </c>
      <c r="R431" s="670">
        <f t="shared" si="82"/>
        <v>0</v>
      </c>
      <c r="S431" s="322">
        <f t="shared" si="83"/>
        <v>0</v>
      </c>
    </row>
    <row r="432" spans="1:19">
      <c r="A432" s="155"/>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0.03</v>
      </c>
      <c r="R432" s="670">
        <f t="shared" si="82"/>
        <v>0</v>
      </c>
      <c r="S432" s="322">
        <f t="shared" si="83"/>
        <v>0</v>
      </c>
    </row>
    <row r="433" spans="1:19">
      <c r="A433" s="155"/>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0.03</v>
      </c>
      <c r="R433" s="670">
        <f t="shared" si="82"/>
        <v>0</v>
      </c>
      <c r="S433" s="322">
        <f t="shared" si="83"/>
        <v>0</v>
      </c>
    </row>
    <row r="434" spans="1:19">
      <c r="A434" s="155"/>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0.03</v>
      </c>
      <c r="R434" s="670">
        <f t="shared" si="82"/>
        <v>0</v>
      </c>
      <c r="S434" s="322">
        <f t="shared" si="83"/>
        <v>0</v>
      </c>
    </row>
    <row r="435" spans="1:19">
      <c r="A435" s="155"/>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0.03</v>
      </c>
      <c r="R435" s="670">
        <f t="shared" si="82"/>
        <v>0</v>
      </c>
      <c r="S435" s="322">
        <f t="shared" si="83"/>
        <v>0</v>
      </c>
    </row>
    <row r="436" spans="1:19">
      <c r="A436" s="155"/>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0.03</v>
      </c>
      <c r="R436" s="670">
        <f t="shared" si="82"/>
        <v>0</v>
      </c>
      <c r="S436" s="322">
        <f t="shared" si="83"/>
        <v>0</v>
      </c>
    </row>
    <row r="437" spans="1:19">
      <c r="A437" s="155"/>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0.03</v>
      </c>
      <c r="R437" s="670">
        <f t="shared" si="82"/>
        <v>0</v>
      </c>
      <c r="S437" s="322">
        <f t="shared" si="83"/>
        <v>0</v>
      </c>
    </row>
    <row r="438" spans="1:19">
      <c r="A438" s="155"/>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0.03</v>
      </c>
      <c r="R438" s="670">
        <f t="shared" si="82"/>
        <v>0</v>
      </c>
      <c r="S438" s="322">
        <f t="shared" si="83"/>
        <v>0</v>
      </c>
    </row>
    <row r="439" spans="1:19">
      <c r="A439" s="155"/>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0.03</v>
      </c>
      <c r="R439" s="670">
        <f t="shared" si="82"/>
        <v>0</v>
      </c>
      <c r="S439" s="322">
        <f t="shared" si="83"/>
        <v>0</v>
      </c>
    </row>
    <row r="440" spans="1:19">
      <c r="A440" s="155"/>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0.03</v>
      </c>
      <c r="R440" s="670">
        <f t="shared" si="82"/>
        <v>0</v>
      </c>
      <c r="S440" s="322">
        <f t="shared" si="83"/>
        <v>0</v>
      </c>
    </row>
    <row r="441" spans="1:19">
      <c r="A441" s="155"/>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0.03</v>
      </c>
      <c r="R441" s="670">
        <f t="shared" si="82"/>
        <v>0</v>
      </c>
      <c r="S441" s="322">
        <f t="shared" si="83"/>
        <v>0</v>
      </c>
    </row>
    <row r="442" spans="1:19">
      <c r="A442" s="155"/>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0.03</v>
      </c>
      <c r="R442" s="670">
        <f t="shared" si="82"/>
        <v>0</v>
      </c>
      <c r="S442" s="322">
        <f t="shared" si="83"/>
        <v>0</v>
      </c>
    </row>
    <row r="443" spans="1:19">
      <c r="A443" s="155"/>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0.03</v>
      </c>
      <c r="R443" s="670">
        <f t="shared" si="82"/>
        <v>0</v>
      </c>
      <c r="S443" s="322">
        <f t="shared" si="83"/>
        <v>0</v>
      </c>
    </row>
    <row r="444" spans="1:19">
      <c r="A444" s="155"/>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0.03</v>
      </c>
      <c r="R444" s="670">
        <f t="shared" si="82"/>
        <v>0</v>
      </c>
      <c r="S444" s="322">
        <f t="shared" si="83"/>
        <v>0</v>
      </c>
    </row>
    <row r="445" spans="1:19">
      <c r="A445" s="155"/>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0.03</v>
      </c>
      <c r="R445" s="670">
        <f t="shared" si="82"/>
        <v>0</v>
      </c>
      <c r="S445" s="322">
        <f t="shared" si="83"/>
        <v>0</v>
      </c>
    </row>
    <row r="446" spans="1:19">
      <c r="A446" s="155"/>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0.03</v>
      </c>
      <c r="R446" s="670">
        <f t="shared" si="82"/>
        <v>0</v>
      </c>
      <c r="S446" s="322">
        <f t="shared" si="83"/>
        <v>0</v>
      </c>
    </row>
    <row r="447" spans="1:19">
      <c r="A447" s="155"/>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0.03</v>
      </c>
      <c r="R447" s="670">
        <f t="shared" si="82"/>
        <v>0</v>
      </c>
      <c r="S447" s="322">
        <f t="shared" si="83"/>
        <v>0</v>
      </c>
    </row>
    <row r="448" spans="1:19">
      <c r="A448" s="155"/>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0.03</v>
      </c>
      <c r="R448" s="670">
        <f t="shared" si="82"/>
        <v>0</v>
      </c>
      <c r="S448" s="322">
        <f t="shared" si="83"/>
        <v>0</v>
      </c>
    </row>
    <row r="449" spans="1:19">
      <c r="A449" s="155"/>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0.03</v>
      </c>
      <c r="R449" s="670">
        <f t="shared" si="82"/>
        <v>0</v>
      </c>
      <c r="S449" s="322">
        <f t="shared" si="83"/>
        <v>0</v>
      </c>
    </row>
    <row r="450" spans="1:19">
      <c r="A450" s="155"/>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0.03</v>
      </c>
      <c r="R450" s="670">
        <f t="shared" si="82"/>
        <v>0</v>
      </c>
      <c r="S450" s="322">
        <f t="shared" si="83"/>
        <v>0</v>
      </c>
    </row>
    <row r="451" spans="1:19">
      <c r="A451" s="155"/>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0.03</v>
      </c>
      <c r="R451" s="670">
        <f t="shared" si="82"/>
        <v>0</v>
      </c>
      <c r="S451" s="322">
        <f t="shared" si="83"/>
        <v>0</v>
      </c>
    </row>
    <row r="452" spans="1:19">
      <c r="A452" s="155"/>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0.03</v>
      </c>
      <c r="R452" s="670">
        <f t="shared" si="82"/>
        <v>0</v>
      </c>
      <c r="S452" s="322">
        <f t="shared" si="83"/>
        <v>0</v>
      </c>
    </row>
    <row r="453" spans="1:19">
      <c r="A453" s="155"/>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0.03</v>
      </c>
      <c r="R453" s="670">
        <f t="shared" si="82"/>
        <v>0</v>
      </c>
      <c r="S453" s="322">
        <f t="shared" si="83"/>
        <v>0</v>
      </c>
    </row>
    <row r="454" spans="1:19">
      <c r="A454" s="155"/>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0.03</v>
      </c>
      <c r="R454" s="670">
        <f t="shared" si="82"/>
        <v>0</v>
      </c>
      <c r="S454" s="322">
        <f t="shared" si="83"/>
        <v>0</v>
      </c>
    </row>
    <row r="455" spans="1:19">
      <c r="A455" s="155"/>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0.03</v>
      </c>
      <c r="R455" s="670">
        <f t="shared" si="82"/>
        <v>0</v>
      </c>
      <c r="S455" s="322">
        <f t="shared" si="83"/>
        <v>0</v>
      </c>
    </row>
    <row r="456" spans="1:19">
      <c r="A456" s="155"/>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0.03</v>
      </c>
      <c r="R456" s="670">
        <f t="shared" si="82"/>
        <v>0</v>
      </c>
      <c r="S456" s="322">
        <f t="shared" si="83"/>
        <v>0</v>
      </c>
    </row>
    <row r="457" spans="1:19">
      <c r="A457" s="155"/>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0.03</v>
      </c>
      <c r="R457" s="670">
        <f t="shared" si="82"/>
        <v>0</v>
      </c>
      <c r="S457" s="322">
        <f t="shared" si="83"/>
        <v>0</v>
      </c>
    </row>
    <row r="458" spans="1:19">
      <c r="A458" s="155"/>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0.03</v>
      </c>
      <c r="R458" s="670">
        <f t="shared" si="82"/>
        <v>0</v>
      </c>
      <c r="S458" s="322">
        <f t="shared" si="83"/>
        <v>0</v>
      </c>
    </row>
    <row r="459" spans="1:19">
      <c r="A459" s="155"/>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0.03</v>
      </c>
      <c r="R459" s="670">
        <f t="shared" si="82"/>
        <v>0</v>
      </c>
      <c r="S459" s="322">
        <f t="shared" si="83"/>
        <v>0</v>
      </c>
    </row>
    <row r="460" spans="1:19">
      <c r="A460" s="155"/>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0.03</v>
      </c>
      <c r="R460" s="670">
        <f t="shared" si="82"/>
        <v>0</v>
      </c>
      <c r="S460" s="322">
        <f t="shared" si="83"/>
        <v>0</v>
      </c>
    </row>
    <row r="461" spans="1:19">
      <c r="A461" s="155"/>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0.03</v>
      </c>
      <c r="R461" s="670">
        <f t="shared" si="82"/>
        <v>0</v>
      </c>
      <c r="S461" s="322">
        <f t="shared" si="83"/>
        <v>0</v>
      </c>
    </row>
    <row r="462" spans="1:19">
      <c r="A462" s="155"/>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0.03</v>
      </c>
      <c r="R462" s="670">
        <f t="shared" si="82"/>
        <v>0</v>
      </c>
      <c r="S462" s="322">
        <f t="shared" si="83"/>
        <v>0</v>
      </c>
    </row>
    <row r="463" spans="1:19">
      <c r="A463" s="155"/>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0.03</v>
      </c>
      <c r="R463" s="670">
        <f t="shared" si="82"/>
        <v>0</v>
      </c>
      <c r="S463" s="322">
        <f t="shared" si="83"/>
        <v>0</v>
      </c>
    </row>
    <row r="464" spans="1:19">
      <c r="A464" s="155"/>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0.03</v>
      </c>
      <c r="R464" s="670">
        <f t="shared" si="82"/>
        <v>0</v>
      </c>
      <c r="S464" s="322">
        <f t="shared" si="83"/>
        <v>0</v>
      </c>
    </row>
    <row r="465" spans="1:19">
      <c r="A465" s="155"/>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0.03</v>
      </c>
      <c r="R465" s="670">
        <f t="shared" si="82"/>
        <v>0</v>
      </c>
      <c r="S465" s="322">
        <f t="shared" si="83"/>
        <v>0</v>
      </c>
    </row>
    <row r="466" spans="1:19">
      <c r="A466" s="155"/>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0.03</v>
      </c>
      <c r="R466" s="670">
        <f t="shared" si="82"/>
        <v>0</v>
      </c>
      <c r="S466" s="322">
        <f t="shared" si="83"/>
        <v>0</v>
      </c>
    </row>
    <row r="467" spans="1:19">
      <c r="A467" s="155"/>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0.03</v>
      </c>
      <c r="R467" s="670">
        <f t="shared" si="82"/>
        <v>0</v>
      </c>
      <c r="S467" s="322">
        <f t="shared" si="83"/>
        <v>0</v>
      </c>
    </row>
    <row r="468" spans="1:19">
      <c r="A468" s="155"/>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0.03</v>
      </c>
      <c r="R468" s="670">
        <f t="shared" si="82"/>
        <v>0</v>
      </c>
      <c r="S468" s="322">
        <f t="shared" ref="S468:S497" si="84">ROUND(R468*B468/10000,0)</f>
        <v>0</v>
      </c>
    </row>
    <row r="469" spans="1:19">
      <c r="A469" s="155"/>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0.03</v>
      </c>
      <c r="R469" s="670">
        <f t="shared" si="82"/>
        <v>0</v>
      </c>
      <c r="S469" s="322">
        <f t="shared" si="84"/>
        <v>0</v>
      </c>
    </row>
    <row r="470" spans="1:19">
      <c r="A470" s="155"/>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0.03</v>
      </c>
      <c r="R470" s="670">
        <f t="shared" si="82"/>
        <v>0</v>
      </c>
      <c r="S470" s="322">
        <f t="shared" si="84"/>
        <v>0</v>
      </c>
    </row>
    <row r="471" spans="1:19">
      <c r="A471" s="155"/>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0.03</v>
      </c>
      <c r="R471" s="670">
        <f t="shared" si="82"/>
        <v>0</v>
      </c>
      <c r="S471" s="322">
        <f t="shared" si="84"/>
        <v>0</v>
      </c>
    </row>
    <row r="472" spans="1:19">
      <c r="A472" s="155"/>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0.03</v>
      </c>
      <c r="R472" s="670">
        <f t="shared" si="82"/>
        <v>0</v>
      </c>
      <c r="S472" s="322">
        <f t="shared" si="84"/>
        <v>0</v>
      </c>
    </row>
    <row r="473" spans="1:19">
      <c r="A473" s="155"/>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0.03</v>
      </c>
      <c r="R473" s="670">
        <f t="shared" si="82"/>
        <v>0</v>
      </c>
      <c r="S473" s="322">
        <f t="shared" si="84"/>
        <v>0</v>
      </c>
    </row>
    <row r="474" spans="1:19">
      <c r="A474" s="155"/>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0.03</v>
      </c>
      <c r="R474" s="670">
        <f t="shared" ref="R474:R524" si="93">IF(B474="",0,ROUND($R$24*C474*E474*G474*I474*K474*M474*O474*Q474,0))</f>
        <v>0</v>
      </c>
      <c r="S474" s="322">
        <f t="shared" si="84"/>
        <v>0</v>
      </c>
    </row>
    <row r="475" spans="1:19">
      <c r="A475" s="155"/>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0.03</v>
      </c>
      <c r="R475" s="670">
        <f t="shared" si="93"/>
        <v>0</v>
      </c>
      <c r="S475" s="322">
        <f t="shared" si="84"/>
        <v>0</v>
      </c>
    </row>
    <row r="476" spans="1:19">
      <c r="A476" s="155"/>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0.03</v>
      </c>
      <c r="R476" s="670">
        <f t="shared" si="93"/>
        <v>0</v>
      </c>
      <c r="S476" s="322">
        <f t="shared" si="84"/>
        <v>0</v>
      </c>
    </row>
    <row r="477" spans="1:19">
      <c r="A477" s="155"/>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0.03</v>
      </c>
      <c r="R477" s="670">
        <f t="shared" si="93"/>
        <v>0</v>
      </c>
      <c r="S477" s="322">
        <f t="shared" si="84"/>
        <v>0</v>
      </c>
    </row>
    <row r="478" spans="1:19">
      <c r="A478" s="155"/>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0.03</v>
      </c>
      <c r="R478" s="670">
        <f t="shared" si="93"/>
        <v>0</v>
      </c>
      <c r="S478" s="322">
        <f t="shared" si="84"/>
        <v>0</v>
      </c>
    </row>
    <row r="479" spans="1:19">
      <c r="A479" s="155"/>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0.03</v>
      </c>
      <c r="R479" s="670">
        <f t="shared" si="93"/>
        <v>0</v>
      </c>
      <c r="S479" s="322">
        <f t="shared" si="84"/>
        <v>0</v>
      </c>
    </row>
    <row r="480" spans="1:19">
      <c r="A480" s="155"/>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0.03</v>
      </c>
      <c r="R480" s="670">
        <f t="shared" si="93"/>
        <v>0</v>
      </c>
      <c r="S480" s="322">
        <f t="shared" si="84"/>
        <v>0</v>
      </c>
    </row>
    <row r="481" spans="1:19">
      <c r="A481" s="155"/>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0.03</v>
      </c>
      <c r="R481" s="670">
        <f t="shared" si="93"/>
        <v>0</v>
      </c>
      <c r="S481" s="322">
        <f t="shared" si="84"/>
        <v>0</v>
      </c>
    </row>
    <row r="482" spans="1:19">
      <c r="A482" s="155"/>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0.03</v>
      </c>
      <c r="R482" s="670">
        <f t="shared" si="93"/>
        <v>0</v>
      </c>
      <c r="S482" s="322">
        <f t="shared" si="84"/>
        <v>0</v>
      </c>
    </row>
    <row r="483" spans="1:19">
      <c r="A483" s="155"/>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0.03</v>
      </c>
      <c r="R483" s="670">
        <f t="shared" si="93"/>
        <v>0</v>
      </c>
      <c r="S483" s="322">
        <f t="shared" si="84"/>
        <v>0</v>
      </c>
    </row>
    <row r="484" spans="1:19">
      <c r="A484" s="155"/>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0.03</v>
      </c>
      <c r="R484" s="670">
        <f t="shared" si="93"/>
        <v>0</v>
      </c>
      <c r="S484" s="322">
        <f t="shared" si="84"/>
        <v>0</v>
      </c>
    </row>
    <row r="485" spans="1:19">
      <c r="A485" s="155"/>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0.03</v>
      </c>
      <c r="R485" s="670">
        <f t="shared" si="93"/>
        <v>0</v>
      </c>
      <c r="S485" s="322">
        <f t="shared" si="84"/>
        <v>0</v>
      </c>
    </row>
    <row r="486" spans="1:19">
      <c r="A486" s="155"/>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0.03</v>
      </c>
      <c r="R486" s="670">
        <f t="shared" si="93"/>
        <v>0</v>
      </c>
      <c r="S486" s="322">
        <f t="shared" si="84"/>
        <v>0</v>
      </c>
    </row>
    <row r="487" spans="1:19">
      <c r="A487" s="155"/>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0.03</v>
      </c>
      <c r="R487" s="670">
        <f t="shared" si="93"/>
        <v>0</v>
      </c>
      <c r="S487" s="322">
        <f t="shared" si="84"/>
        <v>0</v>
      </c>
    </row>
    <row r="488" spans="1:19">
      <c r="A488" s="155"/>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0.03</v>
      </c>
      <c r="R488" s="670">
        <f t="shared" si="93"/>
        <v>0</v>
      </c>
      <c r="S488" s="322">
        <f t="shared" si="84"/>
        <v>0</v>
      </c>
    </row>
    <row r="489" spans="1:19">
      <c r="A489" s="155"/>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0.03</v>
      </c>
      <c r="R489" s="670">
        <f t="shared" si="93"/>
        <v>0</v>
      </c>
      <c r="S489" s="322">
        <f t="shared" si="84"/>
        <v>0</v>
      </c>
    </row>
    <row r="490" spans="1:19">
      <c r="A490" s="155"/>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0.03</v>
      </c>
      <c r="R490" s="670">
        <f t="shared" si="93"/>
        <v>0</v>
      </c>
      <c r="S490" s="322">
        <f t="shared" si="84"/>
        <v>0</v>
      </c>
    </row>
    <row r="491" spans="1:19">
      <c r="A491" s="155"/>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0.03</v>
      </c>
      <c r="R491" s="670">
        <f t="shared" si="93"/>
        <v>0</v>
      </c>
      <c r="S491" s="322">
        <f t="shared" si="84"/>
        <v>0</v>
      </c>
    </row>
    <row r="492" spans="1:19">
      <c r="A492" s="155"/>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0.03</v>
      </c>
      <c r="R492" s="670">
        <f t="shared" si="93"/>
        <v>0</v>
      </c>
      <c r="S492" s="322">
        <f t="shared" si="84"/>
        <v>0</v>
      </c>
    </row>
    <row r="493" spans="1:19">
      <c r="A493" s="155"/>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0.03</v>
      </c>
      <c r="R493" s="670">
        <f t="shared" si="93"/>
        <v>0</v>
      </c>
      <c r="S493" s="322">
        <f t="shared" si="84"/>
        <v>0</v>
      </c>
    </row>
    <row r="494" spans="1:19">
      <c r="A494" s="155"/>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0.03</v>
      </c>
      <c r="R494" s="670">
        <f t="shared" si="93"/>
        <v>0</v>
      </c>
      <c r="S494" s="322">
        <f t="shared" si="84"/>
        <v>0</v>
      </c>
    </row>
    <row r="495" spans="1:19">
      <c r="A495" s="155"/>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0.03</v>
      </c>
      <c r="R495" s="670">
        <f t="shared" si="93"/>
        <v>0</v>
      </c>
      <c r="S495" s="322">
        <f t="shared" si="84"/>
        <v>0</v>
      </c>
    </row>
    <row r="496" spans="1:19">
      <c r="A496" s="155"/>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0.03</v>
      </c>
      <c r="R496" s="670">
        <f t="shared" si="93"/>
        <v>0</v>
      </c>
      <c r="S496" s="322">
        <f t="shared" si="84"/>
        <v>0</v>
      </c>
    </row>
    <row r="497" spans="1:19">
      <c r="A497" s="155"/>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0.03</v>
      </c>
      <c r="R497" s="670">
        <f t="shared" si="93"/>
        <v>0</v>
      </c>
      <c r="S497" s="322">
        <f t="shared" si="84"/>
        <v>0</v>
      </c>
    </row>
    <row r="498" spans="1:19">
      <c r="A498" s="155"/>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0.03</v>
      </c>
      <c r="R498" s="670">
        <f t="shared" si="93"/>
        <v>0</v>
      </c>
      <c r="S498" s="322">
        <f t="shared" ref="S498:S524" si="94">ROUND(R498*B498/10000,0)</f>
        <v>0</v>
      </c>
    </row>
    <row r="499" spans="1:19">
      <c r="A499" s="155"/>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0.03</v>
      </c>
      <c r="R499" s="670">
        <f t="shared" si="93"/>
        <v>0</v>
      </c>
      <c r="S499" s="322">
        <f t="shared" si="94"/>
        <v>0</v>
      </c>
    </row>
    <row r="500" spans="1:19">
      <c r="A500" s="155"/>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0.03</v>
      </c>
      <c r="R500" s="670">
        <f t="shared" si="93"/>
        <v>0</v>
      </c>
      <c r="S500" s="322">
        <f t="shared" si="94"/>
        <v>0</v>
      </c>
    </row>
    <row r="501" spans="1:19">
      <c r="A501" s="155"/>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0.03</v>
      </c>
      <c r="R501" s="670">
        <f t="shared" si="93"/>
        <v>0</v>
      </c>
      <c r="S501" s="322">
        <f t="shared" si="94"/>
        <v>0</v>
      </c>
    </row>
    <row r="502" spans="1:19">
      <c r="A502" s="155"/>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0.03</v>
      </c>
      <c r="R502" s="670">
        <f t="shared" si="93"/>
        <v>0</v>
      </c>
      <c r="S502" s="322">
        <f t="shared" si="94"/>
        <v>0</v>
      </c>
    </row>
    <row r="503" spans="1:19">
      <c r="A503" s="155"/>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0.03</v>
      </c>
      <c r="R503" s="670">
        <f t="shared" si="93"/>
        <v>0</v>
      </c>
      <c r="S503" s="322">
        <f t="shared" si="94"/>
        <v>0</v>
      </c>
    </row>
    <row r="504" spans="1:19">
      <c r="A504" s="155"/>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0.03</v>
      </c>
      <c r="R504" s="670">
        <f t="shared" si="93"/>
        <v>0</v>
      </c>
      <c r="S504" s="322">
        <f t="shared" si="94"/>
        <v>0</v>
      </c>
    </row>
    <row r="505" spans="1:19">
      <c r="A505" s="155"/>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0.03</v>
      </c>
      <c r="R505" s="670">
        <f t="shared" si="93"/>
        <v>0</v>
      </c>
      <c r="S505" s="322">
        <f t="shared" si="94"/>
        <v>0</v>
      </c>
    </row>
    <row r="506" spans="1:19">
      <c r="A506" s="155"/>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0.03</v>
      </c>
      <c r="R506" s="670">
        <f t="shared" si="93"/>
        <v>0</v>
      </c>
      <c r="S506" s="322">
        <f t="shared" si="94"/>
        <v>0</v>
      </c>
    </row>
    <row r="507" spans="1:19">
      <c r="A507" s="155"/>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0.03</v>
      </c>
      <c r="R507" s="670">
        <f t="shared" si="93"/>
        <v>0</v>
      </c>
      <c r="S507" s="322">
        <f t="shared" si="94"/>
        <v>0</v>
      </c>
    </row>
    <row r="508" spans="1:19">
      <c r="A508" s="155"/>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0.03</v>
      </c>
      <c r="R508" s="670">
        <f t="shared" si="93"/>
        <v>0</v>
      </c>
      <c r="S508" s="322">
        <f t="shared" si="94"/>
        <v>0</v>
      </c>
    </row>
    <row r="509" spans="1:19">
      <c r="A509" s="155"/>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0.03</v>
      </c>
      <c r="R509" s="670">
        <f t="shared" si="93"/>
        <v>0</v>
      </c>
      <c r="S509" s="322">
        <f t="shared" si="94"/>
        <v>0</v>
      </c>
    </row>
    <row r="510" spans="1:19">
      <c r="A510" s="155"/>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0.03</v>
      </c>
      <c r="R510" s="670">
        <f t="shared" si="93"/>
        <v>0</v>
      </c>
      <c r="S510" s="322">
        <f t="shared" si="94"/>
        <v>0</v>
      </c>
    </row>
    <row r="511" spans="1:19">
      <c r="A511" s="155"/>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0.03</v>
      </c>
      <c r="R511" s="670">
        <f t="shared" si="93"/>
        <v>0</v>
      </c>
      <c r="S511" s="322">
        <f t="shared" si="94"/>
        <v>0</v>
      </c>
    </row>
    <row r="512" spans="1:19">
      <c r="A512" s="155"/>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0.03</v>
      </c>
      <c r="R512" s="670">
        <f t="shared" si="93"/>
        <v>0</v>
      </c>
      <c r="S512" s="322">
        <f t="shared" si="94"/>
        <v>0</v>
      </c>
    </row>
    <row r="513" spans="1:19">
      <c r="A513" s="155"/>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0.03</v>
      </c>
      <c r="R513" s="670">
        <f t="shared" si="93"/>
        <v>0</v>
      </c>
      <c r="S513" s="322">
        <f t="shared" si="94"/>
        <v>0</v>
      </c>
    </row>
    <row r="514" spans="1:19">
      <c r="A514" s="155"/>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0.03</v>
      </c>
      <c r="R514" s="670">
        <f t="shared" si="93"/>
        <v>0</v>
      </c>
      <c r="S514" s="322">
        <f t="shared" si="94"/>
        <v>0</v>
      </c>
    </row>
    <row r="515" spans="1:19">
      <c r="A515" s="155"/>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0.03</v>
      </c>
      <c r="R515" s="670">
        <f t="shared" si="93"/>
        <v>0</v>
      </c>
      <c r="S515" s="322">
        <f t="shared" si="94"/>
        <v>0</v>
      </c>
    </row>
    <row r="516" spans="1:19">
      <c r="A516" s="155"/>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0.03</v>
      </c>
      <c r="R516" s="670">
        <f t="shared" si="93"/>
        <v>0</v>
      </c>
      <c r="S516" s="322">
        <f t="shared" si="94"/>
        <v>0</v>
      </c>
    </row>
    <row r="517" spans="1:19">
      <c r="A517" s="155"/>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0.03</v>
      </c>
      <c r="R517" s="670">
        <f t="shared" si="93"/>
        <v>0</v>
      </c>
      <c r="S517" s="322">
        <f t="shared" si="94"/>
        <v>0</v>
      </c>
    </row>
    <row r="518" spans="1:19">
      <c r="A518" s="155"/>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0.03</v>
      </c>
      <c r="R518" s="670">
        <f t="shared" si="93"/>
        <v>0</v>
      </c>
      <c r="S518" s="322">
        <f t="shared" si="94"/>
        <v>0</v>
      </c>
    </row>
    <row r="519" spans="1:19">
      <c r="A519" s="155"/>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0.03</v>
      </c>
      <c r="R519" s="670">
        <f t="shared" si="93"/>
        <v>0</v>
      </c>
      <c r="S519" s="322">
        <f t="shared" si="94"/>
        <v>0</v>
      </c>
    </row>
    <row r="520" spans="1:19">
      <c r="A520" s="155"/>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0.03</v>
      </c>
      <c r="R520" s="670">
        <f t="shared" si="93"/>
        <v>0</v>
      </c>
      <c r="S520" s="322">
        <f t="shared" si="94"/>
        <v>0</v>
      </c>
    </row>
    <row r="521" spans="1:19">
      <c r="A521" s="155"/>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0.03</v>
      </c>
      <c r="R521" s="670">
        <f t="shared" si="93"/>
        <v>0</v>
      </c>
      <c r="S521" s="322">
        <f t="shared" si="94"/>
        <v>0</v>
      </c>
    </row>
    <row r="522" spans="1:19">
      <c r="A522" s="155"/>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0.03</v>
      </c>
      <c r="R522" s="670">
        <f t="shared" si="93"/>
        <v>0</v>
      </c>
      <c r="S522" s="322">
        <f t="shared" si="94"/>
        <v>0</v>
      </c>
    </row>
    <row r="523" spans="1:19">
      <c r="A523" s="155"/>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0.03</v>
      </c>
      <c r="R523" s="670">
        <f t="shared" si="93"/>
        <v>0</v>
      </c>
      <c r="S523" s="322">
        <f t="shared" si="94"/>
        <v>0</v>
      </c>
    </row>
    <row r="524" spans="1:19">
      <c r="A524" s="155"/>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0.03</v>
      </c>
      <c r="R524" s="670">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40" zoomScale="80" zoomScaleNormal="70" zoomScaleSheetLayoutView="80" workbookViewId="0">
      <selection activeCell="J52" sqref="J52"/>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3205</v>
      </c>
      <c r="D1" s="1493" t="s">
        <v>70</v>
      </c>
      <c r="E1" s="1494" t="s">
        <v>1111</v>
      </c>
      <c r="F1" s="1170">
        <f ca="1">J53</f>
        <v>42.61</v>
      </c>
      <c r="G1" s="1509">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63655</v>
      </c>
      <c r="C2" s="1518" t="s">
        <v>1240</v>
      </c>
      <c r="D2" s="1518"/>
      <c r="E2" s="1519"/>
      <c r="F2" s="1520"/>
      <c r="G2" s="2880"/>
      <c r="H2" s="2869"/>
      <c r="I2" s="2869"/>
      <c r="J2" s="2869"/>
      <c r="K2" s="2870"/>
      <c r="L2" s="2869"/>
      <c r="M2" s="2869"/>
    </row>
    <row r="3" spans="1:37" ht="18" customHeight="1" thickBot="1">
      <c r="A3" s="1521" t="s">
        <v>1241</v>
      </c>
      <c r="B3" s="1522">
        <f ca="1">IF(ISERROR(B2*10000/F43),0,ROUND(B2*10000/F43,0))</f>
        <v>21136</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4497</v>
      </c>
      <c r="D5" s="1495" t="s">
        <v>1126</v>
      </c>
      <c r="E5" s="1180"/>
      <c r="F5" s="1181"/>
      <c r="G5" s="1515"/>
      <c r="H5" s="305">
        <v>1</v>
      </c>
      <c r="I5" s="306" t="s">
        <v>1125</v>
      </c>
      <c r="J5" s="1179">
        <f ca="1">J6+J10+J12</f>
        <v>0</v>
      </c>
      <c r="K5" s="1495" t="s">
        <v>1126</v>
      </c>
      <c r="L5" s="1180"/>
      <c r="M5" s="1181"/>
    </row>
    <row r="6" spans="1:37" ht="18" customHeight="1">
      <c r="A6" s="1178" t="s">
        <v>822</v>
      </c>
      <c r="B6" s="3723" t="s">
        <v>1127</v>
      </c>
      <c r="C6" s="1183">
        <f ca="1">ROUND(F6*F8*F7*(1-F9)/10000,0)</f>
        <v>4491</v>
      </c>
      <c r="D6" s="160" t="s">
        <v>2608</v>
      </c>
      <c r="E6" s="308" t="s">
        <v>1129</v>
      </c>
      <c r="F6" s="309">
        <f ca="1">INDIRECT("'数据-取费表'!u"&amp;$G$1)</f>
        <v>4.3</v>
      </c>
      <c r="G6" s="1515"/>
      <c r="H6" s="1178" t="s">
        <v>822</v>
      </c>
      <c r="I6" s="3723" t="s">
        <v>1127</v>
      </c>
      <c r="J6" s="307">
        <f ca="1">ROUND(M6*M8*M7*(1-M9)/10000,0)</f>
        <v>0</v>
      </c>
      <c r="K6" s="160" t="s">
        <v>2607</v>
      </c>
      <c r="L6" s="308" t="s">
        <v>1129</v>
      </c>
      <c r="M6" s="309">
        <f ca="1">INDIRECT("'数据-取费表'!z"&amp;$G$1)</f>
        <v>0</v>
      </c>
    </row>
    <row r="7" spans="1:37" ht="18" customHeight="1">
      <c r="A7" s="1182"/>
      <c r="B7" s="3724"/>
      <c r="C7" s="1184"/>
      <c r="D7" s="313"/>
      <c r="E7" s="1185" t="s">
        <v>1130</v>
      </c>
      <c r="F7" s="309">
        <f ca="1">IF(INDIRECT("'数据-取费表'!ah"&amp;$G$1)="",INDIRECT("'数据-取费表'!k"&amp;$G$1),INDIRECT("'数据-取费表'!ah"&amp;$G$1))</f>
        <v>30117.4</v>
      </c>
      <c r="G7" s="1515"/>
      <c r="H7" s="310"/>
      <c r="I7" s="3724"/>
      <c r="J7" s="312"/>
      <c r="K7" s="313"/>
      <c r="L7" s="308" t="s">
        <v>1130</v>
      </c>
      <c r="M7" s="309">
        <f ca="1">F7</f>
        <v>30117.4</v>
      </c>
    </row>
    <row r="8" spans="1:37" ht="18" customHeight="1">
      <c r="A8" s="310"/>
      <c r="B8" s="3724"/>
      <c r="C8" s="312"/>
      <c r="D8" s="313"/>
      <c r="E8" s="308" t="s">
        <v>1131</v>
      </c>
      <c r="F8" s="309">
        <f ca="1">INDIRECT("'数据-取费表'!ai"&amp;$G$1)</f>
        <v>365</v>
      </c>
      <c r="G8" s="1515"/>
      <c r="H8" s="310"/>
      <c r="I8" s="3724"/>
      <c r="J8" s="312"/>
      <c r="K8" s="313"/>
      <c r="L8" s="308" t="s">
        <v>1131</v>
      </c>
      <c r="M8" s="309">
        <f ca="1">INDIRECT("'数据-取费表'!ai"&amp;$G$1)</f>
        <v>365</v>
      </c>
    </row>
    <row r="9" spans="1:37" ht="18" customHeight="1">
      <c r="A9" s="310"/>
      <c r="B9" s="3725"/>
      <c r="C9" s="312"/>
      <c r="D9" s="313"/>
      <c r="E9" s="308" t="s">
        <v>1132</v>
      </c>
      <c r="F9" s="318">
        <f ca="1">INDIRECT("'数据-取费表'!w"&amp;$G$1)</f>
        <v>0.05</v>
      </c>
      <c r="G9" s="1515"/>
      <c r="H9" s="310"/>
      <c r="I9" s="3725"/>
      <c r="J9" s="312"/>
      <c r="K9" s="313"/>
      <c r="L9" s="319" t="s">
        <v>1132</v>
      </c>
      <c r="M9" s="320">
        <f ca="1">INDIRECT("'数据-取费表'!ab"&amp;$G$1)</f>
        <v>0</v>
      </c>
    </row>
    <row r="10" spans="1:37" ht="18" customHeight="1">
      <c r="A10" s="1178" t="s">
        <v>826</v>
      </c>
      <c r="B10" s="1496" t="s">
        <v>1133</v>
      </c>
      <c r="C10" s="322">
        <f ca="1">ROUND(IF(F10="押一",C6/12*F11,IF(F10="押二",C6/12*2*F11,IF(F10="押三",C6/12*3*F11,C11*F11))),0)</f>
        <v>6</v>
      </c>
      <c r="D10" s="1497" t="s">
        <v>2616</v>
      </c>
      <c r="E10" s="319" t="s">
        <v>1134</v>
      </c>
      <c r="F10" s="1225" t="s">
        <v>3662</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15253</v>
      </c>
      <c r="D13" s="1190" t="s">
        <v>1139</v>
      </c>
      <c r="E13" s="1190"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13553</v>
      </c>
      <c r="D14" s="1476" t="s">
        <v>1142</v>
      </c>
      <c r="E14" s="1473"/>
      <c r="F14" s="325"/>
      <c r="G14" s="1515"/>
      <c r="H14" s="1091" t="s">
        <v>822</v>
      </c>
      <c r="I14" s="308" t="s">
        <v>1143</v>
      </c>
      <c r="J14" s="24">
        <f ca="1">C29</f>
        <v>20337</v>
      </c>
      <c r="K14" s="15"/>
      <c r="L14" s="894"/>
      <c r="M14" s="895"/>
    </row>
    <row r="15" spans="1:37" s="1528" customFormat="1" ht="18" customHeight="1" thickBot="1">
      <c r="A15" s="1091" t="s">
        <v>823</v>
      </c>
      <c r="B15" s="308" t="s">
        <v>1144</v>
      </c>
      <c r="C15" s="24">
        <f ca="1">ROUND(C14*F15,0)</f>
        <v>407</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678</v>
      </c>
      <c r="D16" s="308" t="s">
        <v>1145</v>
      </c>
      <c r="E16" s="308" t="s">
        <v>1146</v>
      </c>
      <c r="F16" s="328">
        <f ca="1">IF(INDIRECT("'数据-取费表'!c"&amp;$G$1)="住宅",'数据-取费表'!B34,0)</f>
        <v>0.05</v>
      </c>
      <c r="G16" s="1515"/>
      <c r="H16" s="1188" t="s">
        <v>817</v>
      </c>
      <c r="I16" s="1189" t="s">
        <v>1148</v>
      </c>
      <c r="J16" s="316">
        <f ca="1">ROUND(J17+J22+J23+J24,0)</f>
        <v>381</v>
      </c>
      <c r="K16" s="1196" t="s">
        <v>1149</v>
      </c>
      <c r="L16" s="1197"/>
      <c r="M16" s="1181"/>
    </row>
    <row r="17" spans="1:37" s="1528" customFormat="1" ht="18" customHeight="1">
      <c r="A17" s="1091" t="s">
        <v>1114</v>
      </c>
      <c r="B17" s="308" t="s">
        <v>1150</v>
      </c>
      <c r="C17" s="24">
        <f ca="1">ROUND(F17*(F43+INDIRECT("'数据-取费表'!S"&amp;$G$1))/10000,0)</f>
        <v>602</v>
      </c>
      <c r="D17" s="308" t="s">
        <v>1151</v>
      </c>
      <c r="E17" s="308" t="s">
        <v>1152</v>
      </c>
      <c r="F17" s="26">
        <f>'数据-取费表'!B35</f>
        <v>200</v>
      </c>
      <c r="G17" s="1527"/>
      <c r="H17" s="1091" t="s">
        <v>822</v>
      </c>
      <c r="I17" s="308" t="s">
        <v>1153</v>
      </c>
      <c r="J17" s="2480">
        <f ca="1">ROUND(IF(AND(项目基本情况!B11="自然人",项目基本情况!B10="北京市"),J6*M17/(1+'数据-取费表'!C42),J18+J19+J20),0)</f>
        <v>178</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203</v>
      </c>
      <c r="D18" s="308" t="s">
        <v>1145</v>
      </c>
      <c r="E18" s="308" t="s">
        <v>1146</v>
      </c>
      <c r="F18" s="328">
        <f>'数据-取费表'!B36</f>
        <v>1.4999999999999999E-2</v>
      </c>
      <c r="G18" s="1527"/>
      <c r="H18" s="1091" t="s">
        <v>821</v>
      </c>
      <c r="I18" s="308" t="s">
        <v>1157</v>
      </c>
      <c r="J18" s="24">
        <f ca="1">ROUND(J6*M18/(1+'数据-取费表'!C42),2)</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15443</v>
      </c>
      <c r="D19" s="136" t="s">
        <v>1160</v>
      </c>
      <c r="E19" s="1491"/>
      <c r="F19" s="26"/>
      <c r="G19" s="1515"/>
      <c r="H19" s="1091" t="s">
        <v>823</v>
      </c>
      <c r="I19" s="308" t="s">
        <v>1161</v>
      </c>
      <c r="J19" s="24">
        <f ca="1">IF(K19="按租金收入计税",ROUND(J6*M19/(1+'数据-取费表'!C42),2),ROUND(C29*M19*0.7,2))</f>
        <v>170.83</v>
      </c>
      <c r="K19" s="1501" t="s">
        <v>1162</v>
      </c>
      <c r="L19" s="308" t="s">
        <v>1146</v>
      </c>
      <c r="M19" s="328">
        <f>IF(K19="按租金收入计税",'数据-取费表'!B51,'数据-取费表'!B50)</f>
        <v>1.2E-2</v>
      </c>
    </row>
    <row r="20" spans="1:37" s="1528" customFormat="1" ht="18" customHeight="1">
      <c r="A20" s="1091" t="s">
        <v>826</v>
      </c>
      <c r="B20" s="308" t="s">
        <v>1163</v>
      </c>
      <c r="C20" s="24">
        <f ca="1">ROUND(C19*F20,0)</f>
        <v>309</v>
      </c>
      <c r="D20" s="329" t="s">
        <v>1164</v>
      </c>
      <c r="E20" s="308" t="s">
        <v>1146</v>
      </c>
      <c r="F20" s="328">
        <f>'数据-取费表'!B37</f>
        <v>0.02</v>
      </c>
      <c r="G20" s="1527"/>
      <c r="H20" s="1091" t="s">
        <v>1113</v>
      </c>
      <c r="I20" s="160" t="s">
        <v>1165</v>
      </c>
      <c r="J20" s="25">
        <f ca="1">ROUND(M20*M21/10000,2)</f>
        <v>6.8</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5665.04</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ROUND(J14*M22,1)</f>
        <v>203.4</v>
      </c>
      <c r="K22" s="147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654</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147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1491"/>
      <c r="F25" s="26"/>
      <c r="G25" s="1515"/>
      <c r="H25" s="1188" t="s">
        <v>818</v>
      </c>
      <c r="I25" s="1203" t="s">
        <v>1187</v>
      </c>
      <c r="J25" s="316">
        <f ca="1">J5-J16</f>
        <v>-381</v>
      </c>
      <c r="K25" s="1204" t="s">
        <v>1188</v>
      </c>
      <c r="L25" s="1205"/>
      <c r="M25" s="1206"/>
    </row>
    <row r="26" spans="1:37">
      <c r="A26" s="1091" t="s">
        <v>821</v>
      </c>
      <c r="B26" s="308" t="s">
        <v>1189</v>
      </c>
      <c r="C26" s="24">
        <f ca="1">ROUND((C19+C20)*F26,0)</f>
        <v>2363</v>
      </c>
      <c r="D26" s="329" t="s">
        <v>1190</v>
      </c>
      <c r="E26" s="319" t="s">
        <v>1191</v>
      </c>
      <c r="F26" s="318">
        <f ca="1">INDIRECT("'数据-取费表'!q"&amp;$G$1)</f>
        <v>0.15</v>
      </c>
      <c r="G26" s="1515"/>
      <c r="H26" s="305" t="s">
        <v>819</v>
      </c>
      <c r="I26" s="306" t="s">
        <v>1192</v>
      </c>
      <c r="J26" s="307">
        <f ca="1">IF(J5&lt;&gt;0,ROUND(J25*(1-((1+M28)/(1+M26))^M27)/(M26-M28),0),0)</f>
        <v>0</v>
      </c>
      <c r="K26" s="330" t="s">
        <v>1193</v>
      </c>
      <c r="L26" s="308" t="s">
        <v>1194</v>
      </c>
      <c r="M26" s="318">
        <f ca="1">INDIRECT("'数据-取费表'!I"&amp;$G$1)</f>
        <v>4.4999999999999998E-2</v>
      </c>
    </row>
    <row r="27" spans="1:37" ht="18" customHeight="1">
      <c r="A27" s="1091" t="s">
        <v>823</v>
      </c>
      <c r="B27" s="308" t="s">
        <v>1195</v>
      </c>
      <c r="C27" s="24">
        <f ca="1">ROUND(F21*F26,4)</f>
        <v>3.0000000000000001E-3</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20337</v>
      </c>
      <c r="D29" s="1201"/>
      <c r="E29" s="1199"/>
      <c r="F29" s="1202"/>
      <c r="G29" s="1527"/>
      <c r="H29" s="340" t="s">
        <v>820</v>
      </c>
      <c r="I29" s="341" t="s">
        <v>1203</v>
      </c>
      <c r="J29" s="342">
        <f ca="1">ROUND(J26/(1+F40)^F41,0)</f>
        <v>0</v>
      </c>
      <c r="K29" s="343" t="s">
        <v>1204</v>
      </c>
      <c r="L29" s="344"/>
      <c r="M29" s="345">
        <f ca="1">INDIRECT("'数据-取费表'!k"&amp;$G$1)</f>
        <v>30117.4</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1114</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760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239.52</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513.26</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6.8</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5665.04</v>
      </c>
      <c r="G35" s="1515"/>
      <c r="H35" s="2871"/>
      <c r="I35" s="1529"/>
      <c r="J35" s="1530"/>
      <c r="K35" s="2875"/>
      <c r="L35" s="2874"/>
      <c r="M35" s="2874"/>
    </row>
    <row r="36" spans="1:18" ht="18" customHeight="1">
      <c r="A36" s="1211" t="s">
        <v>826</v>
      </c>
      <c r="B36" s="308" t="s">
        <v>1173</v>
      </c>
      <c r="C36" s="24">
        <f ca="1">ROUND(C29*F36,1)</f>
        <v>203.4</v>
      </c>
      <c r="D36" s="1475" t="s">
        <v>1206</v>
      </c>
      <c r="E36" s="308" t="s">
        <v>1146</v>
      </c>
      <c r="F36" s="334">
        <f ca="1">INDIRECT("'数据-取费表'!Ak"&amp;$G$1)</f>
        <v>0.01</v>
      </c>
      <c r="G36" s="1515"/>
      <c r="H36" s="2874"/>
      <c r="I36" s="1529">
        <f ca="1">C36+C37+C38</f>
        <v>353.6</v>
      </c>
      <c r="J36" s="1530"/>
      <c r="K36" s="2715"/>
      <c r="L36" s="2874"/>
      <c r="M36" s="2874"/>
    </row>
    <row r="37" spans="1:18" ht="18" customHeight="1">
      <c r="A37" s="1091" t="s">
        <v>862</v>
      </c>
      <c r="B37" s="308" t="s">
        <v>1177</v>
      </c>
      <c r="C37" s="24">
        <f ca="1">ROUND(C13*F37,1)</f>
        <v>15.3</v>
      </c>
      <c r="D37" s="1475" t="s">
        <v>1178</v>
      </c>
      <c r="E37" s="308" t="s">
        <v>1179</v>
      </c>
      <c r="F37" s="336">
        <f ca="1">INDIRECT("'数据-取费表'!Al"&amp;$G$1)</f>
        <v>1E-3</v>
      </c>
      <c r="G37" s="1515"/>
      <c r="H37" s="2874"/>
      <c r="I37" s="1529">
        <f ca="1">I36*10000/F43/12</f>
        <v>9.7839344255037499</v>
      </c>
      <c r="J37" s="1530"/>
      <c r="K37" s="2715"/>
      <c r="L37" s="2874"/>
      <c r="M37" s="2874"/>
    </row>
    <row r="38" spans="1:18" ht="18" customHeight="1" thickBot="1">
      <c r="A38" s="1198" t="s">
        <v>1117</v>
      </c>
      <c r="B38" s="1199" t="s">
        <v>1163</v>
      </c>
      <c r="C38" s="1200">
        <f ca="1">ROUND(C5*F38,1)</f>
        <v>134.9</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1207</v>
      </c>
      <c r="C39" s="316">
        <f ca="1">C5-C30</f>
        <v>3383</v>
      </c>
      <c r="D39" s="1204" t="s">
        <v>1208</v>
      </c>
      <c r="E39" s="1205"/>
      <c r="F39" s="1206"/>
      <c r="G39" s="1515"/>
      <c r="H39" s="2874"/>
      <c r="I39" s="1529">
        <f ca="1">C39/C5</f>
        <v>0.75227929730931731</v>
      </c>
      <c r="J39" s="1530"/>
      <c r="K39" s="2878"/>
      <c r="L39" s="2874"/>
      <c r="M39" s="2874"/>
    </row>
    <row r="40" spans="1:18" ht="18" customHeight="1">
      <c r="A40" s="305" t="s">
        <v>819</v>
      </c>
      <c r="B40" s="306" t="s">
        <v>1209</v>
      </c>
      <c r="C40" s="307">
        <f ca="1">ROUND(C39*(1-((1+F42)/(1+F40))^F41)/(F40-F42),0)</f>
        <v>63655</v>
      </c>
      <c r="D40" s="330" t="s">
        <v>1193</v>
      </c>
      <c r="E40" s="308" t="s">
        <v>1194</v>
      </c>
      <c r="F40" s="318">
        <f ca="1">INDIRECT("'数据-取费表'!I"&amp;$G$1)</f>
        <v>4.4999999999999998E-2</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42.61</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21136</v>
      </c>
      <c r="D43" s="343" t="s">
        <v>1212</v>
      </c>
      <c r="E43" s="344" t="s">
        <v>1213</v>
      </c>
      <c r="F43" s="345">
        <f ca="1">INDIRECT("'数据-取费表'!k"&amp;$G$1)</f>
        <v>30117.4</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-100046</v>
      </c>
      <c r="D46" s="1537" t="str">
        <f>C2</f>
        <v>万元</v>
      </c>
      <c r="E46" s="1531"/>
      <c r="F46" s="1531"/>
      <c r="I46" s="1538" t="s">
        <v>1245</v>
      </c>
      <c r="J46" s="1539"/>
      <c r="K46" s="1540"/>
      <c r="L46" s="1541">
        <f>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住宅</v>
      </c>
      <c r="O47" s="1549" t="s">
        <v>827</v>
      </c>
      <c r="P47" s="1550" t="s">
        <v>1252</v>
      </c>
      <c r="Q47" s="1551">
        <f ca="1">C40+J29</f>
        <v>63655</v>
      </c>
      <c r="R47" s="1551" t="s">
        <v>1253</v>
      </c>
    </row>
    <row r="48" spans="1:18" s="1515" customFormat="1" ht="28.5" thickBot="1">
      <c r="A48" s="1219" t="s">
        <v>863</v>
      </c>
      <c r="B48" s="306" t="s">
        <v>1125</v>
      </c>
      <c r="C48" s="1490">
        <f ca="1">C49+C53+C55</f>
        <v>0</v>
      </c>
      <c r="D48" s="1221"/>
      <c r="E48" s="1222"/>
      <c r="F48" s="1071"/>
      <c r="G48" s="728"/>
      <c r="H48" s="729"/>
      <c r="I48" s="1552" t="s">
        <v>1254</v>
      </c>
      <c r="J48" s="1553" t="s">
        <v>3660</v>
      </c>
      <c r="K48" s="1554" t="s">
        <v>1255</v>
      </c>
      <c r="L48" s="1555">
        <f ca="1">INDIRECT("'数据-取费表'!f"&amp;$G$1)</f>
        <v>42.61</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2609</v>
      </c>
      <c r="E49" s="1503" t="s">
        <v>1215</v>
      </c>
      <c r="F49" s="1168"/>
      <c r="G49" s="1556"/>
      <c r="H49" s="729"/>
      <c r="I49" s="1552" t="s">
        <v>1258</v>
      </c>
      <c r="J49" s="3469">
        <f>'数据-取费表'!M23</f>
        <v>1999</v>
      </c>
      <c r="K49" s="1554" t="s">
        <v>1259</v>
      </c>
      <c r="L49" s="1558"/>
      <c r="O49" s="1559" t="s">
        <v>829</v>
      </c>
      <c r="P49" s="1550" t="s">
        <v>1260</v>
      </c>
      <c r="Q49" s="1551">
        <f ca="1">C29</f>
        <v>20337</v>
      </c>
      <c r="R49" s="1551" t="s">
        <v>1253</v>
      </c>
    </row>
    <row r="50" spans="1:18" s="1515" customFormat="1" ht="13.5" thickBot="1">
      <c r="A50" s="1085"/>
      <c r="B50" s="1088"/>
      <c r="C50" s="1227"/>
      <c r="D50" s="1062"/>
      <c r="E50" s="1164" t="s">
        <v>1130</v>
      </c>
      <c r="F50" s="1165">
        <f ca="1">F7</f>
        <v>30117.4</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9">
        <f ca="1">F8</f>
        <v>365</v>
      </c>
      <c r="I51" s="1563" t="s">
        <v>1264</v>
      </c>
      <c r="J51" s="1564">
        <f>IF(J49="",J50,J49+J50-YEAR('数据-取费表'!B2))</f>
        <v>37</v>
      </c>
      <c r="K51" s="1565" t="s">
        <v>1265</v>
      </c>
      <c r="L51" s="1566">
        <f ca="1">ROUND(-PV(INDIRECT("'数据-取费表'!h"&amp;$G$1),J51,(C39-C13*C76),0),0)</f>
        <v>47240</v>
      </c>
      <c r="M51" s="1567"/>
      <c r="O51" s="1559" t="s">
        <v>831</v>
      </c>
      <c r="P51" s="1550" t="s">
        <v>1266</v>
      </c>
      <c r="Q51" s="1562">
        <f>J52</f>
        <v>6.5000000000000002E-2</v>
      </c>
      <c r="R51" s="1551"/>
    </row>
    <row r="52" spans="1:18" s="1515" customFormat="1" ht="13.5" thickBot="1">
      <c r="A52" s="1086"/>
      <c r="B52" s="1088"/>
      <c r="C52" s="1089"/>
      <c r="D52" s="1062"/>
      <c r="E52" s="1090" t="s">
        <v>1132</v>
      </c>
      <c r="F52" s="1162"/>
      <c r="I52" s="1568" t="s">
        <v>1267</v>
      </c>
      <c r="J52" s="3476">
        <v>6.5000000000000002E-2</v>
      </c>
      <c r="K52" s="1568" t="s">
        <v>1268</v>
      </c>
      <c r="L52" s="1569"/>
      <c r="O52" s="1559" t="s">
        <v>832</v>
      </c>
      <c r="P52" s="1550" t="s">
        <v>1269</v>
      </c>
      <c r="Q52" s="1551">
        <f ca="1">J53</f>
        <v>42.61</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42.61</v>
      </c>
      <c r="K53" s="3721" t="s">
        <v>1272</v>
      </c>
      <c r="L53" s="3722"/>
      <c r="O53" s="1549" t="s">
        <v>833</v>
      </c>
      <c r="P53" s="1550" t="s">
        <v>1273</v>
      </c>
      <c r="Q53" s="1551">
        <f ca="1">Q47+Q48</f>
        <v>63655</v>
      </c>
      <c r="R53" s="1551" t="s">
        <v>834</v>
      </c>
    </row>
    <row r="54" spans="1:18" s="1515" customFormat="1" ht="13.5" thickBot="1">
      <c r="A54" s="1264"/>
      <c r="B54" s="1498" t="s">
        <v>1112</v>
      </c>
      <c r="C54" s="1068"/>
      <c r="D54" s="1497"/>
      <c r="E54" s="1505"/>
      <c r="F54" s="1571"/>
      <c r="I54" s="1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15253</v>
      </c>
      <c r="D56" s="1578"/>
      <c r="E56" s="1579"/>
      <c r="F56" s="1571"/>
      <c r="I56" s="1580" t="s">
        <v>1278</v>
      </c>
      <c r="J56" s="1581" t="s">
        <v>3661</v>
      </c>
      <c r="K56" s="1552" t="s">
        <v>1279</v>
      </c>
      <c r="L56" s="1555">
        <f ca="1">IF(L48&lt;J51,"——",L48-J53)</f>
        <v>0</v>
      </c>
      <c r="O56" s="1549" t="s">
        <v>827</v>
      </c>
      <c r="P56" s="1550" t="s">
        <v>1252</v>
      </c>
      <c r="Q56" s="1551">
        <f ca="1">C40+J29</f>
        <v>63655</v>
      </c>
      <c r="R56" s="1551" t="s">
        <v>1253</v>
      </c>
    </row>
    <row r="57" spans="1:18" s="1515" customFormat="1" ht="24.75" thickBot="1">
      <c r="A57" s="1582"/>
      <c r="B57" s="1059" t="s">
        <v>1202</v>
      </c>
      <c r="C57" s="244">
        <f ca="1">C29</f>
        <v>20337</v>
      </c>
      <c r="D57" s="1583"/>
      <c r="E57" s="1584"/>
      <c r="F57" s="1585"/>
      <c r="I57" s="1586" t="s">
        <v>1280</v>
      </c>
      <c r="J57" s="1587" t="str">
        <f ca="1">IF(OR(M47="住宅",J51&lt;L48,J56="是"),"——",J51-L48)</f>
        <v>——</v>
      </c>
      <c r="K57" s="1552" t="s">
        <v>1281</v>
      </c>
      <c r="L57" s="1555">
        <f ca="1">IF(L48&lt;J51,"——",IF(L55="比较法",L49,IF(L55="基准地价",L50,L51)))</f>
        <v>47240</v>
      </c>
      <c r="O57" s="1549" t="s">
        <v>828</v>
      </c>
      <c r="P57" s="1550" t="s">
        <v>1282</v>
      </c>
      <c r="Q57" s="1551">
        <f ca="1">L60</f>
        <v>0</v>
      </c>
      <c r="R57" s="1551" t="s">
        <v>1283</v>
      </c>
    </row>
    <row r="58" spans="1:18" s="1515" customFormat="1" ht="24.75" thickBot="1">
      <c r="A58" s="321" t="s">
        <v>817</v>
      </c>
      <c r="B58" s="1067" t="s">
        <v>1148</v>
      </c>
      <c r="C58" s="322">
        <f ca="1">ROUND(C59+C64+C65+C66,0)</f>
        <v>1934</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1715</v>
      </c>
      <c r="D59" s="1072" t="s">
        <v>1154</v>
      </c>
      <c r="E59" s="1073" t="s">
        <v>1155</v>
      </c>
      <c r="F59" s="2479"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1708.31</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6.8</v>
      </c>
      <c r="D62" s="1074" t="s">
        <v>1221</v>
      </c>
      <c r="E62" s="1059" t="s">
        <v>1222</v>
      </c>
      <c r="F62" s="331">
        <f t="shared" si="0"/>
        <v>12</v>
      </c>
      <c r="I62" s="1593" t="s">
        <v>1294</v>
      </c>
      <c r="J62" s="1594" t="s">
        <v>1295</v>
      </c>
      <c r="K62" s="1594" t="s">
        <v>1296</v>
      </c>
      <c r="L62" s="1594" t="s">
        <v>1297</v>
      </c>
      <c r="M62" s="1595" t="s">
        <v>1298</v>
      </c>
      <c r="O62" s="1549" t="s">
        <v>833</v>
      </c>
      <c r="P62" s="1550" t="s">
        <v>1299</v>
      </c>
      <c r="Q62" s="1551">
        <f ca="1">Q56+Q57</f>
        <v>63655</v>
      </c>
      <c r="R62" s="1551" t="s">
        <v>834</v>
      </c>
    </row>
    <row r="63" spans="1:18" s="1515" customFormat="1" ht="13.5" thickBot="1">
      <c r="A63" s="332"/>
      <c r="B63" s="1065"/>
      <c r="C63" s="29"/>
      <c r="D63" s="1075"/>
      <c r="E63" s="1059" t="s">
        <v>1223</v>
      </c>
      <c r="F63" s="309">
        <f t="shared" ca="1" si="0"/>
        <v>5665.04</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ROUND(C57*F64,1)</f>
        <v>203.4</v>
      </c>
      <c r="D64" s="1073" t="s">
        <v>1226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15.3</v>
      </c>
      <c r="D65" s="1073" t="s">
        <v>1178</v>
      </c>
      <c r="E65" s="1059" t="s">
        <v>1179</v>
      </c>
      <c r="F65" s="336">
        <f t="shared" ca="1" si="0"/>
        <v>1E-3</v>
      </c>
      <c r="I65" s="1593" t="s">
        <v>1303</v>
      </c>
      <c r="J65" s="1594">
        <v>40</v>
      </c>
      <c r="K65" s="1594">
        <v>30</v>
      </c>
      <c r="L65" s="1594">
        <v>50</v>
      </c>
      <c r="M65" s="1596">
        <v>0.02</v>
      </c>
      <c r="O65" s="1549" t="s">
        <v>827</v>
      </c>
      <c r="P65" s="1550" t="s">
        <v>1304</v>
      </c>
      <c r="Q65" s="1551">
        <f ca="1">C40+J29</f>
        <v>63655</v>
      </c>
      <c r="R65" s="1551" t="s">
        <v>1253</v>
      </c>
    </row>
    <row r="66" spans="1:18" s="1515" customFormat="1" ht="16.5" thickBot="1">
      <c r="A66" s="1091" t="s">
        <v>1228</v>
      </c>
      <c r="B66" s="1059" t="s">
        <v>1163</v>
      </c>
      <c r="C66" s="24">
        <f ca="1">ROUND(C48*F66,1)</f>
        <v>0</v>
      </c>
      <c r="D66" s="1073" t="s">
        <v>1229</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-1934</v>
      </c>
      <c r="D67" s="1072" t="s">
        <v>1188</v>
      </c>
      <c r="E67" s="1077"/>
      <c r="F67" s="1078"/>
      <c r="O67" s="1559" t="s">
        <v>829</v>
      </c>
      <c r="P67" s="1550" t="s">
        <v>1286</v>
      </c>
      <c r="Q67" s="1597">
        <f ca="1">L51</f>
        <v>47240</v>
      </c>
      <c r="R67" s="1551" t="s">
        <v>1306</v>
      </c>
    </row>
    <row r="68" spans="1:18" s="1515" customFormat="1" ht="16.5" thickBot="1">
      <c r="A68" s="1056" t="s">
        <v>819</v>
      </c>
      <c r="B68" s="1057" t="s">
        <v>1209</v>
      </c>
      <c r="C68" s="307">
        <f ca="1">ROUND(C67*(1-((1+F70)/(1+F68))^F69)/(F68-F70),0)</f>
        <v>-36391</v>
      </c>
      <c r="D68" s="1074" t="s">
        <v>1193</v>
      </c>
      <c r="E68" s="1059" t="s">
        <v>1194</v>
      </c>
      <c r="F68" s="318">
        <f ca="1">F40</f>
        <v>4.4999999999999998E-2</v>
      </c>
      <c r="O68" s="1559" t="s">
        <v>830</v>
      </c>
      <c r="P68" s="1598" t="s">
        <v>1307</v>
      </c>
      <c r="Q68" s="1551">
        <f ca="1">ROUND(Q69-Q70*Q71,0)</f>
        <v>2468</v>
      </c>
      <c r="R68" s="1551" t="s">
        <v>838</v>
      </c>
    </row>
    <row r="69" spans="1:18" s="1515" customFormat="1" ht="13.5" thickBot="1">
      <c r="A69" s="1060"/>
      <c r="B69" s="1061"/>
      <c r="C69" s="312"/>
      <c r="D69" s="1079" t="s">
        <v>1197</v>
      </c>
      <c r="E69" s="1059" t="s">
        <v>1198</v>
      </c>
      <c r="F69" s="339">
        <f ca="1">F41</f>
        <v>42.61</v>
      </c>
      <c r="O69" s="1559" t="s">
        <v>835</v>
      </c>
      <c r="P69" s="1598" t="s">
        <v>1308</v>
      </c>
      <c r="Q69" s="1551">
        <f ca="1">C39</f>
        <v>3383</v>
      </c>
      <c r="R69" s="1551" t="s">
        <v>1253</v>
      </c>
    </row>
    <row r="70" spans="1:18" s="1515" customFormat="1" ht="13.5" thickBot="1">
      <c r="A70" s="1063"/>
      <c r="B70" s="1064"/>
      <c r="C70" s="316"/>
      <c r="D70" s="1075"/>
      <c r="E70" s="1059" t="s">
        <v>1201</v>
      </c>
      <c r="F70" s="1162"/>
      <c r="O70" s="1559" t="s">
        <v>836</v>
      </c>
      <c r="P70" s="1598" t="s">
        <v>1309</v>
      </c>
      <c r="Q70" s="1551">
        <f ca="1">C13</f>
        <v>15253</v>
      </c>
      <c r="R70" s="1551" t="s">
        <v>1253</v>
      </c>
    </row>
    <row r="71" spans="1:18" s="1515" customFormat="1" ht="13.5" thickBot="1">
      <c r="A71" s="1080" t="s">
        <v>820</v>
      </c>
      <c r="B71" s="1081" t="s">
        <v>1211</v>
      </c>
      <c r="C71" s="342">
        <f ca="1">ROUND(C68*10000/F71,0)</f>
        <v>-12083</v>
      </c>
      <c r="D71" s="1082" t="s">
        <v>1212</v>
      </c>
      <c r="E71" s="1083" t="s">
        <v>1213</v>
      </c>
      <c r="F71" s="345">
        <f ca="1">F43</f>
        <v>30117.4</v>
      </c>
      <c r="O71" s="1559" t="s">
        <v>837</v>
      </c>
      <c r="P71" s="1598" t="s">
        <v>1310</v>
      </c>
      <c r="Q71" s="1562">
        <f ca="1">C76</f>
        <v>0.06</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915</v>
      </c>
      <c r="D75" s="1515"/>
      <c r="E75" s="1515"/>
      <c r="F75" s="1515"/>
      <c r="K75" s="1533"/>
      <c r="L75" s="1515"/>
      <c r="O75" s="1549" t="s">
        <v>833</v>
      </c>
      <c r="P75" s="1550" t="s">
        <v>1273</v>
      </c>
      <c r="Q75" s="1551">
        <f ca="1">Q65+Q66</f>
        <v>63655</v>
      </c>
      <c r="R75" s="1551" t="s">
        <v>834</v>
      </c>
    </row>
    <row r="76" spans="1:18">
      <c r="B76" s="348" t="s">
        <v>1231</v>
      </c>
      <c r="C76" s="349">
        <f ca="1">INDIRECT("'数据-取费表'!j"&amp;$G$1)</f>
        <v>0.06</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0.73</v>
      </c>
    </row>
    <row r="80" spans="1:18">
      <c r="B80" s="346" t="s">
        <v>1235</v>
      </c>
      <c r="C80" s="280">
        <f ca="1">ROUND(C75/C39,3)</f>
        <v>0.27</v>
      </c>
    </row>
    <row r="81" spans="2:3">
      <c r="B81" s="276" t="s">
        <v>1236</v>
      </c>
      <c r="C81" s="244"/>
    </row>
    <row r="82" spans="2:3">
      <c r="B82" s="279" t="s">
        <v>1237</v>
      </c>
      <c r="C82" s="281">
        <f ca="1">1-C83</f>
        <v>0.76</v>
      </c>
    </row>
    <row r="83" spans="2:3">
      <c r="B83" s="279" t="s">
        <v>1238</v>
      </c>
      <c r="C83" s="280">
        <f ca="1">ROUND(C13/C40,3)</f>
        <v>0.24</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c r="D1" s="1493"/>
      <c r="E1" s="1494" t="s">
        <v>1111</v>
      </c>
      <c r="F1" s="1170">
        <f ca="1">J53</f>
        <v>0</v>
      </c>
      <c r="G1" s="1509">
        <f>MATCH(C1,'数据-取费表'!A6:A16,0)+5</f>
        <v>8</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0"/>
      <c r="H2" s="2869"/>
      <c r="I2" s="2869"/>
      <c r="J2" s="2869"/>
      <c r="K2" s="2870"/>
      <c r="L2" s="2869"/>
      <c r="M2" s="2869"/>
    </row>
    <row r="3" spans="1:37" ht="18" customHeight="1" thickBot="1">
      <c r="A3" s="1521" t="s">
        <v>1317</v>
      </c>
      <c r="B3" s="1522">
        <f ca="1">IF(ISERROR(D2/F43),0,ROUND(D2/F43,0))</f>
        <v>0</v>
      </c>
      <c r="C3" s="1518" t="s">
        <v>1318</v>
      </c>
      <c r="D3" s="1518"/>
      <c r="E3" s="1519"/>
      <c r="F3" s="1520"/>
      <c r="G3" s="2880"/>
      <c r="H3" s="689" t="s">
        <v>1312</v>
      </c>
      <c r="I3" s="1513"/>
      <c r="J3" s="1513"/>
      <c r="K3" s="1514"/>
      <c r="L3" s="1513"/>
      <c r="M3" s="1513"/>
    </row>
    <row r="4" spans="1:37" ht="18" customHeight="1">
      <c r="A4" s="301" t="s">
        <v>1319</v>
      </c>
      <c r="B4" s="302" t="s">
        <v>1320</v>
      </c>
      <c r="C4" s="302" t="s">
        <v>1321</v>
      </c>
      <c r="D4" s="302" t="s">
        <v>1322</v>
      </c>
      <c r="E4" s="303" t="s">
        <v>1323</v>
      </c>
      <c r="F4" s="304"/>
      <c r="G4" s="1515"/>
      <c r="H4" s="301" t="s">
        <v>1319</v>
      </c>
      <c r="I4" s="302" t="s">
        <v>1320</v>
      </c>
      <c r="J4" s="302" t="s">
        <v>1321</v>
      </c>
      <c r="K4" s="302" t="s">
        <v>1322</v>
      </c>
      <c r="L4" s="303" t="s">
        <v>1323</v>
      </c>
      <c r="M4" s="304"/>
    </row>
    <row r="5" spans="1:37" ht="18" customHeight="1">
      <c r="A5" s="305">
        <v>1</v>
      </c>
      <c r="B5" s="306" t="s">
        <v>1324</v>
      </c>
      <c r="C5" s="1179">
        <f ca="1">C6+C10+C12</f>
        <v>0</v>
      </c>
      <c r="D5" s="1495" t="s">
        <v>1325</v>
      </c>
      <c r="E5" s="1180"/>
      <c r="F5" s="1181"/>
      <c r="G5" s="1515"/>
      <c r="H5" s="305">
        <v>1</v>
      </c>
      <c r="I5" s="306" t="s">
        <v>1324</v>
      </c>
      <c r="J5" s="1179">
        <f ca="1">J6+J10+J12</f>
        <v>0</v>
      </c>
      <c r="K5" s="1495" t="s">
        <v>1325</v>
      </c>
      <c r="L5" s="1180"/>
      <c r="M5" s="1181"/>
    </row>
    <row r="6" spans="1:37" ht="18" customHeight="1">
      <c r="A6" s="1178" t="s">
        <v>822</v>
      </c>
      <c r="B6" s="3723" t="s">
        <v>1127</v>
      </c>
      <c r="C6" s="1183">
        <f ca="1">ROUND(F6*F8*F7*(1-F9),0)</f>
        <v>0</v>
      </c>
      <c r="D6" s="160" t="s">
        <v>2605</v>
      </c>
      <c r="E6" s="308" t="s">
        <v>1129</v>
      </c>
      <c r="F6" s="309">
        <f ca="1">INDIRECT("'数据-取费表'!u"&amp;$G$1)</f>
        <v>0</v>
      </c>
      <c r="G6" s="1515"/>
      <c r="H6" s="1178" t="s">
        <v>822</v>
      </c>
      <c r="I6" s="3723" t="s">
        <v>1127</v>
      </c>
      <c r="J6" s="307">
        <f ca="1">ROUND(M6*M8*M7*(1-M9),0)</f>
        <v>0</v>
      </c>
      <c r="K6" s="1507" t="s">
        <v>2606</v>
      </c>
      <c r="L6" s="308" t="s">
        <v>1129</v>
      </c>
      <c r="M6" s="309">
        <f ca="1">INDIRECT("'数据-取费表'!z"&amp;$G$1)</f>
        <v>0</v>
      </c>
    </row>
    <row r="7" spans="1:37" ht="18" customHeight="1">
      <c r="A7" s="1182"/>
      <c r="B7" s="3724"/>
      <c r="C7" s="1184"/>
      <c r="D7" s="313"/>
      <c r="E7" s="1185" t="s">
        <v>1130</v>
      </c>
      <c r="F7" s="309">
        <f ca="1">IF(INDIRECT("'数据-取费表'!ah"&amp;$G$1)="",INDIRECT("'数据-取费表'!k"&amp;$G$1),INDIRECT("'数据-取费表'!ah"&amp;$G$1))</f>
        <v>0</v>
      </c>
      <c r="G7" s="1515"/>
      <c r="H7" s="310"/>
      <c r="I7" s="3724"/>
      <c r="J7" s="312"/>
      <c r="K7" s="313"/>
      <c r="L7" s="308" t="s">
        <v>1130</v>
      </c>
      <c r="M7" s="309">
        <f ca="1">F7</f>
        <v>0</v>
      </c>
    </row>
    <row r="8" spans="1:37" ht="18" customHeight="1">
      <c r="A8" s="310"/>
      <c r="B8" s="3724"/>
      <c r="C8" s="312"/>
      <c r="D8" s="313"/>
      <c r="E8" s="308" t="s">
        <v>1131</v>
      </c>
      <c r="F8" s="309">
        <f ca="1">INDIRECT("'数据-取费表'!ai"&amp;$G$1)</f>
        <v>0</v>
      </c>
      <c r="G8" s="1515"/>
      <c r="H8" s="310"/>
      <c r="I8" s="3724"/>
      <c r="J8" s="312"/>
      <c r="K8" s="313"/>
      <c r="L8" s="308" t="s">
        <v>1131</v>
      </c>
      <c r="M8" s="309">
        <f ca="1">INDIRECT("'数据-取费表'!ai"&amp;$G$1)</f>
        <v>0</v>
      </c>
    </row>
    <row r="9" spans="1:37" ht="18" customHeight="1">
      <c r="A9" s="310"/>
      <c r="B9" s="3725"/>
      <c r="C9" s="312"/>
      <c r="D9" s="313"/>
      <c r="E9" s="308" t="s">
        <v>1132</v>
      </c>
      <c r="F9" s="318">
        <f ca="1">INDIRECT("'数据-取费表'!w"&amp;$G$1)</f>
        <v>0</v>
      </c>
      <c r="G9" s="1515"/>
      <c r="H9" s="310"/>
      <c r="I9" s="372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c r="G10" s="1515"/>
      <c r="H10" s="1178" t="s">
        <v>826</v>
      </c>
      <c r="I10" s="1496" t="s">
        <v>1133</v>
      </c>
      <c r="J10" s="307">
        <f ca="1">ROUND(IF(M10="押一",J6/12*M11,IF(M10="押二",J6/12*2*M11,IF(M10="押三",J6/12*3*M11,J11*M11))),0)</f>
        <v>0</v>
      </c>
      <c r="K10" s="1508" t="s">
        <v>2617</v>
      </c>
      <c r="L10" s="319" t="s">
        <v>1134</v>
      </c>
      <c r="M10" s="1225"/>
    </row>
    <row r="11" spans="1:37" ht="18" customHeight="1">
      <c r="A11" s="314"/>
      <c r="B11" s="1498" t="s">
        <v>1326</v>
      </c>
      <c r="C11" s="1068"/>
      <c r="D11" s="313"/>
      <c r="E11" s="319" t="s">
        <v>1136</v>
      </c>
      <c r="F11" s="320">
        <f ca="1">'数据-取费表'!B39</f>
        <v>1.4999999999999999E-2</v>
      </c>
      <c r="G11" s="1515"/>
      <c r="H11" s="1186"/>
      <c r="I11" s="1498" t="s">
        <v>1327</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8" t="s">
        <v>1141</v>
      </c>
      <c r="C14" s="324">
        <f ca="1">ROUND(INDIRECT("'数据-取费表'!l"&amp;$G$1)*F43+'数据-取费表'!L14*INDIRECT("'数据-取费表'!S"&amp;$G$1),0)</f>
        <v>0</v>
      </c>
      <c r="D14" s="1476" t="s">
        <v>1142</v>
      </c>
      <c r="E14" s="1473"/>
      <c r="F14" s="325"/>
      <c r="G14" s="1515"/>
      <c r="H14" s="1091" t="s">
        <v>822</v>
      </c>
      <c r="I14" s="308" t="s">
        <v>1143</v>
      </c>
      <c r="J14" s="24">
        <f ca="1">C29</f>
        <v>0</v>
      </c>
      <c r="K14" s="15"/>
      <c r="L14" s="894"/>
      <c r="M14" s="895"/>
    </row>
    <row r="15" spans="1:37" s="1528" customFormat="1" ht="18" customHeight="1" thickBot="1">
      <c r="A15" s="1091" t="s">
        <v>823</v>
      </c>
      <c r="B15" s="308" t="s">
        <v>1144</v>
      </c>
      <c r="C15" s="24">
        <f ca="1">ROUND(C14*F15,0)</f>
        <v>0</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5"/>
      <c r="H16" s="1188" t="s">
        <v>817</v>
      </c>
      <c r="I16" s="1189" t="s">
        <v>1148</v>
      </c>
      <c r="J16" s="316">
        <f ca="1">ROUND(J17+J22+J23+J24,0)</f>
        <v>0</v>
      </c>
      <c r="K16" s="1196" t="s">
        <v>1149</v>
      </c>
      <c r="L16" s="1197"/>
      <c r="M16" s="1181"/>
    </row>
    <row r="17" spans="1:37" s="1528" customFormat="1" ht="18" customHeight="1">
      <c r="A17" s="1091" t="s">
        <v>1114</v>
      </c>
      <c r="B17" s="308" t="s">
        <v>1150</v>
      </c>
      <c r="C17" s="24">
        <f ca="1">ROUND(F17*(F43+INDIRECT("'数据-取费表'!S"&amp;$G$1)),0)</f>
        <v>0</v>
      </c>
      <c r="D17" s="308" t="s">
        <v>1151</v>
      </c>
      <c r="E17" s="308" t="s">
        <v>1152</v>
      </c>
      <c r="F17" s="26">
        <f>'数据-取费表'!B35</f>
        <v>200</v>
      </c>
      <c r="G17" s="1527"/>
      <c r="H17" s="1091" t="s">
        <v>822</v>
      </c>
      <c r="I17" s="308" t="s">
        <v>1153</v>
      </c>
      <c r="J17" s="2480">
        <f ca="1">ROUND(IF(AND(项目基本情况!B11="自然人",项目基本情况!B10="北京市"),J6*M17/(1+'数据-取费表'!C42),J18+J19+J20),0)</f>
        <v>0</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0</v>
      </c>
      <c r="D18" s="308" t="s">
        <v>1145</v>
      </c>
      <c r="E18" s="308" t="s">
        <v>1146</v>
      </c>
      <c r="F18" s="328">
        <f>'数据-取费表'!B36</f>
        <v>1.4999999999999999E-2</v>
      </c>
      <c r="G18" s="1527"/>
      <c r="H18" s="1091" t="s">
        <v>821</v>
      </c>
      <c r="I18" s="308" t="s">
        <v>1157</v>
      </c>
      <c r="J18" s="24">
        <f ca="1">ROUND(J6*M18/(1+'数据-取费表'!C42),0)</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0</v>
      </c>
      <c r="D19" s="136" t="s">
        <v>1160</v>
      </c>
      <c r="E19" s="1491"/>
      <c r="F19" s="26"/>
      <c r="G19" s="1515"/>
      <c r="H19" s="1091" t="s">
        <v>823</v>
      </c>
      <c r="I19" s="308" t="s">
        <v>1161</v>
      </c>
      <c r="J19" s="24">
        <f ca="1">IF(K19="按租金收入计税",ROUND(J6*M19/(1+'数据-取费表'!C42),0),ROUND(C29*M19*0.7,0))</f>
        <v>0</v>
      </c>
      <c r="K19" s="1501" t="s">
        <v>1162</v>
      </c>
      <c r="L19" s="308" t="s">
        <v>1146</v>
      </c>
      <c r="M19" s="328">
        <f>IF(K19="按租金收入计税",'数据-取费表'!B51,'数据-取费表'!B50)</f>
        <v>1.2E-2</v>
      </c>
    </row>
    <row r="20" spans="1:37" s="1528" customFormat="1" ht="18" customHeight="1">
      <c r="A20" s="1091" t="s">
        <v>826</v>
      </c>
      <c r="B20" s="308" t="s">
        <v>1163</v>
      </c>
      <c r="C20" s="24">
        <f ca="1">ROUND(C19*F20,0)</f>
        <v>0</v>
      </c>
      <c r="D20" s="329" t="s">
        <v>1164</v>
      </c>
      <c r="E20" s="308" t="s">
        <v>1146</v>
      </c>
      <c r="F20" s="328">
        <f>'数据-取费表'!B37</f>
        <v>0.02</v>
      </c>
      <c r="G20" s="1527"/>
      <c r="H20" s="1091" t="s">
        <v>1113</v>
      </c>
      <c r="I20" s="160" t="s">
        <v>1165</v>
      </c>
      <c r="J20" s="25">
        <f ca="1">ROUND(M20*M21,0)</f>
        <v>0</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v>
      </c>
      <c r="D21" s="329" t="s">
        <v>1169</v>
      </c>
      <c r="E21" s="308" t="s">
        <v>1170</v>
      </c>
      <c r="F21" s="328">
        <f>'数据-取费表'!B38</f>
        <v>0.02</v>
      </c>
      <c r="G21" s="1527"/>
      <c r="H21" s="332"/>
      <c r="I21" s="317"/>
      <c r="J21" s="29"/>
      <c r="K21" s="333"/>
      <c r="L21" s="308" t="s">
        <v>1171</v>
      </c>
      <c r="M21" s="309">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ROUND(J14*M22,0)</f>
        <v>0</v>
      </c>
      <c r="K22" s="1475" t="s">
        <v>1174</v>
      </c>
      <c r="L22" s="308" t="s">
        <v>1146</v>
      </c>
      <c r="M22" s="334">
        <f ca="1">INDIRECT("'数据-取费表'!Ak"&amp;$G$1)</f>
        <v>0</v>
      </c>
    </row>
    <row r="23" spans="1:37" s="1528"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ROUND(J13*M23,0)</f>
        <v>0</v>
      </c>
      <c r="K23" s="1475" t="s">
        <v>1178</v>
      </c>
      <c r="L23" s="308" t="s">
        <v>1179</v>
      </c>
      <c r="M23" s="336">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8" t="s">
        <v>1185</v>
      </c>
      <c r="C25" s="24"/>
      <c r="D25" s="136" t="s">
        <v>1186</v>
      </c>
      <c r="E25" s="1491"/>
      <c r="F25" s="26"/>
      <c r="G25" s="1515"/>
      <c r="H25" s="1188" t="s">
        <v>818</v>
      </c>
      <c r="I25" s="1203" t="s">
        <v>1187</v>
      </c>
      <c r="J25" s="316">
        <f ca="1">J5-J16</f>
        <v>0</v>
      </c>
      <c r="K25" s="1204" t="s">
        <v>1188</v>
      </c>
      <c r="L25" s="1205"/>
      <c r="M25" s="1206"/>
    </row>
    <row r="26" spans="1:37" ht="18" customHeight="1">
      <c r="A26" s="1091" t="s">
        <v>821</v>
      </c>
      <c r="B26" s="308" t="s">
        <v>1189</v>
      </c>
      <c r="C26" s="24">
        <f ca="1">ROUND((C19+C20)*F26,0)</f>
        <v>0</v>
      </c>
      <c r="D26" s="329" t="s">
        <v>1190</v>
      </c>
      <c r="E26" s="319" t="s">
        <v>1191</v>
      </c>
      <c r="F26" s="318">
        <f ca="1">INDIRECT("'数据-取费表'!q"&amp;$G$1)</f>
        <v>0</v>
      </c>
      <c r="G26" s="1515"/>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40" t="s">
        <v>820</v>
      </c>
      <c r="I29" s="341" t="s">
        <v>1203</v>
      </c>
      <c r="J29" s="342">
        <f ca="1">ROUND(J26/(1+F40)^F41,0)</f>
        <v>0</v>
      </c>
      <c r="K29" s="343" t="s">
        <v>1204</v>
      </c>
      <c r="L29" s="344"/>
      <c r="M29" s="345">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0</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IF(项目基本情况!B11="自然人","——",ROUND(C6*F32/(1+'数据-取费表'!C42),0))</f>
        <v>0</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0</v>
      </c>
      <c r="D33" s="1501" t="s">
        <v>1162</v>
      </c>
      <c r="E33" s="308" t="s">
        <v>1146</v>
      </c>
      <c r="F33" s="328">
        <f>IF(D33="按票据","——",IF(D33="按租金收入计税",'数据-取费表'!B51,'数据-取费表'!B50))</f>
        <v>1.2E-2</v>
      </c>
      <c r="G33" s="1515"/>
      <c r="H33" s="2874"/>
      <c r="I33" s="1529"/>
      <c r="J33" s="1530"/>
      <c r="K33" s="2875"/>
      <c r="L33" s="2874"/>
      <c r="M33" s="2874"/>
    </row>
    <row r="34" spans="1:18" ht="18" customHeight="1">
      <c r="A34" s="1178" t="s">
        <v>1113</v>
      </c>
      <c r="B34" s="160" t="s">
        <v>1165</v>
      </c>
      <c r="C34" s="25">
        <f ca="1">IF(项目基本情况!B11="自然人","——",ROUND(F34*F35,))</f>
        <v>0</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0</v>
      </c>
      <c r="G35" s="1515"/>
      <c r="H35" s="2871"/>
      <c r="I35" s="1529"/>
      <c r="J35" s="1530"/>
      <c r="K35" s="2875"/>
      <c r="L35" s="2874"/>
      <c r="M35" s="2874"/>
    </row>
    <row r="36" spans="1:18" ht="18" customHeight="1">
      <c r="A36" s="1211" t="s">
        <v>826</v>
      </c>
      <c r="B36" s="308" t="s">
        <v>1173</v>
      </c>
      <c r="C36" s="24">
        <f ca="1">ROUND(C29*F36,0)</f>
        <v>0</v>
      </c>
      <c r="D36" s="1475" t="s">
        <v>1206</v>
      </c>
      <c r="E36" s="308" t="s">
        <v>1146</v>
      </c>
      <c r="F36" s="334">
        <f ca="1">INDIRECT("'数据-取费表'!Ak"&amp;$G$1)</f>
        <v>0</v>
      </c>
      <c r="G36" s="1515"/>
      <c r="H36" s="2874"/>
      <c r="I36" s="1529"/>
      <c r="J36" s="1530"/>
      <c r="K36" s="2715"/>
      <c r="L36" s="2874"/>
      <c r="M36" s="2874"/>
    </row>
    <row r="37" spans="1:18" ht="18" customHeight="1">
      <c r="A37" s="1091" t="s">
        <v>862</v>
      </c>
      <c r="B37" s="308" t="s">
        <v>1177</v>
      </c>
      <c r="C37" s="24">
        <f ca="1">ROUND(C13*F37,0)</f>
        <v>0</v>
      </c>
      <c r="D37" s="1475" t="s">
        <v>1178</v>
      </c>
      <c r="E37" s="308" t="s">
        <v>1179</v>
      </c>
      <c r="F37" s="336">
        <f ca="1">INDIRECT("'数据-取费表'!Al"&amp;$G$1)</f>
        <v>0</v>
      </c>
      <c r="G37" s="1515"/>
      <c r="H37" s="2874"/>
      <c r="I37" s="1529"/>
      <c r="J37" s="1530"/>
      <c r="K37" s="2715"/>
      <c r="L37" s="2874"/>
      <c r="M37" s="2874"/>
    </row>
    <row r="38" spans="1:18" ht="18" customHeight="1" thickBot="1">
      <c r="A38" s="1198" t="s">
        <v>1117</v>
      </c>
      <c r="B38" s="1199" t="s">
        <v>1163</v>
      </c>
      <c r="C38" s="1200">
        <f ca="1">ROUND(C5*F38,1)</f>
        <v>0</v>
      </c>
      <c r="D38" s="1201" t="s">
        <v>1183</v>
      </c>
      <c r="E38" s="1199" t="s">
        <v>1179</v>
      </c>
      <c r="F38" s="1195">
        <f ca="1">INDIRECT("'数据-取费表'!Am"&amp;$G$1)</f>
        <v>0</v>
      </c>
      <c r="G38" s="1515"/>
      <c r="H38" s="2874"/>
      <c r="I38" s="1529"/>
      <c r="J38" s="1530"/>
      <c r="K38" s="2878"/>
      <c r="L38" s="2874"/>
      <c r="M38" s="2874"/>
    </row>
    <row r="39" spans="1:18" ht="24.6" customHeight="1" thickTop="1">
      <c r="A39" s="1188" t="s">
        <v>818</v>
      </c>
      <c r="B39" s="1203" t="s">
        <v>1207</v>
      </c>
      <c r="C39" s="316">
        <f ca="1">C5-C30</f>
        <v>0</v>
      </c>
      <c r="D39" s="1204" t="s">
        <v>1208</v>
      </c>
      <c r="E39" s="1205"/>
      <c r="F39" s="1206"/>
      <c r="G39" s="1515"/>
      <c r="H39" s="2874"/>
      <c r="I39" s="1529"/>
      <c r="J39" s="1530"/>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0</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t="e">
        <f ca="1">ROUND(C40/F43,0)</f>
        <v>#DIV/0!</v>
      </c>
      <c r="D43" s="343" t="s">
        <v>1212</v>
      </c>
      <c r="E43" s="344" t="s">
        <v>1213</v>
      </c>
      <c r="F43" s="345">
        <f ca="1">INDIRECT("'数据-取费表'!k"&amp;$G$1)</f>
        <v>0</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6"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9">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9" t="s">
        <v>1133</v>
      </c>
      <c r="C53" s="322">
        <f ca="1">ROUND(IF(F53="押一",C49/12*F11,IF(F53="押二",C49/12*2*F11,IF(F53="押三",C49/12*3*F11,C54*F11))),0)</f>
        <v>0</v>
      </c>
      <c r="D53" s="1497" t="s">
        <v>2618</v>
      </c>
      <c r="E53" s="319" t="s">
        <v>1134</v>
      </c>
      <c r="F53" s="1225"/>
      <c r="I53" s="1570" t="s">
        <v>1271</v>
      </c>
      <c r="J53" s="2332">
        <f ca="1">IF(M47="住宅",IF(D1="——",MAX(J51,L48),MAX(J51,L48-'数据-取费表'!B24)),IF(D1="——",MIN(J51,L48),MIN(J51,L48-'数据-取费表'!B24)))</f>
        <v>0</v>
      </c>
      <c r="K53" s="3721" t="s">
        <v>1272</v>
      </c>
      <c r="L53" s="3722"/>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8">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4">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1" t="s">
        <v>817</v>
      </c>
      <c r="B58" s="1067" t="s">
        <v>1148</v>
      </c>
      <c r="C58" s="322">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0</v>
      </c>
      <c r="D59" s="1072" t="s">
        <v>1154</v>
      </c>
      <c r="E59" s="1073" t="s">
        <v>1155</v>
      </c>
      <c r="F59" s="2479"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IF(项目基本情况!B11="自然人","——",IF(D61="按租金收入计税",ROUND(C49*F61/(1+'数据-取费表'!C42),0),IF(D61="按房产原值计税",ROUND(C57*F61*0.7,0),INDIRECT("'数据-取费表'!Aj"&amp;$G$1))))</f>
        <v>0</v>
      </c>
      <c r="D61" s="1501" t="s">
        <v>1162</v>
      </c>
      <c r="E61" s="1059" t="s">
        <v>1218</v>
      </c>
      <c r="F61" s="328">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IF(项目基本情况!B11="自然人","——",ROUND(F62*F63,0))</f>
        <v>0</v>
      </c>
      <c r="D62" s="1074" t="s">
        <v>1221</v>
      </c>
      <c r="E62" s="1059" t="s">
        <v>1222</v>
      </c>
      <c r="F62" s="331">
        <f t="shared" si="0"/>
        <v>12</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2"/>
      <c r="B63" s="1065"/>
      <c r="C63" s="29"/>
      <c r="D63" s="1075"/>
      <c r="E63" s="1059" t="s">
        <v>1223</v>
      </c>
      <c r="F63" s="309">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ROUND(C57*F64,0)</f>
        <v>0</v>
      </c>
      <c r="D64" s="1073" t="s">
        <v>1226</v>
      </c>
      <c r="E64" s="1059" t="s">
        <v>1218</v>
      </c>
      <c r="F64" s="334">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ROUND(C56*F65,0)</f>
        <v>0</v>
      </c>
      <c r="D65" s="1073" t="s">
        <v>1178</v>
      </c>
      <c r="E65" s="1059" t="s">
        <v>1179</v>
      </c>
      <c r="F65" s="336">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4">
        <f ca="1">ROUND(C48*F66,0)</f>
        <v>0</v>
      </c>
      <c r="D66" s="1073" t="s">
        <v>1229</v>
      </c>
      <c r="E66" s="1059" t="s">
        <v>1146</v>
      </c>
      <c r="F66" s="318">
        <f t="shared" ca="1" si="0"/>
        <v>0</v>
      </c>
      <c r="O66" s="1549" t="s">
        <v>828</v>
      </c>
      <c r="P66" s="1550" t="s">
        <v>1282</v>
      </c>
      <c r="Q66" s="1551" t="e">
        <f ca="1">L60</f>
        <v>#DIV/0!</v>
      </c>
      <c r="R66" s="1551" t="s">
        <v>1305</v>
      </c>
    </row>
    <row r="67" spans="1:18" s="1515" customFormat="1" ht="16.5" thickBot="1">
      <c r="A67" s="1066" t="s">
        <v>818</v>
      </c>
      <c r="B67" s="1076" t="s">
        <v>1187</v>
      </c>
      <c r="C67" s="322">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7" t="e">
        <f ca="1">ROUND(C67*(1-((1+F70)/(1+F68))^F69)/(F68-F70),0)</f>
        <v>#DIV/0!</v>
      </c>
      <c r="D68" s="1074" t="s">
        <v>1193</v>
      </c>
      <c r="E68" s="1059" t="s">
        <v>1194</v>
      </c>
      <c r="F68" s="318">
        <f ca="1">F40</f>
        <v>0</v>
      </c>
      <c r="O68" s="1559" t="s">
        <v>830</v>
      </c>
      <c r="P68" s="1598" t="s">
        <v>1307</v>
      </c>
      <c r="Q68" s="1551">
        <f ca="1">ROUND(Q69-Q70*Q71,0)</f>
        <v>0</v>
      </c>
      <c r="R68" s="1551" t="s">
        <v>838</v>
      </c>
    </row>
    <row r="69" spans="1:18" s="1515" customFormat="1" ht="13.5" thickBot="1">
      <c r="A69" s="1060"/>
      <c r="B69" s="1061"/>
      <c r="C69" s="312"/>
      <c r="D69" s="1079" t="s">
        <v>1197</v>
      </c>
      <c r="E69" s="1059" t="s">
        <v>1198</v>
      </c>
      <c r="F69" s="339">
        <f ca="1">F41</f>
        <v>0</v>
      </c>
      <c r="O69" s="1559" t="s">
        <v>835</v>
      </c>
      <c r="P69" s="1598" t="s">
        <v>1308</v>
      </c>
      <c r="Q69" s="1551">
        <f ca="1">C39</f>
        <v>0</v>
      </c>
      <c r="R69" s="1551" t="s">
        <v>1253</v>
      </c>
    </row>
    <row r="70" spans="1:18" s="1515" customFormat="1" ht="13.5" thickBot="1">
      <c r="A70" s="1063"/>
      <c r="B70" s="1064"/>
      <c r="C70" s="316"/>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2" t="e">
        <f ca="1">ROUND(C68/F71,0)</f>
        <v>#DIV/0!</v>
      </c>
      <c r="D71" s="1082" t="s">
        <v>1212</v>
      </c>
      <c r="E71" s="1083" t="s">
        <v>1213</v>
      </c>
      <c r="F71" s="345">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6" t="s">
        <v>1230</v>
      </c>
      <c r="C75" s="347">
        <f ca="1">ROUND(C13*C76,0)</f>
        <v>0</v>
      </c>
      <c r="D75" s="1515"/>
      <c r="E75" s="1515"/>
      <c r="F75" s="1515"/>
      <c r="K75" s="1533"/>
      <c r="L75" s="1515"/>
      <c r="O75" s="1549" t="s">
        <v>833</v>
      </c>
      <c r="P75" s="1550" t="s">
        <v>1273</v>
      </c>
      <c r="Q75" s="1551" t="e">
        <f ca="1">Q65+Q66</f>
        <v>#DIV/0!</v>
      </c>
      <c r="R75" s="1551" t="s">
        <v>834</v>
      </c>
    </row>
    <row r="76" spans="1:18">
      <c r="B76" s="348" t="s">
        <v>1231</v>
      </c>
      <c r="C76" s="349">
        <f ca="1">INDIRECT("'数据-取费表'!j"&amp;$G$1)</f>
        <v>0</v>
      </c>
      <c r="I76" s="1515"/>
      <c r="J76" s="1515"/>
      <c r="K76" s="1533"/>
      <c r="L76" s="1515"/>
    </row>
    <row r="77" spans="1:18">
      <c r="B77" s="350" t="s">
        <v>1232</v>
      </c>
      <c r="C77" s="351"/>
      <c r="I77" s="1515"/>
      <c r="J77" s="1515"/>
      <c r="K77" s="1533"/>
      <c r="L77" s="1515"/>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2939</v>
      </c>
      <c r="B1" s="3008"/>
      <c r="C1" s="3020"/>
      <c r="D1" s="3020"/>
      <c r="E1" s="3009"/>
      <c r="F1" s="3010"/>
      <c r="G1" s="3011"/>
      <c r="J1" s="3014" t="s">
        <v>2818</v>
      </c>
      <c r="K1" s="3015"/>
      <c r="L1" s="3015"/>
      <c r="M1" s="3015"/>
      <c r="N1" s="3015"/>
      <c r="O1" s="3015"/>
      <c r="P1" s="3015"/>
      <c r="Q1" s="3015"/>
      <c r="R1" s="3016"/>
      <c r="S1" s="3017"/>
      <c r="T1" s="3017"/>
      <c r="U1" s="3017"/>
    </row>
    <row r="2" spans="1:22" s="3029" customFormat="1" ht="13.15" customHeight="1">
      <c r="A2" s="1516" t="s">
        <v>2819</v>
      </c>
      <c r="B2" s="3019" t="e">
        <f>C40</f>
        <v>#DIV/0!</v>
      </c>
      <c r="C2" s="3020" t="s">
        <v>2820</v>
      </c>
      <c r="D2" s="3020"/>
      <c r="E2" s="3021"/>
      <c r="F2" s="3022"/>
      <c r="G2" s="3023"/>
      <c r="H2" s="3024"/>
      <c r="I2" s="3025"/>
      <c r="J2" s="3726" t="s">
        <v>2821</v>
      </c>
      <c r="K2" s="3727"/>
      <c r="L2" s="3026" t="s">
        <v>2822</v>
      </c>
      <c r="M2" s="3026" t="s">
        <v>2823</v>
      </c>
      <c r="N2" s="3026" t="s">
        <v>2824</v>
      </c>
      <c r="O2" s="3026" t="s">
        <v>2825</v>
      </c>
      <c r="P2" s="3026" t="s">
        <v>2826</v>
      </c>
      <c r="Q2" s="3027" t="s">
        <v>2827</v>
      </c>
      <c r="R2" s="3028" t="s">
        <v>2828</v>
      </c>
      <c r="S2" s="3017"/>
      <c r="T2" s="3017"/>
      <c r="U2" s="3017"/>
      <c r="V2" s="3025"/>
    </row>
    <row r="3" spans="1:22" s="3029" customFormat="1" ht="13.15" customHeight="1">
      <c r="A3" s="3030" t="s">
        <v>2829</v>
      </c>
      <c r="B3" s="3031" t="e">
        <f>ROUND(B2*10000/B4,0)</f>
        <v>#DIV/0!</v>
      </c>
      <c r="C3" s="3020" t="s">
        <v>2830</v>
      </c>
      <c r="D3" s="3020"/>
      <c r="E3" s="3021"/>
      <c r="F3" s="3022"/>
      <c r="G3" s="3023"/>
      <c r="H3" s="3024"/>
      <c r="I3" s="3025"/>
      <c r="J3" s="3728" t="s">
        <v>2831</v>
      </c>
      <c r="K3" s="3729"/>
      <c r="L3" s="3032"/>
      <c r="M3" s="3032"/>
      <c r="N3" s="3032"/>
      <c r="O3" s="3032"/>
      <c r="P3" s="3032"/>
      <c r="Q3" s="3033"/>
      <c r="R3" s="3034">
        <f>SUM(L3:Q3)</f>
        <v>0</v>
      </c>
      <c r="S3" s="3017"/>
      <c r="T3" s="3017"/>
      <c r="U3" s="3017"/>
      <c r="V3" s="3025"/>
    </row>
    <row r="4" spans="1:22" s="3029" customFormat="1" ht="13.15" customHeight="1">
      <c r="A4" s="3035" t="s">
        <v>2832</v>
      </c>
      <c r="B4" s="3036"/>
      <c r="C4" s="3020"/>
      <c r="D4" s="3020"/>
      <c r="E4" s="3021"/>
      <c r="F4" s="3022"/>
      <c r="G4" s="3023"/>
      <c r="H4" s="3024"/>
      <c r="I4" s="3025"/>
      <c r="J4" s="3728" t="s">
        <v>2833</v>
      </c>
      <c r="K4" s="3729"/>
      <c r="L4" s="3037"/>
      <c r="M4" s="3037"/>
      <c r="N4" s="3037"/>
      <c r="O4" s="3037"/>
      <c r="P4" s="3037"/>
      <c r="Q4" s="3038"/>
      <c r="R4" s="3039">
        <f>SUM(L4:Q4)</f>
        <v>0</v>
      </c>
      <c r="S4" s="3017"/>
      <c r="T4" s="3017"/>
      <c r="U4" s="3017"/>
      <c r="V4" s="3025"/>
    </row>
    <row r="5" spans="1:22" s="3029" customFormat="1" ht="13.15" customHeight="1" thickBot="1">
      <c r="A5" s="3040" t="s">
        <v>2834</v>
      </c>
      <c r="B5" s="3041"/>
      <c r="C5" s="3020"/>
      <c r="D5" s="3042"/>
      <c r="E5" s="3022"/>
      <c r="F5" s="3022"/>
      <c r="G5" s="3023"/>
      <c r="H5" s="3024"/>
      <c r="I5" s="3025"/>
      <c r="J5" s="3043" t="s">
        <v>2835</v>
      </c>
      <c r="K5" s="3044"/>
      <c r="L5" s="3044"/>
      <c r="M5" s="3045"/>
      <c r="N5" s="3045"/>
      <c r="O5" s="3045"/>
      <c r="P5" s="3045"/>
      <c r="Q5" s="3045"/>
      <c r="R5" s="3028">
        <f>SUM(R14,R19,R24,R25,R27,R28)</f>
        <v>0</v>
      </c>
      <c r="S5" s="3017"/>
      <c r="T5" s="3017" t="s">
        <v>2836</v>
      </c>
      <c r="U5" s="3017" t="e">
        <f>ROUND(R5*10000/365/R3,1)</f>
        <v>#DIV/0!</v>
      </c>
      <c r="V5" s="3025"/>
    </row>
    <row r="6" spans="1:22" s="3029" customFormat="1" ht="13.15" customHeight="1" thickBot="1">
      <c r="A6" s="3730" t="s">
        <v>2837</v>
      </c>
      <c r="B6" s="3731"/>
      <c r="C6" s="3732"/>
      <c r="D6" s="3046"/>
      <c r="E6" s="3047"/>
      <c r="F6" s="3048"/>
      <c r="G6" s="3049"/>
      <c r="H6" s="3024"/>
      <c r="I6" s="3025"/>
      <c r="J6" s="3733">
        <v>1</v>
      </c>
      <c r="K6" s="3734" t="s">
        <v>2838</v>
      </c>
      <c r="L6" s="3050" t="s">
        <v>2839</v>
      </c>
      <c r="M6" s="3051" t="s">
        <v>2840</v>
      </c>
      <c r="N6" s="3051" t="s">
        <v>2841</v>
      </c>
      <c r="O6" s="3051" t="s">
        <v>2842</v>
      </c>
      <c r="P6" s="3051" t="s">
        <v>2843</v>
      </c>
      <c r="Q6" s="3051" t="s">
        <v>2844</v>
      </c>
      <c r="R6" s="3034" t="s">
        <v>2845</v>
      </c>
      <c r="S6" s="3017"/>
      <c r="T6" s="3017" t="s">
        <v>2846</v>
      </c>
      <c r="U6" s="3017"/>
      <c r="V6" s="3025"/>
    </row>
    <row r="7" spans="1:22" s="3029" customFormat="1" ht="13.15" customHeight="1">
      <c r="A7" s="3052" t="s">
        <v>2847</v>
      </c>
      <c r="B7" s="3053"/>
      <c r="C7" s="3054"/>
      <c r="D7" s="3055">
        <f>SUM(D9,D10,D11,D17,0)</f>
        <v>0</v>
      </c>
      <c r="E7" s="3056" t="e">
        <f>E9+E10+E11+E17</f>
        <v>#DIV/0!</v>
      </c>
      <c r="F7" s="3057"/>
      <c r="G7" s="3058"/>
      <c r="H7" s="3024"/>
      <c r="I7" s="3025"/>
      <c r="J7" s="3733"/>
      <c r="K7" s="3735"/>
      <c r="L7" s="3059" t="s">
        <v>2848</v>
      </c>
      <c r="M7" s="3060"/>
      <c r="N7" s="3036"/>
      <c r="O7" s="3061"/>
      <c r="P7" s="3061"/>
      <c r="Q7" s="3062">
        <v>365</v>
      </c>
      <c r="R7" s="3063">
        <f>ROUND(M7*N7*O7*P7*Q7/10000,0)</f>
        <v>0</v>
      </c>
      <c r="S7" s="3017"/>
      <c r="T7" s="3017" t="s">
        <v>2849</v>
      </c>
      <c r="U7" s="3017"/>
      <c r="V7" s="3025"/>
    </row>
    <row r="8" spans="1:22" s="3029" customFormat="1" ht="13.15" customHeight="1">
      <c r="A8" s="3064" t="s">
        <v>2850</v>
      </c>
      <c r="B8" s="3737" t="s">
        <v>2851</v>
      </c>
      <c r="C8" s="3738"/>
      <c r="D8" s="3065" t="s">
        <v>2852</v>
      </c>
      <c r="E8" s="3066" t="s">
        <v>2853</v>
      </c>
      <c r="F8" s="3067" t="s">
        <v>2854</v>
      </c>
      <c r="G8" s="3068"/>
      <c r="H8" s="3024"/>
      <c r="I8" s="3025"/>
      <c r="J8" s="3733"/>
      <c r="K8" s="3735"/>
      <c r="L8" s="3059" t="s">
        <v>2855</v>
      </c>
      <c r="M8" s="3060"/>
      <c r="N8" s="3036"/>
      <c r="O8" s="3061"/>
      <c r="P8" s="3061"/>
      <c r="Q8" s="3062">
        <v>365</v>
      </c>
      <c r="R8" s="3063">
        <f t="shared" ref="R8:R13" si="0">ROUND(M8*N8*O8*P8*Q8/10000,0)</f>
        <v>0</v>
      </c>
      <c r="S8" s="3017"/>
      <c r="T8" s="3017" t="s">
        <v>2856</v>
      </c>
      <c r="U8" s="3017"/>
      <c r="V8" s="3025"/>
    </row>
    <row r="9" spans="1:22" s="3029" customFormat="1" ht="13.15" customHeight="1">
      <c r="A9" s="3064">
        <v>1</v>
      </c>
      <c r="B9" s="3737" t="s">
        <v>2857</v>
      </c>
      <c r="C9" s="3738"/>
      <c r="D9" s="3065">
        <f>ROUND(D6*E9,0)</f>
        <v>0</v>
      </c>
      <c r="E9" s="3069"/>
      <c r="F9" s="3070" t="s">
        <v>2858</v>
      </c>
      <c r="G9" s="3049"/>
      <c r="H9" s="3024"/>
      <c r="I9" s="3025"/>
      <c r="J9" s="3733"/>
      <c r="K9" s="3735"/>
      <c r="L9" s="3059" t="s">
        <v>2859</v>
      </c>
      <c r="M9" s="3060"/>
      <c r="N9" s="3036"/>
      <c r="O9" s="3061"/>
      <c r="P9" s="3061"/>
      <c r="Q9" s="3062">
        <v>365</v>
      </c>
      <c r="R9" s="3063">
        <f t="shared" si="0"/>
        <v>0</v>
      </c>
      <c r="S9" s="3017"/>
      <c r="T9" s="3017"/>
      <c r="U9" s="3017"/>
      <c r="V9" s="3025"/>
    </row>
    <row r="10" spans="1:22" s="3029" customFormat="1" ht="13.15" customHeight="1">
      <c r="A10" s="3064">
        <v>2</v>
      </c>
      <c r="B10" s="3737" t="s">
        <v>2860</v>
      </c>
      <c r="C10" s="3738"/>
      <c r="D10" s="3065">
        <f>ROUND(D6*E10,0)</f>
        <v>0</v>
      </c>
      <c r="E10" s="3069"/>
      <c r="F10" s="3070" t="s">
        <v>2861</v>
      </c>
      <c r="G10" s="3049"/>
      <c r="H10" s="3024"/>
      <c r="I10" s="3025"/>
      <c r="J10" s="3733"/>
      <c r="K10" s="3735"/>
      <c r="L10" s="3059" t="s">
        <v>2862</v>
      </c>
      <c r="M10" s="3060"/>
      <c r="N10" s="3036"/>
      <c r="O10" s="3061"/>
      <c r="P10" s="3061"/>
      <c r="Q10" s="3062">
        <v>365</v>
      </c>
      <c r="R10" s="3063">
        <f t="shared" si="0"/>
        <v>0</v>
      </c>
      <c r="S10" s="3017"/>
      <c r="T10" s="3017"/>
      <c r="U10" s="3017"/>
      <c r="V10" s="3025"/>
    </row>
    <row r="11" spans="1:22" s="3029" customFormat="1" ht="13.15" customHeight="1">
      <c r="A11" s="3064">
        <v>3</v>
      </c>
      <c r="B11" s="3737" t="s">
        <v>2863</v>
      </c>
      <c r="C11" s="3738"/>
      <c r="D11" s="3065">
        <f>D12+D14+D15+D16</f>
        <v>0</v>
      </c>
      <c r="E11" s="3071" t="e">
        <f>D11/D6</f>
        <v>#DIV/0!</v>
      </c>
      <c r="F11" s="3067"/>
      <c r="G11" s="3068"/>
      <c r="H11" s="3024"/>
      <c r="I11" s="3025"/>
      <c r="J11" s="3733"/>
      <c r="K11" s="3735"/>
      <c r="L11" s="3059" t="s">
        <v>2864</v>
      </c>
      <c r="M11" s="3060"/>
      <c r="N11" s="3036"/>
      <c r="O11" s="3061"/>
      <c r="P11" s="3061"/>
      <c r="Q11" s="3062">
        <v>365</v>
      </c>
      <c r="R11" s="3063">
        <f t="shared" si="0"/>
        <v>0</v>
      </c>
      <c r="S11" s="3017"/>
      <c r="T11" s="3017"/>
      <c r="U11" s="3017"/>
      <c r="V11" s="3025"/>
    </row>
    <row r="12" spans="1:22" s="3029" customFormat="1" ht="13.15" customHeight="1">
      <c r="A12" s="3072" t="s">
        <v>2865</v>
      </c>
      <c r="B12" s="3739" t="s">
        <v>2866</v>
      </c>
      <c r="C12" s="3740"/>
      <c r="D12" s="3073">
        <f>ROUND(D13*1.2%*(1-30%),0)</f>
        <v>0</v>
      </c>
      <c r="E12" s="3074">
        <v>1.2E-2</v>
      </c>
      <c r="F12" s="3067" t="s">
        <v>2867</v>
      </c>
      <c r="G12" s="3068"/>
      <c r="H12" s="3024"/>
      <c r="I12" s="3025"/>
      <c r="J12" s="3733"/>
      <c r="K12" s="3735"/>
      <c r="L12" s="3059" t="s">
        <v>2868</v>
      </c>
      <c r="M12" s="3060"/>
      <c r="N12" s="3036"/>
      <c r="O12" s="3061"/>
      <c r="P12" s="3061"/>
      <c r="Q12" s="3062">
        <v>365</v>
      </c>
      <c r="R12" s="3063">
        <f t="shared" si="0"/>
        <v>0</v>
      </c>
      <c r="S12" s="3017"/>
      <c r="T12" s="3017"/>
      <c r="U12" s="3017"/>
      <c r="V12" s="3025"/>
    </row>
    <row r="13" spans="1:22" s="3029" customFormat="1" ht="13.15" customHeight="1">
      <c r="A13" s="3072"/>
      <c r="B13" s="3075"/>
      <c r="C13" s="3076" t="s">
        <v>2869</v>
      </c>
      <c r="D13" s="3077"/>
      <c r="E13" s="3078"/>
      <c r="F13" s="3067"/>
      <c r="G13" s="3068"/>
      <c r="H13" s="3024"/>
      <c r="I13" s="3025"/>
      <c r="J13" s="3733"/>
      <c r="K13" s="3735"/>
      <c r="L13" s="3059" t="s">
        <v>2870</v>
      </c>
      <c r="M13" s="3060"/>
      <c r="N13" s="3036"/>
      <c r="O13" s="3061"/>
      <c r="P13" s="3061"/>
      <c r="Q13" s="3062">
        <v>365</v>
      </c>
      <c r="R13" s="3063">
        <f t="shared" si="0"/>
        <v>0</v>
      </c>
      <c r="S13" s="3017"/>
      <c r="T13" s="3017"/>
      <c r="U13" s="3017"/>
      <c r="V13" s="3025"/>
    </row>
    <row r="14" spans="1:22" s="3029" customFormat="1" ht="13.15" customHeight="1">
      <c r="A14" s="3072" t="s">
        <v>2871</v>
      </c>
      <c r="B14" s="3739" t="s">
        <v>2872</v>
      </c>
      <c r="C14" s="3740"/>
      <c r="D14" s="3073">
        <f>ROUND(E14*B5/10000,0)</f>
        <v>0</v>
      </c>
      <c r="E14" s="3062"/>
      <c r="F14" s="3067" t="s">
        <v>2873</v>
      </c>
      <c r="G14" s="3068"/>
      <c r="H14" s="3024"/>
      <c r="I14" s="3025"/>
      <c r="J14" s="3733"/>
      <c r="K14" s="3736"/>
      <c r="L14" s="3079" t="s">
        <v>2874</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2875</v>
      </c>
      <c r="B15" s="3739" t="s">
        <v>2876</v>
      </c>
      <c r="C15" s="3740"/>
      <c r="D15" s="3073">
        <f>ROUND(D6*E15,0)</f>
        <v>0</v>
      </c>
      <c r="E15" s="3074">
        <v>5.5E-2</v>
      </c>
      <c r="F15" s="3067" t="s">
        <v>2877</v>
      </c>
      <c r="G15" s="3049"/>
      <c r="H15" s="3024"/>
      <c r="I15" s="3025"/>
      <c r="J15" s="3733">
        <v>2</v>
      </c>
      <c r="K15" s="3734" t="s">
        <v>2878</v>
      </c>
      <c r="L15" s="3059" t="s">
        <v>2879</v>
      </c>
      <c r="M15" s="3060" t="s">
        <v>2880</v>
      </c>
      <c r="N15" s="3060" t="s">
        <v>2881</v>
      </c>
      <c r="O15" s="3061" t="s">
        <v>2882</v>
      </c>
      <c r="P15" s="3061" t="s">
        <v>2844</v>
      </c>
      <c r="Q15" s="3036" t="s">
        <v>2883</v>
      </c>
      <c r="R15" s="3083" t="s">
        <v>2845</v>
      </c>
      <c r="S15" s="3017"/>
      <c r="T15" s="3017"/>
      <c r="U15" s="3017"/>
      <c r="V15" s="3025"/>
    </row>
    <row r="16" spans="1:22" s="3029" customFormat="1" ht="13.15" customHeight="1">
      <c r="A16" s="3072" t="s">
        <v>2884</v>
      </c>
      <c r="B16" s="3739" t="s">
        <v>2885</v>
      </c>
      <c r="C16" s="3740"/>
      <c r="D16" s="3084">
        <f>D6*E16</f>
        <v>0</v>
      </c>
      <c r="E16" s="3085"/>
      <c r="F16" s="3070" t="s">
        <v>2886</v>
      </c>
      <c r="G16" s="3049"/>
      <c r="H16" s="3024"/>
      <c r="I16" s="3025"/>
      <c r="J16" s="3733"/>
      <c r="K16" s="3735"/>
      <c r="L16" s="3059" t="s">
        <v>2887</v>
      </c>
      <c r="M16" s="3060"/>
      <c r="N16" s="3060"/>
      <c r="O16" s="3061"/>
      <c r="P16" s="3062">
        <v>365</v>
      </c>
      <c r="Q16" s="3036"/>
      <c r="R16" s="3083">
        <f>ROUND(M16*N16*O16*P16/10000,0)</f>
        <v>0</v>
      </c>
      <c r="S16" s="3017"/>
      <c r="T16" s="3017"/>
      <c r="U16" s="3017"/>
      <c r="V16" s="3025"/>
    </row>
    <row r="17" spans="1:22" s="3029" customFormat="1" ht="13.15" customHeight="1" thickBot="1">
      <c r="A17" s="3086">
        <v>4</v>
      </c>
      <c r="B17" s="3741" t="s">
        <v>2888</v>
      </c>
      <c r="C17" s="3742"/>
      <c r="D17" s="3087">
        <f>ROUND(D6*E17,0)</f>
        <v>0</v>
      </c>
      <c r="E17" s="3088"/>
      <c r="F17" s="3089" t="s">
        <v>2889</v>
      </c>
      <c r="G17" s="3049"/>
      <c r="H17" s="3024"/>
      <c r="I17" s="3025"/>
      <c r="J17" s="3733"/>
      <c r="K17" s="3735"/>
      <c r="L17" s="3059" t="s">
        <v>2890</v>
      </c>
      <c r="M17" s="3060"/>
      <c r="N17" s="3060"/>
      <c r="O17" s="3061"/>
      <c r="P17" s="3062">
        <v>365</v>
      </c>
      <c r="Q17" s="3036"/>
      <c r="R17" s="3083">
        <f>ROUND(M17*N17*O17*P17/10000,0)</f>
        <v>0</v>
      </c>
      <c r="S17" s="3017"/>
      <c r="T17" s="3017"/>
      <c r="U17" s="3017"/>
      <c r="V17" s="3025"/>
    </row>
    <row r="18" spans="1:22" s="3029" customFormat="1" ht="13.15" customHeight="1" thickBot="1">
      <c r="A18" s="3052" t="s">
        <v>2891</v>
      </c>
      <c r="B18" s="3053"/>
      <c r="C18" s="3053"/>
      <c r="D18" s="3090">
        <f>ROUND(D6*E18,0)</f>
        <v>0</v>
      </c>
      <c r="E18" s="3091"/>
      <c r="F18" s="3092" t="s">
        <v>2892</v>
      </c>
      <c r="G18" s="3049"/>
      <c r="H18" s="3024"/>
      <c r="I18" s="3025"/>
      <c r="J18" s="3733"/>
      <c r="K18" s="3735"/>
      <c r="L18" s="3059" t="s">
        <v>2893</v>
      </c>
      <c r="M18" s="3060"/>
      <c r="N18" s="3060"/>
      <c r="O18" s="3061"/>
      <c r="P18" s="3062">
        <v>365</v>
      </c>
      <c r="Q18" s="3036"/>
      <c r="R18" s="3083">
        <f>ROUND(M18*N18*O18*P18/10000,0)</f>
        <v>0</v>
      </c>
      <c r="S18" s="3017"/>
      <c r="T18" s="3017"/>
      <c r="U18" s="3017"/>
      <c r="V18" s="3025"/>
    </row>
    <row r="19" spans="1:22" s="3029" customFormat="1" ht="13.15" customHeight="1" thickBot="1">
      <c r="A19" s="3093" t="s">
        <v>2894</v>
      </c>
      <c r="B19" s="3047"/>
      <c r="C19" s="3047"/>
      <c r="D19" s="3047"/>
      <c r="E19" s="3047"/>
      <c r="F19" s="3048"/>
      <c r="G19" s="3068"/>
      <c r="H19" s="3024"/>
      <c r="I19" s="3025"/>
      <c r="J19" s="3733"/>
      <c r="K19" s="3736"/>
      <c r="L19" s="3079" t="s">
        <v>2874</v>
      </c>
      <c r="M19" s="3080"/>
      <c r="N19" s="3080">
        <f>SUM(N16:N18)</f>
        <v>0</v>
      </c>
      <c r="O19" s="3081"/>
      <c r="P19" s="3094" t="s">
        <v>2938</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733">
        <v>3</v>
      </c>
      <c r="K20" s="3734" t="s">
        <v>2895</v>
      </c>
      <c r="L20" s="3059" t="s">
        <v>2896</v>
      </c>
      <c r="M20" s="3060" t="s">
        <v>2897</v>
      </c>
      <c r="N20" s="3097" t="s">
        <v>2898</v>
      </c>
      <c r="O20" s="3061" t="s">
        <v>2899</v>
      </c>
      <c r="P20" s="3062" t="s">
        <v>2900</v>
      </c>
      <c r="Q20" s="3036" t="s">
        <v>2901</v>
      </c>
      <c r="R20" s="3083" t="s">
        <v>2902</v>
      </c>
      <c r="S20" s="3098"/>
      <c r="T20" s="3098"/>
      <c r="U20" s="3098"/>
      <c r="V20" s="3025"/>
    </row>
    <row r="21" spans="1:22" s="3029" customFormat="1" ht="13.15" customHeight="1">
      <c r="A21" s="3052"/>
      <c r="B21" s="3053"/>
      <c r="C21" s="3099" t="s">
        <v>2903</v>
      </c>
      <c r="D21" s="3100" t="s">
        <v>2904</v>
      </c>
      <c r="E21" s="3101" t="s">
        <v>2905</v>
      </c>
      <c r="F21" s="3096"/>
      <c r="G21" s="3068"/>
      <c r="H21" s="3024"/>
      <c r="I21" s="3025"/>
      <c r="J21" s="3733"/>
      <c r="K21" s="3735"/>
      <c r="L21" s="3059" t="s">
        <v>2906</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2907</v>
      </c>
      <c r="D22" s="3104" t="s">
        <v>2908</v>
      </c>
      <c r="E22" s="3105" t="s">
        <v>2909</v>
      </c>
      <c r="F22" s="3096"/>
      <c r="G22" s="3106"/>
      <c r="H22" s="3024"/>
      <c r="I22" s="3025"/>
      <c r="J22" s="3733"/>
      <c r="K22" s="3735"/>
      <c r="L22" s="3059" t="s">
        <v>2910</v>
      </c>
      <c r="M22" s="3060"/>
      <c r="N22" s="3060"/>
      <c r="O22" s="3061"/>
      <c r="P22" s="3062">
        <v>365</v>
      </c>
      <c r="Q22" s="3036"/>
      <c r="R22" s="3102">
        <f>ROUND(M22*N22*O22*P22/10000,0)</f>
        <v>0</v>
      </c>
      <c r="S22" s="3098"/>
      <c r="T22" s="3098"/>
      <c r="U22" s="3098"/>
      <c r="V22" s="3025"/>
    </row>
    <row r="23" spans="1:22" s="3029" customFormat="1" ht="13.15" customHeight="1">
      <c r="A23" s="3107">
        <v>1</v>
      </c>
      <c r="B23" s="3108" t="s">
        <v>2911</v>
      </c>
      <c r="C23" s="3109">
        <f>D6</f>
        <v>0</v>
      </c>
      <c r="D23" s="3110">
        <f>C23*(1+D24)</f>
        <v>0</v>
      </c>
      <c r="E23" s="3111">
        <f>D23*(1+E24)</f>
        <v>0</v>
      </c>
      <c r="F23" s="3112"/>
      <c r="G23" s="3113"/>
      <c r="H23" s="3024"/>
      <c r="I23" s="3025"/>
      <c r="J23" s="3733"/>
      <c r="K23" s="3735"/>
      <c r="L23" s="3059" t="s">
        <v>2912</v>
      </c>
      <c r="M23" s="3060"/>
      <c r="N23" s="3060"/>
      <c r="O23" s="3061"/>
      <c r="P23" s="3062">
        <v>365</v>
      </c>
      <c r="Q23" s="3036"/>
      <c r="R23" s="3102">
        <f>ROUND(M23*N23*O23*P23/10000,0)</f>
        <v>0</v>
      </c>
      <c r="S23" s="3017"/>
      <c r="T23" s="3017"/>
      <c r="U23" s="3017"/>
      <c r="V23" s="3025"/>
    </row>
    <row r="24" spans="1:22" s="3029" customFormat="1" ht="13.15" customHeight="1">
      <c r="A24" s="3114"/>
      <c r="B24" s="3115" t="s">
        <v>2913</v>
      </c>
      <c r="C24" s="3116"/>
      <c r="D24" s="3117"/>
      <c r="E24" s="3118"/>
      <c r="F24" s="3119"/>
      <c r="G24" s="3113"/>
      <c r="H24" s="3024"/>
      <c r="I24" s="3025"/>
      <c r="J24" s="3733"/>
      <c r="K24" s="3736"/>
      <c r="L24" s="3079" t="s">
        <v>2874</v>
      </c>
      <c r="M24" s="3080">
        <f>SUM(M21:M23)</f>
        <v>0</v>
      </c>
      <c r="N24" s="3080"/>
      <c r="O24" s="3081"/>
      <c r="P24" s="3094" t="s">
        <v>2938</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2914</v>
      </c>
      <c r="L25" s="3122"/>
      <c r="M25" s="3122"/>
      <c r="N25" s="3122"/>
      <c r="O25" s="3122"/>
      <c r="P25" s="3123"/>
      <c r="Q25" s="3124">
        <v>0</v>
      </c>
      <c r="R25" s="3095">
        <f>ROUND(R14*Q25,0)</f>
        <v>0</v>
      </c>
      <c r="S25" s="3017"/>
      <c r="T25" s="3017"/>
      <c r="U25" s="3017"/>
      <c r="V25" s="3125"/>
    </row>
    <row r="26" spans="1:22" s="3126" customFormat="1" ht="13.15" customHeight="1">
      <c r="A26" s="3107">
        <v>2</v>
      </c>
      <c r="B26" s="3108" t="s">
        <v>2915</v>
      </c>
      <c r="C26" s="3109">
        <f>D7</f>
        <v>0</v>
      </c>
      <c r="D26" s="3110">
        <f>D23*D27</f>
        <v>0</v>
      </c>
      <c r="E26" s="3111">
        <f>E23*E27</f>
        <v>0</v>
      </c>
      <c r="F26" s="3112"/>
      <c r="G26" s="3113"/>
      <c r="H26" s="3024"/>
      <c r="I26" s="3025"/>
      <c r="J26" s="3743">
        <v>5</v>
      </c>
      <c r="K26" s="3127" t="s">
        <v>2916</v>
      </c>
      <c r="L26" s="3128"/>
      <c r="M26" s="3129"/>
      <c r="N26" s="3130" t="s">
        <v>2917</v>
      </c>
      <c r="O26" s="3130" t="s">
        <v>2918</v>
      </c>
      <c r="P26" s="3131" t="s">
        <v>2919</v>
      </c>
      <c r="Q26" s="3131" t="s">
        <v>2920</v>
      </c>
      <c r="R26" s="3034" t="s">
        <v>2845</v>
      </c>
      <c r="S26" s="3132"/>
      <c r="T26" s="3132"/>
      <c r="U26" s="3132"/>
      <c r="V26" s="3125"/>
    </row>
    <row r="27" spans="1:22" s="3029" customFormat="1" ht="13.15" customHeight="1">
      <c r="A27" s="3114"/>
      <c r="B27" s="3115" t="s">
        <v>2921</v>
      </c>
      <c r="C27" s="3133" t="e">
        <f>E7</f>
        <v>#DIV/0!</v>
      </c>
      <c r="D27" s="3117"/>
      <c r="E27" s="3118"/>
      <c r="F27" s="3119"/>
      <c r="G27" s="3113"/>
      <c r="H27" s="3134"/>
      <c r="I27" s="3125"/>
      <c r="J27" s="3744"/>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2922</v>
      </c>
      <c r="F28" s="3119"/>
      <c r="G28" s="3106"/>
      <c r="H28" s="3134"/>
      <c r="I28" s="3125"/>
      <c r="J28" s="3140">
        <v>6</v>
      </c>
      <c r="K28" s="3141" t="s">
        <v>2923</v>
      </c>
      <c r="L28" s="3142" t="s">
        <v>2924</v>
      </c>
      <c r="M28" s="3143"/>
      <c r="N28" s="3142" t="s">
        <v>2925</v>
      </c>
      <c r="O28" s="3144"/>
      <c r="P28" s="3142" t="s">
        <v>2926</v>
      </c>
      <c r="Q28" s="3145">
        <v>1.4999999999999999E-2</v>
      </c>
      <c r="R28" s="3146"/>
      <c r="S28" s="3098"/>
      <c r="T28" s="3098"/>
      <c r="U28" s="3098"/>
      <c r="V28" s="3125"/>
    </row>
    <row r="29" spans="1:22" s="3126" customFormat="1" ht="13.15" customHeight="1">
      <c r="A29" s="3107">
        <v>3</v>
      </c>
      <c r="B29" s="3108" t="s">
        <v>2927</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2921</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2928</v>
      </c>
      <c r="K31" s="3015"/>
      <c r="L31" s="3015"/>
      <c r="M31" s="3015"/>
      <c r="N31" s="3015"/>
      <c r="O31" s="3015"/>
      <c r="P31" s="3015"/>
      <c r="Q31" s="3015"/>
      <c r="R31" s="3016"/>
      <c r="S31" s="3098"/>
      <c r="T31" s="3017"/>
      <c r="U31" s="3017"/>
      <c r="V31" s="3125"/>
    </row>
    <row r="32" spans="1:22" s="3126" customFormat="1" ht="13.15" customHeight="1">
      <c r="A32" s="3107">
        <v>4</v>
      </c>
      <c r="B32" s="3108" t="s">
        <v>2929</v>
      </c>
      <c r="C32" s="3109">
        <f>C23-C26-C29</f>
        <v>0</v>
      </c>
      <c r="D32" s="3110">
        <f>D23-D26-D29</f>
        <v>0</v>
      </c>
      <c r="E32" s="3111">
        <f>E23-E26-E29</f>
        <v>0</v>
      </c>
      <c r="F32" s="3112"/>
      <c r="G32" s="3106"/>
      <c r="H32" s="3024"/>
      <c r="I32" s="3025"/>
      <c r="J32" s="3726" t="s">
        <v>2821</v>
      </c>
      <c r="K32" s="3727"/>
      <c r="L32" s="3026" t="s">
        <v>2822</v>
      </c>
      <c r="M32" s="3026" t="s">
        <v>2823</v>
      </c>
      <c r="N32" s="3026" t="s">
        <v>2824</v>
      </c>
      <c r="O32" s="3026" t="s">
        <v>2825</v>
      </c>
      <c r="P32" s="3026" t="s">
        <v>2826</v>
      </c>
      <c r="Q32" s="3027" t="s">
        <v>2827</v>
      </c>
      <c r="R32" s="3149" t="s">
        <v>2828</v>
      </c>
      <c r="S32" s="3098"/>
      <c r="T32" s="3017"/>
      <c r="U32" s="3017"/>
      <c r="V32" s="3125"/>
    </row>
    <row r="33" spans="1:23" s="3029" customFormat="1" ht="13.15" customHeight="1">
      <c r="A33" s="3107"/>
      <c r="B33" s="3108"/>
      <c r="C33" s="3109"/>
      <c r="D33" s="3150"/>
      <c r="E33" s="3151"/>
      <c r="F33" s="3112"/>
      <c r="G33" s="3106"/>
      <c r="H33" s="3134"/>
      <c r="I33" s="3125"/>
      <c r="J33" s="3728" t="s">
        <v>2831</v>
      </c>
      <c r="K33" s="3729"/>
      <c r="L33" s="3032"/>
      <c r="M33" s="3032"/>
      <c r="N33" s="3032"/>
      <c r="O33" s="3032"/>
      <c r="P33" s="3032"/>
      <c r="Q33" s="3033"/>
      <c r="R33" s="3152">
        <f>SUM(L33:Q33)</f>
        <v>0</v>
      </c>
      <c r="S33" s="3098"/>
      <c r="T33" s="3017"/>
      <c r="U33" s="3017"/>
      <c r="V33" s="3025"/>
    </row>
    <row r="34" spans="1:23" s="3029" customFormat="1" ht="13.15" customHeight="1">
      <c r="A34" s="3107">
        <v>5</v>
      </c>
      <c r="B34" s="3108" t="s">
        <v>2930</v>
      </c>
      <c r="C34" s="3153"/>
      <c r="D34" s="3154"/>
      <c r="E34" s="3155"/>
      <c r="F34" s="3112"/>
      <c r="G34" s="3106"/>
      <c r="H34" s="3134"/>
      <c r="I34" s="3125"/>
      <c r="J34" s="3728" t="s">
        <v>2833</v>
      </c>
      <c r="K34" s="3729"/>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2931</v>
      </c>
      <c r="C35" s="3157"/>
      <c r="D35" s="3158"/>
      <c r="E35" s="3159"/>
      <c r="F35" s="3112"/>
      <c r="G35" s="3160"/>
      <c r="H35" s="3024"/>
      <c r="I35" s="3125"/>
      <c r="J35" s="3043" t="s">
        <v>2835</v>
      </c>
      <c r="K35" s="3044"/>
      <c r="L35" s="3044"/>
      <c r="M35" s="3045"/>
      <c r="N35" s="3045"/>
      <c r="O35" s="3045"/>
      <c r="P35" s="3045"/>
      <c r="Q35" s="3045"/>
      <c r="R35" s="3161">
        <f>R40+R41+R43</f>
        <v>0</v>
      </c>
      <c r="S35" s="3098"/>
      <c r="T35" s="3017" t="s">
        <v>2836</v>
      </c>
      <c r="U35" s="3017"/>
      <c r="V35" s="3025"/>
    </row>
    <row r="36" spans="1:23" s="3029" customFormat="1" ht="13.15" customHeight="1" thickBot="1">
      <c r="A36" s="3107">
        <v>7</v>
      </c>
      <c r="B36" s="3162" t="s">
        <v>2932</v>
      </c>
      <c r="C36" s="3163"/>
      <c r="D36" s="3164"/>
      <c r="E36" s="3165"/>
      <c r="F36" s="3166">
        <f>C36+D36+E36</f>
        <v>0</v>
      </c>
      <c r="G36" s="3106"/>
      <c r="H36" s="3024"/>
      <c r="I36" s="3025"/>
      <c r="J36" s="3733">
        <v>1</v>
      </c>
      <c r="K36" s="3734" t="s">
        <v>2933</v>
      </c>
      <c r="L36" s="3050"/>
      <c r="M36" s="3051"/>
      <c r="N36" s="3051"/>
      <c r="O36" s="3051"/>
      <c r="P36" s="3051"/>
      <c r="Q36" s="3051"/>
      <c r="R36" s="3034" t="s">
        <v>2845</v>
      </c>
      <c r="S36" s="3098"/>
      <c r="T36" s="3017" t="s">
        <v>2846</v>
      </c>
      <c r="U36" s="3017"/>
      <c r="V36" s="3025"/>
    </row>
    <row r="37" spans="1:23" s="3029" customFormat="1" ht="13.15" customHeight="1">
      <c r="A37" s="3107"/>
      <c r="B37" s="3108"/>
      <c r="C37" s="3108"/>
      <c r="D37" s="3108"/>
      <c r="E37" s="3108"/>
      <c r="F37" s="3112"/>
      <c r="G37" s="3106"/>
      <c r="H37" s="3024"/>
      <c r="I37" s="3025"/>
      <c r="J37" s="3733"/>
      <c r="K37" s="3735"/>
      <c r="L37" s="3059"/>
      <c r="M37" s="3060"/>
      <c r="N37" s="3036"/>
      <c r="O37" s="3061"/>
      <c r="P37" s="3061"/>
      <c r="Q37" s="3062"/>
      <c r="R37" s="3063"/>
      <c r="S37" s="3098"/>
      <c r="T37" s="3017" t="s">
        <v>2849</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733"/>
      <c r="K38" s="3735"/>
      <c r="L38" s="3059"/>
      <c r="M38" s="3060"/>
      <c r="N38" s="3036"/>
      <c r="O38" s="3061"/>
      <c r="P38" s="3061"/>
      <c r="Q38" s="3062"/>
      <c r="R38" s="3063"/>
      <c r="S38" s="3098"/>
      <c r="T38" s="3017" t="s">
        <v>2856</v>
      </c>
      <c r="U38" s="3017"/>
      <c r="V38" s="3025"/>
    </row>
    <row r="39" spans="1:23" s="3029" customFormat="1" ht="13.15" customHeight="1">
      <c r="A39" s="3107">
        <v>9</v>
      </c>
      <c r="B39" s="3108" t="s">
        <v>2934</v>
      </c>
      <c r="C39" s="3073" t="e">
        <f>C38</f>
        <v>#DIV/0!</v>
      </c>
      <c r="D39" s="3108">
        <f>D38/(1+D34)^C36</f>
        <v>0</v>
      </c>
      <c r="E39" s="3108">
        <f>E38/(1+E34)^(C36+D36)</f>
        <v>0</v>
      </c>
      <c r="F39" s="3112"/>
      <c r="G39" s="3167"/>
      <c r="H39" s="3024"/>
      <c r="I39" s="3025"/>
      <c r="J39" s="3733"/>
      <c r="K39" s="3735"/>
      <c r="L39" s="3059"/>
      <c r="M39" s="3060"/>
      <c r="N39" s="3036"/>
      <c r="O39" s="3061"/>
      <c r="P39" s="3061"/>
      <c r="Q39" s="3062"/>
      <c r="R39" s="3063"/>
      <c r="S39" s="3098"/>
      <c r="T39" s="3017"/>
      <c r="U39" s="3017"/>
      <c r="V39" s="3025"/>
    </row>
    <row r="40" spans="1:23" s="3029" customFormat="1" ht="13.15" customHeight="1">
      <c r="A40" s="3168">
        <v>10</v>
      </c>
      <c r="B40" s="3108" t="s">
        <v>2935</v>
      </c>
      <c r="C40" s="3169" t="e">
        <f>C39+D39+E39</f>
        <v>#DIV/0!</v>
      </c>
      <c r="D40" s="3170"/>
      <c r="E40" s="3170"/>
      <c r="F40" s="3171"/>
      <c r="G40" s="3106"/>
      <c r="H40" s="3024"/>
      <c r="I40" s="3025"/>
      <c r="J40" s="3733"/>
      <c r="K40" s="3736"/>
      <c r="L40" s="3079" t="s">
        <v>2874</v>
      </c>
      <c r="M40" s="3080"/>
      <c r="N40" s="3080"/>
      <c r="O40" s="3081"/>
      <c r="P40" s="3081"/>
      <c r="Q40" s="3082"/>
      <c r="R40" s="3028">
        <f>SUM(R37:R39)</f>
        <v>0</v>
      </c>
      <c r="S40" s="3098"/>
      <c r="T40" s="3017"/>
      <c r="U40" s="3017"/>
      <c r="V40" s="3025"/>
    </row>
    <row r="41" spans="1:23" s="3029" customFormat="1" ht="13.15" customHeight="1" thickBot="1">
      <c r="A41" s="3172">
        <v>11</v>
      </c>
      <c r="B41" s="3173" t="s">
        <v>2936</v>
      </c>
      <c r="C41" s="3173" t="e">
        <f>ROUND(C40*10000/B4,0)</f>
        <v>#DIV/0!</v>
      </c>
      <c r="D41" s="3174"/>
      <c r="E41" s="3174"/>
      <c r="F41" s="3175"/>
      <c r="G41" s="3176"/>
      <c r="H41" s="3024"/>
      <c r="I41" s="3025"/>
      <c r="J41" s="3120">
        <v>2</v>
      </c>
      <c r="K41" s="3121" t="s">
        <v>2914</v>
      </c>
      <c r="L41" s="3122"/>
      <c r="M41" s="3122"/>
      <c r="N41" s="3122"/>
      <c r="O41" s="3122"/>
      <c r="P41" s="3123"/>
      <c r="Q41" s="3124"/>
      <c r="R41" s="3095">
        <f>ROUND(R40*Q41,0)</f>
        <v>0</v>
      </c>
      <c r="S41" s="3098"/>
      <c r="T41" s="3017"/>
      <c r="U41" s="3132"/>
      <c r="V41" s="3025"/>
    </row>
    <row r="42" spans="1:23" s="3029" customFormat="1" ht="13.15" customHeight="1">
      <c r="G42" s="3176"/>
      <c r="H42" s="3024"/>
      <c r="I42" s="3025"/>
      <c r="J42" s="3743">
        <v>3</v>
      </c>
      <c r="K42" s="3127" t="s">
        <v>2916</v>
      </c>
      <c r="L42" s="3128"/>
      <c r="M42" s="3129"/>
      <c r="N42" s="3130" t="s">
        <v>2917</v>
      </c>
      <c r="O42" s="3130" t="s">
        <v>2918</v>
      </c>
      <c r="P42" s="3131" t="s">
        <v>2919</v>
      </c>
      <c r="Q42" s="3131" t="s">
        <v>2920</v>
      </c>
      <c r="R42" s="3034" t="s">
        <v>2845</v>
      </c>
      <c r="S42" s="3132"/>
      <c r="T42" s="3132"/>
      <c r="U42" s="3017"/>
      <c r="V42" s="3025"/>
    </row>
    <row r="43" spans="1:23" ht="13.15" customHeight="1">
      <c r="A43" s="3029"/>
      <c r="B43" s="3029"/>
      <c r="C43" s="3029"/>
      <c r="D43" s="3029"/>
      <c r="E43" s="3029"/>
      <c r="F43" s="3029"/>
      <c r="I43" s="3012"/>
      <c r="J43" s="3744"/>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2923</v>
      </c>
      <c r="L44" s="3180" t="s">
        <v>2924</v>
      </c>
      <c r="M44" s="3143"/>
      <c r="N44" s="3180" t="s">
        <v>2925</v>
      </c>
      <c r="O44" s="3143"/>
      <c r="P44" s="3180" t="s">
        <v>2926</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2106</v>
      </c>
      <c r="B1" s="2001"/>
      <c r="C1" s="2001"/>
      <c r="D1" s="2001"/>
      <c r="E1" s="2002"/>
      <c r="F1" s="2881"/>
      <c r="G1" s="1621"/>
      <c r="H1" s="1621"/>
      <c r="I1" s="1621"/>
      <c r="J1" s="1621"/>
      <c r="K1" s="1621"/>
      <c r="L1" s="1621"/>
      <c r="M1" s="1621"/>
      <c r="N1" s="1621"/>
      <c r="O1" s="1621"/>
      <c r="P1" s="1621"/>
      <c r="Q1" s="1621"/>
      <c r="R1" s="1621"/>
      <c r="S1" s="1621"/>
    </row>
    <row r="2" spans="1:22" ht="15.75">
      <c r="A2" s="2003" t="s">
        <v>1907</v>
      </c>
      <c r="B2" s="2004">
        <f ca="1">SUMIF(B6:B13,"&lt;&gt;#ref!",B6:B13)</f>
        <v>64378</v>
      </c>
      <c r="C2" s="2005" t="s">
        <v>2099</v>
      </c>
      <c r="D2" s="2006" t="s">
        <v>2100</v>
      </c>
      <c r="E2" s="2778">
        <f>SUM(E6:E13)</f>
        <v>32060.45</v>
      </c>
      <c r="F2" s="2881"/>
      <c r="G2" s="1621"/>
      <c r="H2" s="1621"/>
      <c r="I2" s="1621"/>
      <c r="J2" s="1621"/>
      <c r="K2" s="1621"/>
      <c r="L2" s="1621"/>
      <c r="M2" s="1621"/>
      <c r="N2" s="1621"/>
      <c r="O2" s="1621"/>
      <c r="P2" s="1621"/>
      <c r="Q2" s="1621"/>
      <c r="R2" s="1621"/>
      <c r="S2" s="1621"/>
    </row>
    <row r="3" spans="1:22" ht="15.75">
      <c r="A3" s="2003" t="s">
        <v>1119</v>
      </c>
      <c r="B3" s="2772">
        <f ca="1">ROUND(B2*10000/E2,0)</f>
        <v>20080</v>
      </c>
      <c r="C3" s="2005" t="s">
        <v>2107</v>
      </c>
      <c r="D3" s="2883"/>
      <c r="E3" s="2885"/>
      <c r="F3" s="2881"/>
      <c r="G3" s="1621"/>
      <c r="H3" s="1621"/>
      <c r="I3" s="1621"/>
      <c r="J3" s="1621"/>
      <c r="K3" s="1621"/>
      <c r="L3" s="1621"/>
      <c r="M3" s="1621"/>
      <c r="N3" s="1621"/>
      <c r="O3" s="1621"/>
      <c r="P3" s="1621"/>
      <c r="Q3" s="1621"/>
      <c r="R3" s="1621"/>
      <c r="S3" s="1621"/>
    </row>
    <row r="4" spans="1:22" ht="15.75">
      <c r="A4" s="2886"/>
      <c r="B4" s="2883"/>
      <c r="C4" s="2883"/>
      <c r="D4" s="2883"/>
      <c r="E4" s="2885"/>
      <c r="F4" s="2881"/>
      <c r="G4" s="1621"/>
      <c r="H4" s="1621"/>
      <c r="I4" s="1621"/>
      <c r="J4" s="1621"/>
      <c r="K4" s="1621"/>
      <c r="L4" s="1621"/>
      <c r="M4" s="1621"/>
      <c r="N4" s="1621"/>
      <c r="O4" s="1621"/>
      <c r="P4" s="1621"/>
      <c r="Q4" s="1621"/>
      <c r="R4" s="1621"/>
      <c r="S4" s="1621"/>
    </row>
    <row r="5" spans="1:22" ht="15">
      <c r="A5" s="2774" t="s">
        <v>2101</v>
      </c>
      <c r="B5" s="3745" t="s">
        <v>2102</v>
      </c>
      <c r="C5" s="3746"/>
      <c r="D5" s="2882"/>
      <c r="E5" s="2007" t="s">
        <v>2103</v>
      </c>
      <c r="F5" s="2008" t="s">
        <v>2104</v>
      </c>
      <c r="G5" s="1621"/>
      <c r="H5" s="1621"/>
      <c r="I5" s="1621"/>
      <c r="J5" s="1621"/>
      <c r="K5" s="1621"/>
      <c r="L5" s="1621"/>
      <c r="M5" s="1621"/>
      <c r="N5" s="1621"/>
      <c r="O5" s="1621"/>
      <c r="P5" s="1621"/>
      <c r="Q5" s="1621"/>
      <c r="R5" s="1621"/>
      <c r="S5" s="1621"/>
    </row>
    <row r="6" spans="1:22">
      <c r="A6" s="2775" t="str">
        <f>'数据-取费表'!AN6</f>
        <v>收益法</v>
      </c>
      <c r="B6" s="2773">
        <f ca="1">IF(F6="是",'数据-取费表'!AO6,0)</f>
        <v>63655</v>
      </c>
      <c r="C6" s="2005" t="s">
        <v>2099</v>
      </c>
      <c r="D6" s="2883"/>
      <c r="E6" s="2777">
        <f>IF(OR(A6=0,F6="否"),0,'数据-取费表'!K6+'数据-取费表'!S6)</f>
        <v>30117.4</v>
      </c>
      <c r="F6" s="2009" t="s">
        <v>2105</v>
      </c>
      <c r="G6" s="1621"/>
      <c r="H6" s="1621"/>
      <c r="I6" s="1621"/>
      <c r="J6" s="1621"/>
      <c r="K6" s="1621"/>
      <c r="L6" s="1621"/>
      <c r="M6" s="1621"/>
      <c r="N6" s="1621"/>
      <c r="O6" s="1621"/>
      <c r="P6" s="1621"/>
      <c r="Q6" s="1621"/>
      <c r="R6" s="1621"/>
      <c r="S6" s="1621"/>
    </row>
    <row r="7" spans="1:22">
      <c r="A7" s="2775" t="str">
        <f>'数据-取费表'!AN7</f>
        <v>收益法-车库</v>
      </c>
      <c r="B7" s="2773">
        <f ca="1">IF(F7="是",'数据-取费表'!AO7,0)</f>
        <v>723</v>
      </c>
      <c r="C7" s="2005" t="s">
        <v>2099</v>
      </c>
      <c r="D7" s="2883"/>
      <c r="E7" s="2777">
        <f>IF(OR(A7=0,F7="否"),0,'数据-取费表'!K7+'数据-取费表'!S7)</f>
        <v>1943.05</v>
      </c>
      <c r="F7" s="2009" t="s">
        <v>2105</v>
      </c>
      <c r="G7" s="1621"/>
      <c r="H7" s="1621"/>
      <c r="I7" s="1621"/>
      <c r="J7" s="1621"/>
      <c r="K7" s="1621"/>
      <c r="L7" s="1621"/>
      <c r="M7" s="1621"/>
      <c r="N7" s="1621"/>
      <c r="O7" s="1621"/>
      <c r="P7" s="1621"/>
      <c r="Q7" s="1621"/>
      <c r="R7" s="1621"/>
      <c r="S7" s="1621"/>
    </row>
    <row r="8" spans="1:22">
      <c r="A8" s="2775">
        <f>'数据-取费表'!AN8</f>
        <v>0</v>
      </c>
      <c r="B8" s="2773" t="e">
        <f ca="1">IF(F8="是",'数据-取费表'!AO8,0)</f>
        <v>#REF!</v>
      </c>
      <c r="C8" s="2005" t="s">
        <v>2099</v>
      </c>
      <c r="D8" s="2883"/>
      <c r="E8" s="2777">
        <f>IF(OR(A8=0,F8="否"),0,'数据-取费表'!K8+'数据-取费表'!S8)</f>
        <v>0</v>
      </c>
      <c r="F8" s="2009" t="s">
        <v>2105</v>
      </c>
      <c r="G8" s="1621"/>
      <c r="H8" s="1621"/>
      <c r="I8" s="1621"/>
      <c r="J8" s="1621"/>
      <c r="K8" s="1621"/>
      <c r="L8" s="1621"/>
      <c r="M8" s="1621"/>
      <c r="N8" s="1621"/>
      <c r="O8" s="1621"/>
      <c r="P8" s="1621"/>
      <c r="Q8" s="1621"/>
      <c r="R8" s="1621"/>
      <c r="S8" s="1621"/>
    </row>
    <row r="9" spans="1:22">
      <c r="A9" s="2775">
        <f>'数据-取费表'!AN9</f>
        <v>0</v>
      </c>
      <c r="B9" s="2773" t="e">
        <f ca="1">IF(F9="是",'数据-取费表'!AO9,0)</f>
        <v>#REF!</v>
      </c>
      <c r="C9" s="2005" t="s">
        <v>2099</v>
      </c>
      <c r="D9" s="2883"/>
      <c r="E9" s="2777">
        <f>IF(OR(A9=0,F9="否"),0,'数据-取费表'!K9+'数据-取费表'!S9)</f>
        <v>0</v>
      </c>
      <c r="F9" s="2009" t="s">
        <v>2105</v>
      </c>
      <c r="G9" s="1621"/>
      <c r="H9" s="1621"/>
      <c r="I9" s="1621"/>
      <c r="J9" s="1621"/>
      <c r="K9" s="1621"/>
      <c r="L9" s="1621"/>
      <c r="M9" s="1621"/>
      <c r="N9" s="1621"/>
      <c r="O9" s="1621"/>
      <c r="P9" s="1621"/>
      <c r="Q9" s="1621"/>
      <c r="R9" s="1621"/>
      <c r="S9" s="1621"/>
    </row>
    <row r="10" spans="1:22">
      <c r="A10" s="2775">
        <f>'数据-取费表'!AN10</f>
        <v>0</v>
      </c>
      <c r="B10" s="2773" t="e">
        <f ca="1">IF(F10="是",'数据-取费表'!AO10,0)</f>
        <v>#REF!</v>
      </c>
      <c r="C10" s="2005" t="s">
        <v>2099</v>
      </c>
      <c r="D10" s="2883"/>
      <c r="E10" s="2777">
        <f>IF(OR(A10=0,F10="否"),0,'数据-取费表'!K10+'数据-取费表'!S10)</f>
        <v>0</v>
      </c>
      <c r="F10" s="2009" t="s">
        <v>2105</v>
      </c>
      <c r="G10" s="1621"/>
      <c r="H10" s="1621"/>
      <c r="I10" s="1621"/>
      <c r="J10" s="1621"/>
      <c r="K10" s="1621"/>
      <c r="L10" s="1621"/>
      <c r="M10" s="1621"/>
      <c r="N10" s="1621"/>
      <c r="O10" s="1621"/>
      <c r="P10" s="1621"/>
      <c r="Q10" s="1621"/>
      <c r="R10" s="1621"/>
      <c r="S10" s="1621"/>
    </row>
    <row r="11" spans="1:22">
      <c r="A11" s="2775">
        <f>'数据-取费表'!AN11</f>
        <v>0</v>
      </c>
      <c r="B11" s="2773" t="e">
        <f ca="1">IF(F11="是",'数据-取费表'!AO11,0)</f>
        <v>#REF!</v>
      </c>
      <c r="C11" s="2005" t="s">
        <v>2099</v>
      </c>
      <c r="D11" s="2883"/>
      <c r="E11" s="2777">
        <f>IF(OR(A11=0,F11="否"),0,'数据-取费表'!K11+'数据-取费表'!S11)</f>
        <v>0</v>
      </c>
      <c r="F11" s="2009" t="s">
        <v>2105</v>
      </c>
      <c r="G11" s="1621"/>
      <c r="H11" s="1621"/>
      <c r="I11" s="1621"/>
      <c r="J11" s="1621"/>
      <c r="K11" s="1621"/>
      <c r="L11" s="1621"/>
      <c r="M11" s="1621"/>
      <c r="N11" s="1621"/>
      <c r="O11" s="1621"/>
      <c r="P11" s="1621"/>
      <c r="Q11" s="1621"/>
      <c r="R11" s="1621"/>
      <c r="S11" s="1621"/>
    </row>
    <row r="12" spans="1:22">
      <c r="A12" s="2775">
        <f>'数据-取费表'!AN12</f>
        <v>0</v>
      </c>
      <c r="B12" s="2773" t="e">
        <f ca="1">IF(F12="是",'数据-取费表'!AO12,0)</f>
        <v>#REF!</v>
      </c>
      <c r="C12" s="2005" t="s">
        <v>2099</v>
      </c>
      <c r="D12" s="2883"/>
      <c r="E12" s="2777">
        <f>IF(OR(A12=0,F12="否"),0,'数据-取费表'!K12+'数据-取费表'!S12)</f>
        <v>0</v>
      </c>
      <c r="F12" s="2009" t="s">
        <v>2105</v>
      </c>
      <c r="G12" s="1621"/>
      <c r="H12" s="1621"/>
      <c r="I12" s="1621"/>
      <c r="J12" s="1621"/>
      <c r="K12" s="1621"/>
      <c r="L12" s="1621"/>
      <c r="M12" s="1621"/>
      <c r="N12" s="1621"/>
      <c r="O12" s="1621"/>
      <c r="P12" s="1621"/>
      <c r="Q12" s="1621"/>
      <c r="R12" s="1621"/>
      <c r="S12" s="1621"/>
    </row>
    <row r="13" spans="1:22" ht="15" thickBot="1">
      <c r="A13" s="2776">
        <f>'数据-取费表'!AN13</f>
        <v>0</v>
      </c>
      <c r="B13" s="2773" t="e">
        <f ca="1">IF(F13="是",'数据-取费表'!AO13,0)</f>
        <v>#REF!</v>
      </c>
      <c r="C13" s="2010" t="s">
        <v>2099</v>
      </c>
      <c r="D13" s="2884"/>
      <c r="E13" s="2777">
        <f>IF(OR(A13=0,F13="否"),0,'数据-取费表'!K13+'数据-取费表'!S13)</f>
        <v>0</v>
      </c>
      <c r="F13" s="2009" t="s">
        <v>2105</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2222</v>
      </c>
      <c r="C1" s="1355" t="s">
        <v>2110</v>
      </c>
      <c r="D1" s="1342"/>
      <c r="E1" s="2489"/>
      <c r="F1" s="2012"/>
      <c r="G1" s="1352" t="s">
        <v>2223</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8" customFormat="1" ht="28.5" customHeight="1" thickTop="1">
      <c r="A2" s="1338" t="s">
        <v>1907</v>
      </c>
      <c r="B2" s="1275" t="e">
        <f ca="1">IF(C2="——",ROUND(C49*D3/10000,0),ROUND(C49*D3/10000,0)-D2)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2084"/>
      <c r="Q2" s="1021"/>
      <c r="R2" s="1021"/>
      <c r="S2" s="1021"/>
      <c r="T2" s="1021"/>
      <c r="U2" s="1021"/>
      <c r="V2" s="1021"/>
      <c r="W2" s="1021"/>
      <c r="X2" s="1021"/>
      <c r="Y2" s="1021"/>
      <c r="Z2" s="1021"/>
      <c r="AA2" s="1021"/>
      <c r="AB2" s="1021"/>
      <c r="AC2" s="2085"/>
    </row>
    <row r="3" spans="1:29" s="358" customFormat="1" ht="28.5" customHeight="1" thickBot="1">
      <c r="A3" s="209" t="s">
        <v>1909</v>
      </c>
      <c r="B3" s="566" t="e">
        <f ca="1">IF(C2="——",C49,ROUND(B2*10000/D3,0))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2084"/>
      <c r="Q3" s="1021"/>
      <c r="R3" s="1021"/>
      <c r="S3" s="1021"/>
      <c r="T3" s="1021"/>
      <c r="U3" s="1021"/>
      <c r="V3" s="1021"/>
      <c r="W3" s="1021"/>
      <c r="X3" s="1021"/>
      <c r="Y3" s="1021"/>
      <c r="Z3" s="1021"/>
      <c r="AA3" s="1021"/>
      <c r="AB3" s="1021"/>
      <c r="AC3" s="2086"/>
    </row>
    <row r="4" spans="1:29" ht="15">
      <c r="A4" s="361" t="s">
        <v>2225</v>
      </c>
      <c r="B4" s="362"/>
      <c r="C4" s="3687" t="s">
        <v>2226</v>
      </c>
      <c r="D4" s="3688"/>
      <c r="E4" s="3689" t="s">
        <v>2227</v>
      </c>
      <c r="F4" s="3690"/>
      <c r="G4" s="3687" t="s">
        <v>2228</v>
      </c>
      <c r="H4" s="3688"/>
      <c r="I4" s="3687" t="s">
        <v>2229</v>
      </c>
      <c r="J4" s="3688"/>
      <c r="K4" s="567" t="s">
        <v>2230</v>
      </c>
      <c r="L4" s="2889"/>
      <c r="M4" s="2890"/>
      <c r="N4" s="2890"/>
      <c r="O4" s="2890"/>
      <c r="P4" s="3691" t="s">
        <v>2231</v>
      </c>
      <c r="Q4" s="3692"/>
      <c r="R4" s="3674" t="s">
        <v>2227</v>
      </c>
      <c r="S4" s="3675"/>
      <c r="T4" s="3674" t="s">
        <v>2228</v>
      </c>
      <c r="U4" s="3675"/>
      <c r="V4" s="3699" t="s">
        <v>2229</v>
      </c>
      <c r="W4" s="3699"/>
      <c r="X4" s="1486"/>
      <c r="Y4" s="3674" t="s">
        <v>2231</v>
      </c>
      <c r="Z4" s="3675"/>
      <c r="AA4" s="3669" t="s">
        <v>2227</v>
      </c>
      <c r="AB4" s="3699" t="s">
        <v>2228</v>
      </c>
      <c r="AC4" s="3669" t="s">
        <v>2229</v>
      </c>
    </row>
    <row r="5" spans="1:29" ht="15">
      <c r="A5" s="364"/>
      <c r="B5" s="365"/>
      <c r="C5" s="3680" t="s">
        <v>2122</v>
      </c>
      <c r="D5" s="3681"/>
      <c r="E5" s="3678" t="s">
        <v>2123</v>
      </c>
      <c r="F5" s="3679"/>
      <c r="G5" s="3680" t="s">
        <v>2124</v>
      </c>
      <c r="H5" s="3681"/>
      <c r="I5" s="3680" t="s">
        <v>2125</v>
      </c>
      <c r="J5" s="3681"/>
      <c r="K5" s="567"/>
      <c r="L5" s="2889"/>
      <c r="M5" s="2890"/>
      <c r="N5" s="2890"/>
      <c r="O5" s="2890"/>
      <c r="P5" s="3693"/>
      <c r="Q5" s="3694"/>
      <c r="R5" s="3676"/>
      <c r="S5" s="3677"/>
      <c r="T5" s="3676"/>
      <c r="U5" s="3677"/>
      <c r="V5" s="3699"/>
      <c r="W5" s="3699"/>
      <c r="X5" s="1486"/>
      <c r="Y5" s="3676"/>
      <c r="Z5" s="3677"/>
      <c r="AA5" s="3670"/>
      <c r="AB5" s="3699"/>
      <c r="AC5" s="3670"/>
    </row>
    <row r="6" spans="1:29" ht="15.75" thickBot="1">
      <c r="A6" s="366"/>
      <c r="B6" s="367"/>
      <c r="C6" s="3682" t="s">
        <v>2126</v>
      </c>
      <c r="D6" s="3683"/>
      <c r="E6" s="3684" t="s">
        <v>2126</v>
      </c>
      <c r="F6" s="3685"/>
      <c r="G6" s="3682" t="s">
        <v>2126</v>
      </c>
      <c r="H6" s="3683"/>
      <c r="I6" s="3682" t="s">
        <v>2126</v>
      </c>
      <c r="J6" s="3683"/>
      <c r="K6" s="567" t="s">
        <v>2127</v>
      </c>
      <c r="L6" s="2889"/>
      <c r="M6" s="2890"/>
      <c r="N6" s="2890"/>
      <c r="O6" s="2890"/>
      <c r="P6" s="3695"/>
      <c r="Q6" s="3696"/>
      <c r="R6" s="3676"/>
      <c r="S6" s="3677"/>
      <c r="T6" s="3697"/>
      <c r="U6" s="3698"/>
      <c r="V6" s="3699"/>
      <c r="W6" s="3699"/>
      <c r="X6" s="1486"/>
      <c r="Y6" s="3697"/>
      <c r="Z6" s="3698"/>
      <c r="AA6" s="3671"/>
      <c r="AB6" s="3699"/>
      <c r="AC6" s="3671"/>
    </row>
    <row r="7" spans="1:29" s="113" customFormat="1" ht="15.75" thickBot="1">
      <c r="A7" s="368" t="s">
        <v>2128</v>
      </c>
      <c r="B7" s="369"/>
      <c r="C7" s="370">
        <f>'数据-取费表'!B2</f>
        <v>44901</v>
      </c>
      <c r="D7" s="371">
        <v>100</v>
      </c>
      <c r="E7" s="372"/>
      <c r="F7" s="373">
        <f>SUMIF(58:58,YEAR(E7)&amp;"-"&amp;MONTH(E7),59:59)</f>
        <v>0</v>
      </c>
      <c r="G7" s="372"/>
      <c r="H7" s="371">
        <f>SUMIF(58:58,YEAR(G7)&amp;"-"&amp;MONTH(G7),59:59)</f>
        <v>0</v>
      </c>
      <c r="I7" s="372"/>
      <c r="J7" s="371">
        <f>SUMIF(58:58,YEAR(I7)&amp;"-"&amp;MONTH(I7),59:59)</f>
        <v>0</v>
      </c>
      <c r="K7" s="568"/>
      <c r="L7" s="2891"/>
      <c r="M7" s="2892"/>
      <c r="N7" s="2892"/>
      <c r="O7" s="2892"/>
      <c r="P7" s="3672" t="s">
        <v>2129</v>
      </c>
      <c r="Q7" s="3700"/>
      <c r="R7" s="707" t="s">
        <v>17</v>
      </c>
      <c r="S7" s="708">
        <f t="shared" ref="S7:S15" si="0">F7</f>
        <v>0</v>
      </c>
      <c r="T7" s="707" t="s">
        <v>17</v>
      </c>
      <c r="U7" s="708">
        <f t="shared" ref="U7:U15" si="1">H7</f>
        <v>0</v>
      </c>
      <c r="V7" s="707" t="s">
        <v>17</v>
      </c>
      <c r="W7" s="708">
        <f t="shared" ref="W7:W15" si="2">J7</f>
        <v>0</v>
      </c>
      <c r="X7" s="709"/>
      <c r="Y7" s="3672" t="s">
        <v>2129</v>
      </c>
      <c r="Z7" s="3673"/>
      <c r="AA7" s="710" t="e">
        <f>D7/F7</f>
        <v>#DIV/0!</v>
      </c>
      <c r="AB7" s="710" t="e">
        <f>D7/H7</f>
        <v>#DIV/0!</v>
      </c>
      <c r="AC7" s="710"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672" t="s">
        <v>2132</v>
      </c>
      <c r="Q8" s="3673"/>
      <c r="R8" s="707" t="s">
        <v>17</v>
      </c>
      <c r="S8" s="708">
        <f t="shared" si="0"/>
        <v>0</v>
      </c>
      <c r="T8" s="707" t="s">
        <v>17</v>
      </c>
      <c r="U8" s="708">
        <f t="shared" si="1"/>
        <v>0</v>
      </c>
      <c r="V8" s="707" t="s">
        <v>17</v>
      </c>
      <c r="W8" s="708">
        <f t="shared" si="2"/>
        <v>0</v>
      </c>
      <c r="X8" s="709"/>
      <c r="Y8" s="3672" t="s">
        <v>2132</v>
      </c>
      <c r="Z8" s="3673"/>
      <c r="AA8" s="710" t="e">
        <f t="shared" ref="AA8:AA46" si="3">D8/F8</f>
        <v>#DIV/0!</v>
      </c>
      <c r="AB8" s="710" t="e">
        <f t="shared" ref="AB8:AB46" si="4">D8/H8</f>
        <v>#DIV/0!</v>
      </c>
      <c r="AC8" s="710"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686"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686"/>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686"/>
      <c r="Q11" s="1474" t="str">
        <f t="shared" si="6"/>
        <v>容积率</v>
      </c>
      <c r="R11" s="707" t="s">
        <v>17</v>
      </c>
      <c r="S11" s="708" t="e">
        <f t="shared" si="0"/>
        <v>#N/A</v>
      </c>
      <c r="T11" s="707" t="s">
        <v>17</v>
      </c>
      <c r="U11" s="708" t="e">
        <f t="shared" si="1"/>
        <v>#N/A</v>
      </c>
      <c r="V11" s="707" t="s">
        <v>17</v>
      </c>
      <c r="W11" s="708" t="e">
        <f t="shared" si="2"/>
        <v>#N/A</v>
      </c>
      <c r="X11" s="709"/>
      <c r="Y11" s="3642"/>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686"/>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686"/>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710">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686"/>
      <c r="Q14" s="1474">
        <f t="shared" si="6"/>
        <v>111</v>
      </c>
      <c r="R14" s="707" t="s">
        <v>17</v>
      </c>
      <c r="S14" s="708">
        <f t="shared" si="0"/>
        <v>100</v>
      </c>
      <c r="T14" s="707" t="s">
        <v>17</v>
      </c>
      <c r="U14" s="708">
        <f t="shared" si="1"/>
        <v>100</v>
      </c>
      <c r="V14" s="707" t="s">
        <v>17</v>
      </c>
      <c r="W14" s="708">
        <f t="shared" si="2"/>
        <v>100</v>
      </c>
      <c r="X14" s="709"/>
      <c r="Y14" s="3642"/>
      <c r="Z14" s="55">
        <f t="shared" si="7"/>
        <v>111</v>
      </c>
      <c r="AA14" s="710">
        <f t="shared" si="3"/>
        <v>1</v>
      </c>
      <c r="AB14" s="710">
        <f t="shared" si="4"/>
        <v>1</v>
      </c>
      <c r="AC14" s="710">
        <f t="shared" si="5"/>
        <v>1</v>
      </c>
    </row>
    <row r="15" spans="1:29" ht="71.25">
      <c r="A15" s="399" t="s">
        <v>2139</v>
      </c>
      <c r="B15" s="65" t="s">
        <v>2233</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713" t="s">
        <v>2140</v>
      </c>
      <c r="Q15" s="1483" t="str">
        <f t="shared" si="6"/>
        <v>商业繁华度</v>
      </c>
      <c r="R15" s="711" t="s">
        <v>17</v>
      </c>
      <c r="S15" s="712">
        <f t="shared" si="0"/>
        <v>100</v>
      </c>
      <c r="T15" s="711" t="s">
        <v>17</v>
      </c>
      <c r="U15" s="712">
        <f t="shared" si="1"/>
        <v>100</v>
      </c>
      <c r="V15" s="711" t="s">
        <v>17</v>
      </c>
      <c r="W15" s="712">
        <f t="shared" si="2"/>
        <v>100</v>
      </c>
      <c r="X15" s="1486"/>
      <c r="Y15" s="3706" t="s">
        <v>2140</v>
      </c>
      <c r="Z15" s="1487" t="str">
        <f t="shared" si="7"/>
        <v>商业繁华度</v>
      </c>
      <c r="AA15" s="1484">
        <f t="shared" si="3"/>
        <v>1</v>
      </c>
      <c r="AB15" s="1484">
        <f t="shared" si="4"/>
        <v>1</v>
      </c>
      <c r="AC15" s="1484">
        <f t="shared" si="5"/>
        <v>1</v>
      </c>
    </row>
    <row r="16" spans="1:29" ht="15">
      <c r="A16" s="387"/>
      <c r="B16" s="405"/>
      <c r="C16" s="406"/>
      <c r="D16" s="407"/>
      <c r="E16" s="406"/>
      <c r="F16" s="408"/>
      <c r="G16" s="406"/>
      <c r="H16" s="409"/>
      <c r="I16" s="406"/>
      <c r="J16" s="407"/>
      <c r="K16" s="572"/>
      <c r="L16" s="2896"/>
      <c r="M16" s="2890"/>
      <c r="N16" s="2890"/>
      <c r="O16" s="2890"/>
      <c r="P16" s="3714"/>
      <c r="Q16" s="1483"/>
      <c r="R16" s="711"/>
      <c r="S16" s="712"/>
      <c r="T16" s="711"/>
      <c r="U16" s="712"/>
      <c r="V16" s="711"/>
      <c r="W16" s="712"/>
      <c r="X16" s="1486"/>
      <c r="Y16" s="3707"/>
      <c r="Z16" s="1487"/>
      <c r="AA16" s="1484">
        <v>1</v>
      </c>
      <c r="AB16" s="1484">
        <v>1</v>
      </c>
      <c r="AC16" s="1484">
        <v>1</v>
      </c>
    </row>
    <row r="17" spans="1:29" ht="85.5">
      <c r="A17" s="387"/>
      <c r="B17" s="410" t="s">
        <v>1704</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714"/>
      <c r="Q17" s="1483" t="str">
        <f>B17</f>
        <v>交通便捷度</v>
      </c>
      <c r="R17" s="711" t="s">
        <v>17</v>
      </c>
      <c r="S17" s="712">
        <f>F17</f>
        <v>100</v>
      </c>
      <c r="T17" s="711" t="s">
        <v>17</v>
      </c>
      <c r="U17" s="712">
        <f>H17</f>
        <v>100</v>
      </c>
      <c r="V17" s="711" t="s">
        <v>17</v>
      </c>
      <c r="W17" s="712">
        <f>J17</f>
        <v>100</v>
      </c>
      <c r="X17" s="1486"/>
      <c r="Y17" s="3707"/>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2896"/>
      <c r="M18" s="2890"/>
      <c r="N18" s="2890"/>
      <c r="O18" s="2890"/>
      <c r="P18" s="3714"/>
      <c r="Q18" s="1483"/>
      <c r="R18" s="711"/>
      <c r="S18" s="712"/>
      <c r="T18" s="711"/>
      <c r="U18" s="712"/>
      <c r="V18" s="711"/>
      <c r="W18" s="712"/>
      <c r="X18" s="1486"/>
      <c r="Y18" s="3707"/>
      <c r="Z18" s="1487"/>
      <c r="AA18" s="1484">
        <v>1</v>
      </c>
      <c r="AB18" s="1484">
        <v>1</v>
      </c>
      <c r="AC18" s="1484">
        <v>1</v>
      </c>
    </row>
    <row r="19" spans="1:29" ht="42.75">
      <c r="A19" s="387"/>
      <c r="B19" s="410" t="s">
        <v>2234</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714"/>
      <c r="Q19" s="1483" t="str">
        <f>B19</f>
        <v>公共配套设施</v>
      </c>
      <c r="R19" s="711" t="s">
        <v>17</v>
      </c>
      <c r="S19" s="712">
        <f>F19</f>
        <v>100</v>
      </c>
      <c r="T19" s="711" t="s">
        <v>17</v>
      </c>
      <c r="U19" s="712">
        <f>H19</f>
        <v>100</v>
      </c>
      <c r="V19" s="711" t="s">
        <v>17</v>
      </c>
      <c r="W19" s="712">
        <f>J19</f>
        <v>100</v>
      </c>
      <c r="X19" s="1486"/>
      <c r="Y19" s="3707"/>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2896"/>
      <c r="M20" s="2890"/>
      <c r="N20" s="2890"/>
      <c r="O20" s="2890"/>
      <c r="P20" s="3714"/>
      <c r="Q20" s="1483"/>
      <c r="R20" s="711"/>
      <c r="S20" s="712"/>
      <c r="T20" s="711"/>
      <c r="U20" s="712"/>
      <c r="V20" s="711"/>
      <c r="W20" s="712"/>
      <c r="X20" s="1486"/>
      <c r="Y20" s="3707"/>
      <c r="Z20" s="1487"/>
      <c r="AA20" s="1484">
        <v>1</v>
      </c>
      <c r="AB20" s="1484">
        <v>1</v>
      </c>
      <c r="AC20" s="1484">
        <v>1</v>
      </c>
    </row>
    <row r="21" spans="1:29" ht="28.5">
      <c r="A21" s="387"/>
      <c r="B21" s="1242" t="s">
        <v>2235</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714"/>
      <c r="Q21" s="1483" t="str">
        <f>B21</f>
        <v>基础设施水平</v>
      </c>
      <c r="R21" s="711" t="s">
        <v>17</v>
      </c>
      <c r="S21" s="712">
        <f>F21</f>
        <v>100</v>
      </c>
      <c r="T21" s="711" t="s">
        <v>17</v>
      </c>
      <c r="U21" s="712">
        <f>H21</f>
        <v>100</v>
      </c>
      <c r="V21" s="711" t="s">
        <v>17</v>
      </c>
      <c r="W21" s="712">
        <f>J21</f>
        <v>100</v>
      </c>
      <c r="X21" s="1486"/>
      <c r="Y21" s="3707"/>
      <c r="Z21" s="1487" t="str">
        <f>Q21</f>
        <v>基础设施水平</v>
      </c>
      <c r="AA21" s="1484">
        <f t="shared" ref="AA21" si="8">D21/F21</f>
        <v>1</v>
      </c>
      <c r="AB21" s="1484">
        <f t="shared" ref="AB21" si="9">D21/H21</f>
        <v>1</v>
      </c>
      <c r="AC21" s="1484">
        <f t="shared" ref="AC21" si="10">D21/J21</f>
        <v>1</v>
      </c>
    </row>
    <row r="22" spans="1:29" ht="15">
      <c r="A22" s="387"/>
      <c r="B22" s="1242"/>
      <c r="C22" s="2033"/>
      <c r="D22" s="407"/>
      <c r="E22" s="406"/>
      <c r="F22" s="408"/>
      <c r="G22" s="406"/>
      <c r="H22" s="407"/>
      <c r="I22" s="406"/>
      <c r="J22" s="407"/>
      <c r="K22" s="1241"/>
      <c r="L22" s="2896"/>
      <c r="M22" s="2890"/>
      <c r="N22" s="2890"/>
      <c r="O22" s="2890"/>
      <c r="P22" s="3714"/>
      <c r="Q22" s="1483"/>
      <c r="R22" s="711"/>
      <c r="S22" s="712"/>
      <c r="T22" s="711"/>
      <c r="U22" s="712"/>
      <c r="V22" s="711"/>
      <c r="W22" s="712"/>
      <c r="X22" s="1486"/>
      <c r="Y22" s="3707"/>
      <c r="Z22" s="1487"/>
      <c r="AA22" s="1484">
        <v>1</v>
      </c>
      <c r="AB22" s="1484">
        <v>1</v>
      </c>
      <c r="AC22" s="1484">
        <v>1</v>
      </c>
    </row>
    <row r="23" spans="1:29" ht="57">
      <c r="A23" s="387"/>
      <c r="B23" s="410" t="s">
        <v>1706</v>
      </c>
      <c r="C23" s="208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714"/>
      <c r="Q23" s="1483" t="str">
        <f>B23</f>
        <v>自然及人文环境</v>
      </c>
      <c r="R23" s="711" t="s">
        <v>17</v>
      </c>
      <c r="S23" s="712">
        <f>F23</f>
        <v>100</v>
      </c>
      <c r="T23" s="711" t="s">
        <v>17</v>
      </c>
      <c r="U23" s="712">
        <f>H23</f>
        <v>100</v>
      </c>
      <c r="V23" s="711" t="s">
        <v>17</v>
      </c>
      <c r="W23" s="712">
        <f>J23</f>
        <v>100</v>
      </c>
      <c r="X23" s="1486"/>
      <c r="Y23" s="3707"/>
      <c r="Z23" s="1487" t="str">
        <f>Q23</f>
        <v>自然及人文环境</v>
      </c>
      <c r="AA23" s="1484">
        <f t="shared" si="3"/>
        <v>1</v>
      </c>
      <c r="AB23" s="1484">
        <f t="shared" si="4"/>
        <v>1</v>
      </c>
      <c r="AC23" s="1484">
        <f t="shared" si="5"/>
        <v>1</v>
      </c>
    </row>
    <row r="24" spans="1:29" ht="15">
      <c r="A24" s="387"/>
      <c r="B24" s="415"/>
      <c r="C24" s="406"/>
      <c r="D24" s="407"/>
      <c r="E24" s="2030"/>
      <c r="F24" s="408"/>
      <c r="G24" s="2029"/>
      <c r="H24" s="407"/>
      <c r="I24" s="2030"/>
      <c r="J24" s="407"/>
      <c r="K24" s="572"/>
      <c r="L24" s="2896"/>
      <c r="M24" s="2890"/>
      <c r="N24" s="2890"/>
      <c r="O24" s="2890"/>
      <c r="P24" s="3714"/>
      <c r="Q24" s="1483"/>
      <c r="R24" s="711"/>
      <c r="S24" s="712"/>
      <c r="T24" s="711"/>
      <c r="U24" s="712"/>
      <c r="V24" s="711"/>
      <c r="W24" s="712"/>
      <c r="X24" s="1486"/>
      <c r="Y24" s="3707"/>
      <c r="Z24" s="1487"/>
      <c r="AA24" s="1484">
        <v>1</v>
      </c>
      <c r="AB24" s="1484">
        <v>1</v>
      </c>
      <c r="AC24" s="1484">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714"/>
      <c r="Q25" s="1483" t="str">
        <f t="shared" ref="Q25:Q46" si="11">B25</f>
        <v>临街状况</v>
      </c>
      <c r="R25" s="711" t="s">
        <v>17</v>
      </c>
      <c r="S25" s="712">
        <f>F25</f>
        <v>100</v>
      </c>
      <c r="T25" s="711" t="s">
        <v>17</v>
      </c>
      <c r="U25" s="712">
        <f>H25</f>
        <v>100</v>
      </c>
      <c r="V25" s="711" t="s">
        <v>17</v>
      </c>
      <c r="W25" s="712">
        <f>J25</f>
        <v>100</v>
      </c>
      <c r="X25" s="1486"/>
      <c r="Y25" s="3707"/>
      <c r="Z25" s="1487" t="str">
        <f>Q25</f>
        <v>临街状况</v>
      </c>
      <c r="AA25" s="1484">
        <f t="shared" si="3"/>
        <v>1</v>
      </c>
      <c r="AB25" s="1484">
        <f t="shared" si="4"/>
        <v>1</v>
      </c>
      <c r="AC25" s="1484">
        <f t="shared" si="5"/>
        <v>1</v>
      </c>
    </row>
    <row r="26" spans="1:29" ht="15">
      <c r="A26" s="387"/>
      <c r="B26" s="1244"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714"/>
      <c r="Q26" s="1483" t="str">
        <f t="shared" si="11"/>
        <v>平面位置/可视性</v>
      </c>
      <c r="R26" s="711" t="s">
        <v>17</v>
      </c>
      <c r="S26" s="712">
        <f>F26</f>
        <v>100</v>
      </c>
      <c r="T26" s="711" t="s">
        <v>17</v>
      </c>
      <c r="U26" s="712">
        <f>H26</f>
        <v>100</v>
      </c>
      <c r="V26" s="711" t="s">
        <v>17</v>
      </c>
      <c r="W26" s="712">
        <f>J26</f>
        <v>100</v>
      </c>
      <c r="X26" s="1486"/>
      <c r="Y26" s="3707"/>
      <c r="Z26" s="1487" t="str">
        <f>Q26</f>
        <v>平面位置/可视性</v>
      </c>
      <c r="AA26" s="1484">
        <f t="shared" si="3"/>
        <v>1</v>
      </c>
      <c r="AB26" s="1484">
        <f t="shared" si="4"/>
        <v>1</v>
      </c>
      <c r="AC26" s="1484">
        <f t="shared" si="5"/>
        <v>1</v>
      </c>
    </row>
    <row r="27" spans="1:29" s="113" customFormat="1" ht="15">
      <c r="A27" s="390"/>
      <c r="B27" s="410" t="s">
        <v>2238</v>
      </c>
      <c r="C27" s="2088"/>
      <c r="D27" s="421">
        <v>100</v>
      </c>
      <c r="E27" s="2088"/>
      <c r="F27" s="423">
        <f>SUMIF(90:90,E27,91:91)-SUMIF(90:90,C27,91:91)+100</f>
        <v>100</v>
      </c>
      <c r="G27" s="2088"/>
      <c r="H27" s="421">
        <f>SUMIF(90:90,G27,91:91)-SUMIF(90:90,C27,91:91)+100</f>
        <v>100</v>
      </c>
      <c r="I27" s="2088"/>
      <c r="J27" s="421">
        <f>SUMIF(90:90,I27,91:91)-SUMIF(90:90,C27,91:91)+100</f>
        <v>100</v>
      </c>
      <c r="K27" s="569"/>
      <c r="L27" s="2891"/>
      <c r="M27" s="2892"/>
      <c r="N27" s="2892"/>
      <c r="O27" s="2892"/>
      <c r="P27" s="3714"/>
      <c r="Q27" s="1474" t="str">
        <f t="shared" si="11"/>
        <v>人流量</v>
      </c>
      <c r="R27" s="707" t="s">
        <v>17</v>
      </c>
      <c r="S27" s="708">
        <f>F27</f>
        <v>100</v>
      </c>
      <c r="T27" s="707" t="s">
        <v>17</v>
      </c>
      <c r="U27" s="708">
        <f>H27</f>
        <v>100</v>
      </c>
      <c r="V27" s="707" t="s">
        <v>17</v>
      </c>
      <c r="W27" s="708">
        <f>J27</f>
        <v>100</v>
      </c>
      <c r="X27" s="709"/>
      <c r="Y27" s="3707"/>
      <c r="Z27" s="55" t="str">
        <f>Q27</f>
        <v>人流量</v>
      </c>
      <c r="AA27" s="1484">
        <f>D27/F27</f>
        <v>1</v>
      </c>
      <c r="AB27" s="1484">
        <f>D27/H27</f>
        <v>1</v>
      </c>
      <c r="AC27" s="1484">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714"/>
      <c r="Q28" s="1483" t="str">
        <f t="shared" si="11"/>
        <v>楼层</v>
      </c>
      <c r="R28" s="711" t="s">
        <v>17</v>
      </c>
      <c r="S28" s="712">
        <f t="shared" ref="S28:S46" si="12">F28</f>
        <v>100</v>
      </c>
      <c r="T28" s="711" t="s">
        <v>17</v>
      </c>
      <c r="U28" s="712">
        <f t="shared" ref="U28:U46" si="13">H28</f>
        <v>100</v>
      </c>
      <c r="V28" s="711" t="s">
        <v>17</v>
      </c>
      <c r="W28" s="712">
        <f t="shared" ref="W28:W46" si="14">J28</f>
        <v>100</v>
      </c>
      <c r="X28" s="1486"/>
      <c r="Y28" s="3707"/>
      <c r="Z28" s="1487" t="str">
        <f t="shared" ref="Z28:Z46" si="15">Q28</f>
        <v>楼层</v>
      </c>
      <c r="AA28" s="1484">
        <f t="shared" si="3"/>
        <v>1</v>
      </c>
      <c r="AB28" s="1484">
        <f t="shared" si="4"/>
        <v>1</v>
      </c>
      <c r="AC28" s="1484">
        <f t="shared" si="5"/>
        <v>1</v>
      </c>
    </row>
    <row r="29" spans="1:29" ht="15">
      <c r="A29" s="387"/>
      <c r="B29" s="1244">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714"/>
      <c r="Q29" s="1483">
        <f t="shared" si="11"/>
        <v>111</v>
      </c>
      <c r="R29" s="711" t="s">
        <v>17</v>
      </c>
      <c r="S29" s="712">
        <f t="shared" si="12"/>
        <v>100</v>
      </c>
      <c r="T29" s="711" t="s">
        <v>17</v>
      </c>
      <c r="U29" s="712">
        <f t="shared" si="13"/>
        <v>100</v>
      </c>
      <c r="V29" s="711" t="s">
        <v>17</v>
      </c>
      <c r="W29" s="712">
        <f t="shared" si="14"/>
        <v>100</v>
      </c>
      <c r="X29" s="1486"/>
      <c r="Y29" s="3707"/>
      <c r="Z29" s="1487">
        <f t="shared" si="15"/>
        <v>111</v>
      </c>
      <c r="AA29" s="1484">
        <f t="shared" si="3"/>
        <v>1</v>
      </c>
      <c r="AB29" s="1484">
        <f t="shared" si="4"/>
        <v>1</v>
      </c>
      <c r="AC29" s="1484">
        <f t="shared" si="5"/>
        <v>1</v>
      </c>
    </row>
    <row r="30" spans="1:29" ht="15">
      <c r="A30" s="387"/>
      <c r="B30" s="1244">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714"/>
      <c r="Q30" s="1483">
        <f t="shared" si="11"/>
        <v>111</v>
      </c>
      <c r="R30" s="711" t="s">
        <v>17</v>
      </c>
      <c r="S30" s="712">
        <f t="shared" si="12"/>
        <v>100</v>
      </c>
      <c r="T30" s="711" t="s">
        <v>17</v>
      </c>
      <c r="U30" s="712">
        <f t="shared" si="13"/>
        <v>100</v>
      </c>
      <c r="V30" s="711" t="s">
        <v>17</v>
      </c>
      <c r="W30" s="712">
        <f t="shared" si="14"/>
        <v>100</v>
      </c>
      <c r="X30" s="1486"/>
      <c r="Y30" s="3707"/>
      <c r="Z30" s="1487">
        <f t="shared" si="15"/>
        <v>111</v>
      </c>
      <c r="AA30" s="1484">
        <f t="shared" si="3"/>
        <v>1</v>
      </c>
      <c r="AB30" s="1484">
        <f t="shared" si="4"/>
        <v>1</v>
      </c>
      <c r="AC30" s="1484">
        <f t="shared" si="5"/>
        <v>1</v>
      </c>
    </row>
    <row r="31" spans="1:29" ht="15.75" thickBot="1">
      <c r="A31" s="395"/>
      <c r="B31" s="1244">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714"/>
      <c r="Q31" s="1483">
        <f t="shared" si="11"/>
        <v>111</v>
      </c>
      <c r="R31" s="711" t="s">
        <v>17</v>
      </c>
      <c r="S31" s="712">
        <f t="shared" si="12"/>
        <v>100</v>
      </c>
      <c r="T31" s="711" t="s">
        <v>17</v>
      </c>
      <c r="U31" s="712">
        <f t="shared" si="13"/>
        <v>100</v>
      </c>
      <c r="V31" s="711" t="s">
        <v>17</v>
      </c>
      <c r="W31" s="712">
        <f t="shared" si="14"/>
        <v>100</v>
      </c>
      <c r="X31" s="1486"/>
      <c r="Y31" s="3707"/>
      <c r="Z31" s="1487">
        <f t="shared" si="15"/>
        <v>111</v>
      </c>
      <c r="AA31" s="1484">
        <f t="shared" si="3"/>
        <v>1</v>
      </c>
      <c r="AB31" s="1484">
        <f t="shared" si="4"/>
        <v>1</v>
      </c>
      <c r="AC31" s="1484">
        <f t="shared" si="5"/>
        <v>1</v>
      </c>
    </row>
    <row r="32" spans="1:29" ht="15">
      <c r="A32" s="399" t="s">
        <v>2143</v>
      </c>
      <c r="B32" s="67" t="s">
        <v>2240</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6"/>
      <c r="M32" s="2890"/>
      <c r="N32" s="2890"/>
      <c r="O32" s="2890"/>
      <c r="P32" s="3708" t="s">
        <v>2145</v>
      </c>
      <c r="Q32" s="1483" t="str">
        <f t="shared" si="11"/>
        <v>商业类型</v>
      </c>
      <c r="R32" s="711" t="s">
        <v>17</v>
      </c>
      <c r="S32" s="712">
        <f t="shared" si="12"/>
        <v>100</v>
      </c>
      <c r="T32" s="711" t="s">
        <v>17</v>
      </c>
      <c r="U32" s="712">
        <f t="shared" si="13"/>
        <v>100</v>
      </c>
      <c r="V32" s="711" t="s">
        <v>17</v>
      </c>
      <c r="W32" s="712">
        <f t="shared" si="14"/>
        <v>100</v>
      </c>
      <c r="X32" s="1486"/>
      <c r="Y32" s="3711" t="s">
        <v>2145</v>
      </c>
      <c r="Z32" s="1487" t="str">
        <f t="shared" si="15"/>
        <v>商业类型</v>
      </c>
      <c r="AA32" s="1484">
        <f t="shared" si="3"/>
        <v>1</v>
      </c>
      <c r="AB32" s="1484">
        <f t="shared" si="4"/>
        <v>1</v>
      </c>
      <c r="AC32" s="1484">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709"/>
      <c r="Q33" s="713" t="str">
        <f t="shared" si="11"/>
        <v>项目建筑规模</v>
      </c>
      <c r="R33" s="714" t="s">
        <v>17</v>
      </c>
      <c r="S33" s="715" t="e">
        <f t="shared" si="12"/>
        <v>#N/A</v>
      </c>
      <c r="T33" s="714" t="s">
        <v>17</v>
      </c>
      <c r="U33" s="715" t="e">
        <f t="shared" si="13"/>
        <v>#N/A</v>
      </c>
      <c r="V33" s="714" t="s">
        <v>17</v>
      </c>
      <c r="W33" s="715" t="e">
        <f t="shared" si="14"/>
        <v>#N/A</v>
      </c>
      <c r="X33" s="716"/>
      <c r="Y33" s="3711"/>
      <c r="Z33" s="717" t="str">
        <f t="shared" si="15"/>
        <v>项目建筑规模</v>
      </c>
      <c r="AA33" s="1484" t="e">
        <f t="shared" si="3"/>
        <v>#N/A</v>
      </c>
      <c r="AB33" s="1484" t="e">
        <f t="shared" si="4"/>
        <v>#N/A</v>
      </c>
      <c r="AC33" s="1484" t="e">
        <f t="shared" si="5"/>
        <v>#N/A</v>
      </c>
    </row>
    <row r="34" spans="1:29" ht="15">
      <c r="A34" s="431"/>
      <c r="B34" s="381" t="s">
        <v>2147</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6"/>
      <c r="M34" s="2890"/>
      <c r="N34" s="2890"/>
      <c r="O34" s="2890"/>
      <c r="P34" s="3709"/>
      <c r="Q34" s="1483" t="str">
        <f t="shared" si="11"/>
        <v>建筑结构</v>
      </c>
      <c r="R34" s="711" t="s">
        <v>17</v>
      </c>
      <c r="S34" s="712">
        <f t="shared" si="12"/>
        <v>100</v>
      </c>
      <c r="T34" s="711" t="s">
        <v>17</v>
      </c>
      <c r="U34" s="712">
        <f t="shared" si="13"/>
        <v>100</v>
      </c>
      <c r="V34" s="711" t="s">
        <v>17</v>
      </c>
      <c r="W34" s="712">
        <f t="shared" si="14"/>
        <v>100</v>
      </c>
      <c r="X34" s="1486"/>
      <c r="Y34" s="3711"/>
      <c r="Z34" s="1487" t="str">
        <f t="shared" si="15"/>
        <v>建筑结构</v>
      </c>
      <c r="AA34" s="1484">
        <f t="shared" si="3"/>
        <v>1</v>
      </c>
      <c r="AB34" s="1484">
        <f t="shared" si="4"/>
        <v>1</v>
      </c>
      <c r="AC34" s="1484">
        <f t="shared" si="5"/>
        <v>1</v>
      </c>
    </row>
    <row r="35" spans="1:29" ht="15">
      <c r="A35" s="431"/>
      <c r="B35" s="381" t="s">
        <v>2241</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6"/>
      <c r="M35" s="2890"/>
      <c r="N35" s="2890"/>
      <c r="O35" s="2890"/>
      <c r="P35" s="3709"/>
      <c r="Q35" s="1483" t="str">
        <f t="shared" si="11"/>
        <v>公共部分装修</v>
      </c>
      <c r="R35" s="711" t="s">
        <v>17</v>
      </c>
      <c r="S35" s="712">
        <f t="shared" si="12"/>
        <v>100</v>
      </c>
      <c r="T35" s="711" t="s">
        <v>17</v>
      </c>
      <c r="U35" s="712">
        <f t="shared" si="13"/>
        <v>100</v>
      </c>
      <c r="V35" s="711" t="s">
        <v>17</v>
      </c>
      <c r="W35" s="712">
        <f t="shared" si="14"/>
        <v>100</v>
      </c>
      <c r="X35" s="1486"/>
      <c r="Y35" s="3711"/>
      <c r="Z35" s="1487" t="str">
        <f t="shared" si="15"/>
        <v>公共部分装修</v>
      </c>
      <c r="AA35" s="1484">
        <f t="shared" si="3"/>
        <v>1</v>
      </c>
      <c r="AB35" s="1484">
        <f t="shared" si="4"/>
        <v>1</v>
      </c>
      <c r="AC35" s="1484">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709"/>
      <c r="Q36" s="1483" t="str">
        <f t="shared" si="11"/>
        <v>成新度</v>
      </c>
      <c r="R36" s="711" t="s">
        <v>17</v>
      </c>
      <c r="S36" s="712" t="e">
        <f t="shared" si="12"/>
        <v>#N/A</v>
      </c>
      <c r="T36" s="711" t="s">
        <v>17</v>
      </c>
      <c r="U36" s="712" t="e">
        <f t="shared" si="13"/>
        <v>#N/A</v>
      </c>
      <c r="V36" s="711" t="s">
        <v>17</v>
      </c>
      <c r="W36" s="712" t="e">
        <f t="shared" si="14"/>
        <v>#N/A</v>
      </c>
      <c r="X36" s="1486"/>
      <c r="Y36" s="3711"/>
      <c r="Z36" s="1487" t="str">
        <f t="shared" si="15"/>
        <v>成新度</v>
      </c>
      <c r="AA36" s="1484" t="e">
        <f t="shared" si="3"/>
        <v>#N/A</v>
      </c>
      <c r="AB36" s="1484" t="e">
        <f t="shared" si="4"/>
        <v>#N/A</v>
      </c>
      <c r="AC36" s="1484" t="e">
        <f t="shared" si="5"/>
        <v>#N/A</v>
      </c>
    </row>
    <row r="37" spans="1:29" s="113" customFormat="1" ht="15">
      <c r="A37" s="432"/>
      <c r="B37" s="381" t="s">
        <v>2243</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1"/>
      <c r="M37" s="2892"/>
      <c r="N37" s="2892"/>
      <c r="O37" s="2892"/>
      <c r="P37" s="3709"/>
      <c r="Q37" s="1474" t="str">
        <f t="shared" si="11"/>
        <v>市政基础设施</v>
      </c>
      <c r="R37" s="707" t="s">
        <v>17</v>
      </c>
      <c r="S37" s="708">
        <f t="shared" si="12"/>
        <v>100</v>
      </c>
      <c r="T37" s="707" t="s">
        <v>17</v>
      </c>
      <c r="U37" s="708">
        <f t="shared" si="13"/>
        <v>100</v>
      </c>
      <c r="V37" s="707" t="s">
        <v>17</v>
      </c>
      <c r="W37" s="708">
        <f t="shared" si="14"/>
        <v>100</v>
      </c>
      <c r="X37" s="709"/>
      <c r="Y37" s="3711"/>
      <c r="Z37" s="55" t="str">
        <f t="shared" si="15"/>
        <v>市政基础设施</v>
      </c>
      <c r="AA37" s="710">
        <f t="shared" si="3"/>
        <v>1</v>
      </c>
      <c r="AB37" s="710">
        <f t="shared" si="4"/>
        <v>1</v>
      </c>
      <c r="AC37" s="710">
        <f t="shared" si="5"/>
        <v>1</v>
      </c>
    </row>
    <row r="38" spans="1:29" ht="15">
      <c r="A38" s="431"/>
      <c r="B38" s="381" t="s">
        <v>2244</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6"/>
      <c r="M38" s="2890"/>
      <c r="N38" s="2890"/>
      <c r="O38" s="2890"/>
      <c r="P38" s="3709" t="s">
        <v>2145</v>
      </c>
      <c r="Q38" s="1483" t="str">
        <f t="shared" si="11"/>
        <v>业态</v>
      </c>
      <c r="R38" s="711" t="s">
        <v>17</v>
      </c>
      <c r="S38" s="712">
        <f t="shared" si="12"/>
        <v>100</v>
      </c>
      <c r="T38" s="711" t="s">
        <v>17</v>
      </c>
      <c r="U38" s="712">
        <f t="shared" si="13"/>
        <v>100</v>
      </c>
      <c r="V38" s="711" t="s">
        <v>17</v>
      </c>
      <c r="W38" s="712">
        <f t="shared" si="14"/>
        <v>100</v>
      </c>
      <c r="X38" s="1486"/>
      <c r="Y38" s="3711" t="s">
        <v>2145</v>
      </c>
      <c r="Z38" s="1487" t="str">
        <f t="shared" si="15"/>
        <v>业态</v>
      </c>
      <c r="AA38" s="1484">
        <f t="shared" si="3"/>
        <v>1</v>
      </c>
      <c r="AB38" s="1484">
        <f t="shared" si="4"/>
        <v>1</v>
      </c>
      <c r="AC38" s="1484">
        <f t="shared" si="5"/>
        <v>1</v>
      </c>
    </row>
    <row r="39" spans="1:29" ht="15">
      <c r="A39" s="431"/>
      <c r="B39" s="381" t="s">
        <v>2245</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6"/>
      <c r="M39" s="2890"/>
      <c r="N39" s="2890"/>
      <c r="O39" s="2890"/>
      <c r="P39" s="3709"/>
      <c r="Q39" s="1483" t="str">
        <f t="shared" si="11"/>
        <v>层高</v>
      </c>
      <c r="R39" s="711" t="s">
        <v>17</v>
      </c>
      <c r="S39" s="712">
        <f t="shared" si="12"/>
        <v>100</v>
      </c>
      <c r="T39" s="711" t="s">
        <v>17</v>
      </c>
      <c r="U39" s="712">
        <f t="shared" si="13"/>
        <v>100</v>
      </c>
      <c r="V39" s="711" t="s">
        <v>17</v>
      </c>
      <c r="W39" s="712">
        <f t="shared" si="14"/>
        <v>100</v>
      </c>
      <c r="X39" s="1486"/>
      <c r="Y39" s="3711"/>
      <c r="Z39" s="1487" t="str">
        <f t="shared" si="15"/>
        <v>层高</v>
      </c>
      <c r="AA39" s="1484">
        <f t="shared" si="3"/>
        <v>1</v>
      </c>
      <c r="AB39" s="1484">
        <f t="shared" si="4"/>
        <v>1</v>
      </c>
      <c r="AC39" s="1484">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709"/>
      <c r="Q40" s="1483" t="str">
        <f t="shared" si="11"/>
        <v>单套建筑面积</v>
      </c>
      <c r="R40" s="711" t="s">
        <v>17</v>
      </c>
      <c r="S40" s="712">
        <f t="shared" si="12"/>
        <v>100</v>
      </c>
      <c r="T40" s="711" t="s">
        <v>17</v>
      </c>
      <c r="U40" s="712">
        <f t="shared" si="13"/>
        <v>100</v>
      </c>
      <c r="V40" s="711" t="s">
        <v>17</v>
      </c>
      <c r="W40" s="712">
        <f t="shared" si="14"/>
        <v>100</v>
      </c>
      <c r="X40" s="1486"/>
      <c r="Y40" s="3711"/>
      <c r="Z40" s="1487" t="str">
        <f t="shared" si="15"/>
        <v>单套建筑面积</v>
      </c>
      <c r="AA40" s="1484">
        <f t="shared" si="3"/>
        <v>1</v>
      </c>
      <c r="AB40" s="1484">
        <f t="shared" si="4"/>
        <v>1</v>
      </c>
      <c r="AC40" s="1484">
        <f t="shared" si="5"/>
        <v>1</v>
      </c>
    </row>
    <row r="41" spans="1:29" s="430" customFormat="1" ht="15">
      <c r="A41" s="427"/>
      <c r="B41" s="1485"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709"/>
      <c r="Q41" s="713" t="str">
        <f t="shared" si="11"/>
        <v>进深比</v>
      </c>
      <c r="R41" s="714" t="s">
        <v>17</v>
      </c>
      <c r="S41" s="715">
        <f t="shared" si="12"/>
        <v>100</v>
      </c>
      <c r="T41" s="714" t="s">
        <v>17</v>
      </c>
      <c r="U41" s="715">
        <f t="shared" si="13"/>
        <v>100</v>
      </c>
      <c r="V41" s="714" t="s">
        <v>17</v>
      </c>
      <c r="W41" s="715">
        <f t="shared" si="14"/>
        <v>100</v>
      </c>
      <c r="X41" s="716"/>
      <c r="Y41" s="3711"/>
      <c r="Z41" s="717" t="str">
        <f t="shared" si="15"/>
        <v>进深比</v>
      </c>
      <c r="AA41" s="1484">
        <f t="shared" si="3"/>
        <v>1</v>
      </c>
      <c r="AB41" s="1484">
        <f t="shared" si="4"/>
        <v>1</v>
      </c>
      <c r="AC41" s="1484">
        <f t="shared" si="5"/>
        <v>1</v>
      </c>
    </row>
    <row r="42" spans="1:29" ht="15">
      <c r="A42" s="431"/>
      <c r="B42" s="381" t="s">
        <v>2248</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6"/>
      <c r="M42" s="2890"/>
      <c r="N42" s="2890"/>
      <c r="O42" s="2890"/>
      <c r="P42" s="3709"/>
      <c r="Q42" s="1483" t="str">
        <f t="shared" si="11"/>
        <v>内部装修</v>
      </c>
      <c r="R42" s="711" t="s">
        <v>17</v>
      </c>
      <c r="S42" s="712">
        <f t="shared" si="12"/>
        <v>100</v>
      </c>
      <c r="T42" s="711" t="s">
        <v>17</v>
      </c>
      <c r="U42" s="712">
        <f t="shared" si="13"/>
        <v>100</v>
      </c>
      <c r="V42" s="711" t="s">
        <v>17</v>
      </c>
      <c r="W42" s="712">
        <f t="shared" si="14"/>
        <v>100</v>
      </c>
      <c r="X42" s="1486"/>
      <c r="Y42" s="3711"/>
      <c r="Z42" s="1487" t="str">
        <f t="shared" si="15"/>
        <v>内部装修</v>
      </c>
      <c r="AA42" s="1484">
        <f t="shared" si="3"/>
        <v>1</v>
      </c>
      <c r="AB42" s="1484">
        <f t="shared" si="4"/>
        <v>1</v>
      </c>
      <c r="AC42" s="1484">
        <f t="shared" si="5"/>
        <v>1</v>
      </c>
    </row>
    <row r="43" spans="1:29" ht="15">
      <c r="A43" s="431"/>
      <c r="B43" s="381" t="s">
        <v>2156</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6"/>
      <c r="M43" s="2890"/>
      <c r="N43" s="2890"/>
      <c r="O43" s="2890"/>
      <c r="P43" s="3709"/>
      <c r="Q43" s="1483" t="str">
        <f t="shared" si="11"/>
        <v>内部装修维护情况</v>
      </c>
      <c r="R43" s="711" t="s">
        <v>17</v>
      </c>
      <c r="S43" s="712">
        <f t="shared" si="12"/>
        <v>100</v>
      </c>
      <c r="T43" s="711" t="s">
        <v>17</v>
      </c>
      <c r="U43" s="712">
        <f t="shared" si="13"/>
        <v>100</v>
      </c>
      <c r="V43" s="711" t="s">
        <v>17</v>
      </c>
      <c r="W43" s="712">
        <f t="shared" si="14"/>
        <v>100</v>
      </c>
      <c r="X43" s="1486"/>
      <c r="Y43" s="3711"/>
      <c r="Z43" s="1487" t="str">
        <f t="shared" si="15"/>
        <v>内部装修维护情况</v>
      </c>
      <c r="AA43" s="1484">
        <f t="shared" si="3"/>
        <v>1</v>
      </c>
      <c r="AB43" s="1484">
        <f t="shared" si="4"/>
        <v>1</v>
      </c>
      <c r="AC43" s="1484">
        <f t="shared" si="5"/>
        <v>1</v>
      </c>
    </row>
    <row r="44" spans="1:29" s="113" customFormat="1" ht="15">
      <c r="A44" s="432"/>
      <c r="B44" s="124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709"/>
      <c r="Q44" s="1474">
        <f t="shared" si="11"/>
        <v>111</v>
      </c>
      <c r="R44" s="707" t="s">
        <v>17</v>
      </c>
      <c r="S44" s="708">
        <f t="shared" si="12"/>
        <v>100</v>
      </c>
      <c r="T44" s="707" t="s">
        <v>17</v>
      </c>
      <c r="U44" s="708">
        <f t="shared" si="13"/>
        <v>100</v>
      </c>
      <c r="V44" s="707" t="s">
        <v>17</v>
      </c>
      <c r="W44" s="708">
        <f t="shared" si="14"/>
        <v>100</v>
      </c>
      <c r="X44" s="709"/>
      <c r="Y44" s="3711"/>
      <c r="Z44" s="55">
        <f t="shared" si="15"/>
        <v>111</v>
      </c>
      <c r="AA44" s="710">
        <f t="shared" si="3"/>
        <v>1</v>
      </c>
      <c r="AB44" s="710">
        <f t="shared" si="4"/>
        <v>1</v>
      </c>
      <c r="AC44" s="710">
        <f t="shared" si="5"/>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709"/>
      <c r="Q45" s="1483">
        <f t="shared" si="11"/>
        <v>111</v>
      </c>
      <c r="R45" s="711" t="s">
        <v>17</v>
      </c>
      <c r="S45" s="712">
        <f t="shared" si="12"/>
        <v>100</v>
      </c>
      <c r="T45" s="711" t="s">
        <v>17</v>
      </c>
      <c r="U45" s="712">
        <f t="shared" si="13"/>
        <v>100</v>
      </c>
      <c r="V45" s="711" t="s">
        <v>17</v>
      </c>
      <c r="W45" s="712">
        <f t="shared" si="14"/>
        <v>100</v>
      </c>
      <c r="X45" s="1486"/>
      <c r="Y45" s="3711"/>
      <c r="Z45" s="1487">
        <f t="shared" si="15"/>
        <v>111</v>
      </c>
      <c r="AA45" s="1484">
        <f t="shared" si="3"/>
        <v>1</v>
      </c>
      <c r="AB45" s="1484">
        <f t="shared" si="4"/>
        <v>1</v>
      </c>
      <c r="AC45" s="1484">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710"/>
      <c r="Q46" s="1483">
        <f t="shared" si="11"/>
        <v>111</v>
      </c>
      <c r="R46" s="711" t="s">
        <v>17</v>
      </c>
      <c r="S46" s="712">
        <f t="shared" si="12"/>
        <v>100</v>
      </c>
      <c r="T46" s="711" t="s">
        <v>17</v>
      </c>
      <c r="U46" s="712">
        <f t="shared" si="13"/>
        <v>100</v>
      </c>
      <c r="V46" s="711" t="s">
        <v>17</v>
      </c>
      <c r="W46" s="712">
        <f t="shared" si="14"/>
        <v>100</v>
      </c>
      <c r="X46" s="1486"/>
      <c r="Y46" s="3712"/>
      <c r="Z46" s="1487">
        <f t="shared" si="15"/>
        <v>111</v>
      </c>
      <c r="AA46" s="1484">
        <f t="shared" si="3"/>
        <v>1</v>
      </c>
      <c r="AB46" s="1484">
        <f t="shared" si="4"/>
        <v>1</v>
      </c>
      <c r="AC46" s="1484">
        <f t="shared" si="5"/>
        <v>1</v>
      </c>
    </row>
    <row r="47" spans="1:29" ht="15">
      <c r="A47" s="438" t="s">
        <v>2157</v>
      </c>
      <c r="B47" s="439"/>
      <c r="C47" s="1265" t="s">
        <v>1</v>
      </c>
      <c r="D47" s="1266"/>
      <c r="E47" s="1267"/>
      <c r="F47" s="1268"/>
      <c r="G47" s="1269"/>
      <c r="H47" s="1270"/>
      <c r="I47" s="1267"/>
      <c r="J47" s="1270"/>
      <c r="K47" s="720"/>
      <c r="L47" s="2898"/>
      <c r="M47" s="2899"/>
      <c r="N47" s="2890"/>
      <c r="O47" s="2899"/>
      <c r="P47" s="3704" t="str">
        <f>A47</f>
        <v>成交单价（元/平方米）</v>
      </c>
      <c r="Q47" s="3704"/>
      <c r="R47" s="3699">
        <f>E47</f>
        <v>0</v>
      </c>
      <c r="S47" s="3699"/>
      <c r="T47" s="3699">
        <f>G47</f>
        <v>0</v>
      </c>
      <c r="U47" s="3699"/>
      <c r="V47" s="3699">
        <f>I47</f>
        <v>0</v>
      </c>
      <c r="W47" s="3699"/>
      <c r="X47" s="696"/>
      <c r="Y47" s="718"/>
      <c r="Z47" s="696"/>
      <c r="AA47" s="696"/>
      <c r="AB47" s="696"/>
      <c r="AC47" s="696"/>
    </row>
    <row r="48" spans="1:29" ht="15.75" thickBot="1">
      <c r="A48" s="445" t="s">
        <v>2249</v>
      </c>
      <c r="B48" s="446"/>
      <c r="C48" s="1271" t="e">
        <f>R49</f>
        <v>#DIV/0!</v>
      </c>
      <c r="D48" s="2484" t="s">
        <v>2638</v>
      </c>
      <c r="E48" s="1272" t="e">
        <f>R48</f>
        <v>#DIV/0!</v>
      </c>
      <c r="F48" s="2485"/>
      <c r="G48" s="1271" t="e">
        <f>T48</f>
        <v>#DIV/0!</v>
      </c>
      <c r="H48" s="2485"/>
      <c r="I48" s="1272" t="e">
        <f>V48</f>
        <v>#DIV/0!</v>
      </c>
      <c r="J48" s="2485"/>
      <c r="K48" s="2487">
        <f>F48+H48+J48</f>
        <v>0</v>
      </c>
      <c r="L48" s="2898"/>
      <c r="M48" s="2899"/>
      <c r="N48" s="2890"/>
      <c r="O48" s="289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6"/>
      <c r="Y48" s="696"/>
      <c r="Z48" s="696"/>
      <c r="AA48" s="696"/>
      <c r="AB48" s="696"/>
      <c r="AC48" s="696"/>
    </row>
    <row r="49" spans="1:29" ht="15.75" thickBot="1">
      <c r="A49" s="449" t="s">
        <v>2250</v>
      </c>
      <c r="B49" s="450"/>
      <c r="C49" s="1274" t="e">
        <f>R49</f>
        <v>#DIV/0!</v>
      </c>
      <c r="D49" s="1274"/>
      <c r="E49" s="1274"/>
      <c r="F49" s="1274"/>
      <c r="G49" s="1274"/>
      <c r="H49" s="1274"/>
      <c r="I49" s="1274"/>
      <c r="J49" s="1274"/>
      <c r="K49" s="721"/>
      <c r="L49" s="2898"/>
      <c r="M49" s="2899"/>
      <c r="N49" s="2890"/>
      <c r="O49" s="2899"/>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5" t="str">
        <f>YEAR(C7)&amp;"-"&amp;MONTH(C7)</f>
        <v>2022-12</v>
      </c>
      <c r="D58" s="1296">
        <f>EDATE(C58,-1)</f>
        <v>44866</v>
      </c>
      <c r="E58" s="1296">
        <f t="shared" ref="E58:N58" si="16">EDATE(D58,-1)</f>
        <v>44835</v>
      </c>
      <c r="F58" s="1296">
        <f t="shared" si="16"/>
        <v>44805</v>
      </c>
      <c r="G58" s="1296">
        <f t="shared" si="16"/>
        <v>44774</v>
      </c>
      <c r="H58" s="1296">
        <f t="shared" si="16"/>
        <v>44743</v>
      </c>
      <c r="I58" s="1296">
        <f t="shared" si="16"/>
        <v>44713</v>
      </c>
      <c r="J58" s="1296">
        <f t="shared" si="16"/>
        <v>44682</v>
      </c>
      <c r="K58" s="1296">
        <f t="shared" si="16"/>
        <v>44652</v>
      </c>
      <c r="L58" s="1296">
        <f t="shared" si="16"/>
        <v>44621</v>
      </c>
      <c r="M58" s="1296">
        <f t="shared" si="16"/>
        <v>44593</v>
      </c>
      <c r="N58" s="1296">
        <f t="shared" si="16"/>
        <v>44562</v>
      </c>
      <c r="O58" s="1296">
        <f>EDATE(N58,-1)</f>
        <v>44531</v>
      </c>
      <c r="P58" s="2914"/>
      <c r="Q58" s="2915"/>
      <c r="R58" s="2915"/>
      <c r="S58" s="2915"/>
      <c r="T58" s="2915"/>
      <c r="U58" s="2915"/>
      <c r="V58" s="2915"/>
      <c r="W58" s="2915"/>
      <c r="X58" s="2915"/>
      <c r="Y58" s="2915"/>
      <c r="Z58" s="2915"/>
      <c r="AA58" s="2915"/>
      <c r="AB58" s="2915"/>
      <c r="AC58" s="2915"/>
    </row>
    <row r="59" spans="1:29" s="113" customFormat="1" ht="15">
      <c r="A59" s="466"/>
      <c r="B59" s="467"/>
      <c r="C59" s="1294">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0"/>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59"/>
      <c r="G88" s="511"/>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0"/>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0"/>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2266</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IF(C2="——",ROUND(C50*D3/10000,0),ROUND(C50*D3/10000,0)-D2)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IF(C2="——",C50,ROUND(B2*10000/D3,0))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687" t="s">
        <v>2226</v>
      </c>
      <c r="D4" s="3688"/>
      <c r="E4" s="3689" t="s">
        <v>2227</v>
      </c>
      <c r="F4" s="3690"/>
      <c r="G4" s="3687" t="s">
        <v>2228</v>
      </c>
      <c r="H4" s="3688"/>
      <c r="I4" s="3687" t="s">
        <v>2229</v>
      </c>
      <c r="J4" s="3688"/>
      <c r="K4" s="567" t="s">
        <v>2230</v>
      </c>
      <c r="L4" s="2889"/>
      <c r="M4" s="2890"/>
      <c r="N4" s="2890"/>
      <c r="O4" s="2890"/>
      <c r="P4" s="3753" t="s">
        <v>2231</v>
      </c>
      <c r="Q4" s="3754"/>
      <c r="R4" s="3748" t="s">
        <v>2227</v>
      </c>
      <c r="S4" s="3749"/>
      <c r="T4" s="3748" t="s">
        <v>2228</v>
      </c>
      <c r="U4" s="3749"/>
      <c r="V4" s="3757" t="s">
        <v>2229</v>
      </c>
      <c r="W4" s="3757"/>
      <c r="X4" s="2090"/>
      <c r="Y4" s="3748" t="s">
        <v>2231</v>
      </c>
      <c r="Z4" s="3749"/>
      <c r="AA4" s="3747" t="s">
        <v>2227</v>
      </c>
      <c r="AB4" s="3747" t="s">
        <v>2228</v>
      </c>
      <c r="AC4" s="3750" t="s">
        <v>2229</v>
      </c>
    </row>
    <row r="5" spans="1:29" ht="15">
      <c r="A5" s="364"/>
      <c r="B5" s="365"/>
      <c r="C5" s="3680" t="s">
        <v>2122</v>
      </c>
      <c r="D5" s="3681"/>
      <c r="E5" s="3678" t="s">
        <v>2123</v>
      </c>
      <c r="F5" s="3679"/>
      <c r="G5" s="3680" t="s">
        <v>2124</v>
      </c>
      <c r="H5" s="3681"/>
      <c r="I5" s="3680" t="s">
        <v>2125</v>
      </c>
      <c r="J5" s="3681"/>
      <c r="K5" s="567"/>
      <c r="L5" s="2889"/>
      <c r="M5" s="2890"/>
      <c r="N5" s="2890"/>
      <c r="O5" s="2890"/>
      <c r="P5" s="3755"/>
      <c r="Q5" s="3694"/>
      <c r="R5" s="3676"/>
      <c r="S5" s="3677"/>
      <c r="T5" s="3676"/>
      <c r="U5" s="3677"/>
      <c r="V5" s="3699"/>
      <c r="W5" s="3699"/>
      <c r="X5" s="1486"/>
      <c r="Y5" s="3676"/>
      <c r="Z5" s="3677"/>
      <c r="AA5" s="3670"/>
      <c r="AB5" s="3670"/>
      <c r="AC5" s="3751"/>
    </row>
    <row r="6" spans="1:29" ht="15.75" thickBot="1">
      <c r="A6" s="366"/>
      <c r="B6" s="367"/>
      <c r="C6" s="3682" t="s">
        <v>2126</v>
      </c>
      <c r="D6" s="3683"/>
      <c r="E6" s="3684" t="s">
        <v>2126</v>
      </c>
      <c r="F6" s="3685"/>
      <c r="G6" s="3682" t="s">
        <v>2126</v>
      </c>
      <c r="H6" s="3683"/>
      <c r="I6" s="3682" t="s">
        <v>2126</v>
      </c>
      <c r="J6" s="3683"/>
      <c r="K6" s="567" t="s">
        <v>2127</v>
      </c>
      <c r="L6" s="2889"/>
      <c r="M6" s="2890"/>
      <c r="N6" s="2890"/>
      <c r="O6" s="2890"/>
      <c r="P6" s="3756"/>
      <c r="Q6" s="3696"/>
      <c r="R6" s="3676"/>
      <c r="S6" s="3677"/>
      <c r="T6" s="3697"/>
      <c r="U6" s="3698"/>
      <c r="V6" s="3699"/>
      <c r="W6" s="3699"/>
      <c r="X6" s="1486"/>
      <c r="Y6" s="3697"/>
      <c r="Z6" s="3698"/>
      <c r="AA6" s="3671"/>
      <c r="AB6" s="3671"/>
      <c r="AC6" s="3752"/>
    </row>
    <row r="7" spans="1:29" s="113" customFormat="1" ht="15.75" thickBot="1">
      <c r="A7" s="368" t="s">
        <v>2128</v>
      </c>
      <c r="B7" s="369"/>
      <c r="C7" s="370">
        <f>'数据-取费表'!B2</f>
        <v>44901</v>
      </c>
      <c r="D7" s="371">
        <v>100</v>
      </c>
      <c r="E7" s="372"/>
      <c r="F7" s="373">
        <f>SUMIF(59:59,YEAR(E7)&amp;"-"&amp;MONTH(E7),60:60)</f>
        <v>0</v>
      </c>
      <c r="G7" s="372"/>
      <c r="H7" s="371">
        <f>SUMIF(59:59,YEAR(G7)&amp;"-"&amp;MONTH(G7),60:60)</f>
        <v>0</v>
      </c>
      <c r="I7" s="372"/>
      <c r="J7" s="371">
        <f>SUMIF(59:59,YEAR(I7)&amp;"-"&amp;MONTH(I7),60:60)</f>
        <v>0</v>
      </c>
      <c r="K7" s="568"/>
      <c r="L7" s="2891"/>
      <c r="M7" s="2892"/>
      <c r="N7" s="2892"/>
      <c r="O7" s="2892"/>
      <c r="P7" s="3758" t="s">
        <v>2129</v>
      </c>
      <c r="Q7" s="3700"/>
      <c r="R7" s="707" t="s">
        <v>17</v>
      </c>
      <c r="S7" s="708">
        <f t="shared" ref="S7:S15" si="0">F7</f>
        <v>0</v>
      </c>
      <c r="T7" s="707" t="s">
        <v>17</v>
      </c>
      <c r="U7" s="708">
        <f t="shared" ref="U7:U15" si="1">H7</f>
        <v>0</v>
      </c>
      <c r="V7" s="707" t="s">
        <v>17</v>
      </c>
      <c r="W7" s="708">
        <f t="shared" ref="W7:W15" si="2">J7</f>
        <v>0</v>
      </c>
      <c r="X7" s="709"/>
      <c r="Y7" s="3672" t="s">
        <v>2129</v>
      </c>
      <c r="Z7" s="3673"/>
      <c r="AA7" s="710" t="e">
        <f>D7/F7</f>
        <v>#DIV/0!</v>
      </c>
      <c r="AB7" s="710" t="e">
        <f>D7/H7</f>
        <v>#DIV/0!</v>
      </c>
      <c r="AC7" s="2091"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758" t="s">
        <v>2132</v>
      </c>
      <c r="Q8" s="3673"/>
      <c r="R8" s="707" t="s">
        <v>17</v>
      </c>
      <c r="S8" s="708">
        <f t="shared" si="0"/>
        <v>0</v>
      </c>
      <c r="T8" s="707" t="s">
        <v>17</v>
      </c>
      <c r="U8" s="708">
        <f t="shared" si="1"/>
        <v>0</v>
      </c>
      <c r="V8" s="707" t="s">
        <v>17</v>
      </c>
      <c r="W8" s="708">
        <f t="shared" si="2"/>
        <v>0</v>
      </c>
      <c r="X8" s="709"/>
      <c r="Y8" s="3672" t="s">
        <v>2132</v>
      </c>
      <c r="Z8" s="3673"/>
      <c r="AA8" s="710" t="e">
        <f t="shared" ref="AA8:AA47" si="3">D8/F8</f>
        <v>#DIV/0!</v>
      </c>
      <c r="AB8" s="710" t="e">
        <f t="shared" ref="AB8:AB47" si="4">D8/H8</f>
        <v>#DIV/0!</v>
      </c>
      <c r="AC8" s="2091"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686"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2091">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686"/>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2091">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686"/>
      <c r="Q11" s="1474" t="str">
        <f t="shared" si="6"/>
        <v>容积率</v>
      </c>
      <c r="R11" s="707" t="s">
        <v>17</v>
      </c>
      <c r="S11" s="708" t="e">
        <f t="shared" si="0"/>
        <v>#N/A</v>
      </c>
      <c r="T11" s="707" t="s">
        <v>17</v>
      </c>
      <c r="U11" s="708" t="e">
        <f t="shared" si="1"/>
        <v>#N/A</v>
      </c>
      <c r="V11" s="707" t="s">
        <v>17</v>
      </c>
      <c r="W11" s="708" t="e">
        <f t="shared" si="2"/>
        <v>#N/A</v>
      </c>
      <c r="X11" s="709"/>
      <c r="Y11" s="3642"/>
      <c r="Z11" s="55" t="str">
        <f t="shared" si="7"/>
        <v>容积率</v>
      </c>
      <c r="AA11" s="710" t="e">
        <f t="shared" si="3"/>
        <v>#N/A</v>
      </c>
      <c r="AB11" s="710" t="e">
        <f t="shared" si="4"/>
        <v>#N/A</v>
      </c>
      <c r="AC11" s="2091" t="e">
        <f t="shared" si="5"/>
        <v>#N/A</v>
      </c>
    </row>
    <row r="12" spans="1:29" s="113" customFormat="1" ht="15">
      <c r="A12" s="390"/>
      <c r="B12" s="2025">
        <v>111</v>
      </c>
      <c r="C12" s="391"/>
      <c r="D12" s="392">
        <v>100</v>
      </c>
      <c r="E12" s="391"/>
      <c r="F12" s="132">
        <f>SUMIF(71:71,E12,72:72)-SUMIF(71:71,C12,72:72)+100</f>
        <v>100</v>
      </c>
      <c r="G12" s="2092"/>
      <c r="H12" s="132">
        <f>SUMIF(71:71,G12,72:72)-SUMIF(71:71,C12,72:72)+100</f>
        <v>100</v>
      </c>
      <c r="I12" s="391"/>
      <c r="J12" s="132">
        <f>SUMIF(71:71,I12,72:72)-SUMIF(71:71,C12,72:72)+100</f>
        <v>100</v>
      </c>
      <c r="K12" s="570"/>
      <c r="L12" s="2891"/>
      <c r="M12" s="2892"/>
      <c r="N12" s="2892"/>
      <c r="O12" s="2892"/>
      <c r="P12" s="3686"/>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2091">
        <f>D12/J12</f>
        <v>1</v>
      </c>
    </row>
    <row r="13" spans="1:29" ht="15">
      <c r="A13" s="387"/>
      <c r="B13" s="2025">
        <v>111</v>
      </c>
      <c r="C13" s="393"/>
      <c r="D13" s="394">
        <v>100</v>
      </c>
      <c r="E13" s="391"/>
      <c r="F13" s="132">
        <f>SUMIF(73:73,E13,74:74)-SUMIF(73:73,C13,74:74)+100</f>
        <v>100</v>
      </c>
      <c r="G13" s="2092"/>
      <c r="H13" s="394">
        <f>SUMIF(73:73,G13,74:74)-SUMIF(73:73,C13,74:74)+100</f>
        <v>100</v>
      </c>
      <c r="I13" s="391"/>
      <c r="J13" s="394">
        <f>SUMIF(73:73,I13,74:74)-SUMIF(73:73,C13,74:74)+100</f>
        <v>100</v>
      </c>
      <c r="K13" s="570"/>
      <c r="L13" s="2896"/>
      <c r="M13" s="2890"/>
      <c r="N13" s="2890"/>
      <c r="O13" s="2890"/>
      <c r="P13" s="3686"/>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2091">
        <f t="shared" si="5"/>
        <v>1</v>
      </c>
    </row>
    <row r="14" spans="1:29" ht="15.75" thickBot="1">
      <c r="A14" s="395"/>
      <c r="B14" s="2027">
        <v>111</v>
      </c>
      <c r="C14" s="396"/>
      <c r="D14" s="397">
        <v>100</v>
      </c>
      <c r="E14" s="584"/>
      <c r="F14" s="397">
        <f>SUMIF(75:75,E14,76:76)-SUMIF(75:75,C14,76:76)+100</f>
        <v>100</v>
      </c>
      <c r="G14" s="2092"/>
      <c r="H14" s="397">
        <f>SUMIF(75:75,G14,76:76)-SUMIF(75:75,C14,76:76)+100</f>
        <v>100</v>
      </c>
      <c r="I14" s="391"/>
      <c r="J14" s="397">
        <f>SUMIF(75:75,I14,76:76)-SUMIF(75:75,C14,76:76)+100</f>
        <v>100</v>
      </c>
      <c r="K14" s="570"/>
      <c r="L14" s="2896"/>
      <c r="M14" s="2890"/>
      <c r="N14" s="2890"/>
      <c r="O14" s="2890"/>
      <c r="P14" s="3686"/>
      <c r="Q14" s="1474">
        <f t="shared" si="6"/>
        <v>111</v>
      </c>
      <c r="R14" s="707" t="s">
        <v>17</v>
      </c>
      <c r="S14" s="708">
        <f t="shared" si="0"/>
        <v>100</v>
      </c>
      <c r="T14" s="707" t="s">
        <v>17</v>
      </c>
      <c r="U14" s="708">
        <f t="shared" si="1"/>
        <v>100</v>
      </c>
      <c r="V14" s="707" t="s">
        <v>17</v>
      </c>
      <c r="W14" s="708">
        <f t="shared" si="2"/>
        <v>100</v>
      </c>
      <c r="X14" s="709"/>
      <c r="Y14" s="3642"/>
      <c r="Z14" s="55">
        <f t="shared" si="7"/>
        <v>111</v>
      </c>
      <c r="AA14" s="710">
        <f t="shared" si="3"/>
        <v>1</v>
      </c>
      <c r="AB14" s="710">
        <f t="shared" si="4"/>
        <v>1</v>
      </c>
      <c r="AC14" s="2091">
        <f t="shared" si="5"/>
        <v>1</v>
      </c>
    </row>
    <row r="15" spans="1:29" ht="71.25">
      <c r="A15" s="399" t="s">
        <v>2139</v>
      </c>
      <c r="B15" s="585" t="s">
        <v>2267</v>
      </c>
      <c r="C15" s="209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713" t="s">
        <v>2140</v>
      </c>
      <c r="Q15" s="1483" t="str">
        <f t="shared" si="6"/>
        <v>办公集聚程度</v>
      </c>
      <c r="R15" s="711" t="s">
        <v>17</v>
      </c>
      <c r="S15" s="712">
        <f t="shared" si="0"/>
        <v>100</v>
      </c>
      <c r="T15" s="711" t="s">
        <v>17</v>
      </c>
      <c r="U15" s="712">
        <f t="shared" si="1"/>
        <v>100</v>
      </c>
      <c r="V15" s="711" t="s">
        <v>17</v>
      </c>
      <c r="W15" s="712">
        <f t="shared" si="2"/>
        <v>100</v>
      </c>
      <c r="X15" s="1486"/>
      <c r="Y15" s="3706" t="s">
        <v>2140</v>
      </c>
      <c r="Z15" s="1487" t="str">
        <f t="shared" si="7"/>
        <v>办公集聚程度</v>
      </c>
      <c r="AA15" s="1484">
        <f t="shared" si="3"/>
        <v>1</v>
      </c>
      <c r="AB15" s="1484">
        <f t="shared" si="4"/>
        <v>1</v>
      </c>
      <c r="AC15" s="2094">
        <f t="shared" si="5"/>
        <v>1</v>
      </c>
    </row>
    <row r="16" spans="1:29" ht="15">
      <c r="A16" s="387"/>
      <c r="B16" s="586"/>
      <c r="C16" s="2036"/>
      <c r="D16" s="407"/>
      <c r="E16" s="406"/>
      <c r="F16" s="407"/>
      <c r="G16" s="2036"/>
      <c r="H16" s="409"/>
      <c r="I16" s="406"/>
      <c r="J16" s="407"/>
      <c r="K16" s="572"/>
      <c r="L16" s="2896"/>
      <c r="M16" s="2890"/>
      <c r="N16" s="2890"/>
      <c r="O16" s="2890"/>
      <c r="P16" s="3714"/>
      <c r="Q16" s="1483"/>
      <c r="R16" s="711"/>
      <c r="S16" s="712"/>
      <c r="T16" s="711"/>
      <c r="U16" s="712"/>
      <c r="V16" s="711"/>
      <c r="W16" s="712"/>
      <c r="X16" s="1486"/>
      <c r="Y16" s="3707"/>
      <c r="Z16" s="1487"/>
      <c r="AA16" s="1484">
        <v>1</v>
      </c>
      <c r="AB16" s="1484">
        <v>1</v>
      </c>
      <c r="AC16" s="2094">
        <v>1</v>
      </c>
    </row>
    <row r="17" spans="1:29" ht="71.25">
      <c r="A17" s="387"/>
      <c r="B17" s="587" t="s">
        <v>1704</v>
      </c>
      <c r="C17" s="209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714"/>
      <c r="Q17" s="1483" t="str">
        <f>B17</f>
        <v>交通便捷度</v>
      </c>
      <c r="R17" s="711" t="s">
        <v>17</v>
      </c>
      <c r="S17" s="712">
        <f>F17</f>
        <v>100</v>
      </c>
      <c r="T17" s="711" t="s">
        <v>17</v>
      </c>
      <c r="U17" s="712">
        <f>H17</f>
        <v>100</v>
      </c>
      <c r="V17" s="711" t="s">
        <v>17</v>
      </c>
      <c r="W17" s="712">
        <f>J17</f>
        <v>100</v>
      </c>
      <c r="X17" s="1486"/>
      <c r="Y17" s="3707"/>
      <c r="Z17" s="1487" t="str">
        <f>Q17</f>
        <v>交通便捷度</v>
      </c>
      <c r="AA17" s="1484">
        <f t="shared" si="3"/>
        <v>1</v>
      </c>
      <c r="AB17" s="1484">
        <f t="shared" si="4"/>
        <v>1</v>
      </c>
      <c r="AC17" s="2094">
        <f t="shared" si="5"/>
        <v>1</v>
      </c>
    </row>
    <row r="18" spans="1:29" ht="15">
      <c r="A18" s="387"/>
      <c r="B18" s="588"/>
      <c r="C18" s="2096"/>
      <c r="D18" s="409"/>
      <c r="E18" s="2034"/>
      <c r="F18" s="409"/>
      <c r="G18" s="2035"/>
      <c r="H18" s="407"/>
      <c r="I18" s="2035"/>
      <c r="J18" s="407"/>
      <c r="K18" s="572"/>
      <c r="L18" s="2896"/>
      <c r="M18" s="2890"/>
      <c r="N18" s="2890"/>
      <c r="O18" s="2890"/>
      <c r="P18" s="3714"/>
      <c r="Q18" s="1483"/>
      <c r="R18" s="711"/>
      <c r="S18" s="712"/>
      <c r="T18" s="711"/>
      <c r="U18" s="712"/>
      <c r="V18" s="711"/>
      <c r="W18" s="712"/>
      <c r="X18" s="1486"/>
      <c r="Y18" s="3707"/>
      <c r="Z18" s="1487"/>
      <c r="AA18" s="1484">
        <v>1</v>
      </c>
      <c r="AB18" s="1484">
        <v>1</v>
      </c>
      <c r="AC18" s="2094">
        <v>1</v>
      </c>
    </row>
    <row r="19" spans="1:29" ht="42.75">
      <c r="A19" s="387"/>
      <c r="B19" s="587" t="s">
        <v>2268</v>
      </c>
      <c r="C19" s="209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714"/>
      <c r="Q19" s="1483" t="str">
        <f>B19</f>
        <v>公共配套设施</v>
      </c>
      <c r="R19" s="711" t="s">
        <v>17</v>
      </c>
      <c r="S19" s="712">
        <f>F19</f>
        <v>100</v>
      </c>
      <c r="T19" s="711" t="s">
        <v>17</v>
      </c>
      <c r="U19" s="712">
        <f>H19</f>
        <v>100</v>
      </c>
      <c r="V19" s="711" t="s">
        <v>17</v>
      </c>
      <c r="W19" s="712">
        <f>J19</f>
        <v>100</v>
      </c>
      <c r="X19" s="1486"/>
      <c r="Y19" s="3707"/>
      <c r="Z19" s="1487" t="str">
        <f>Q19</f>
        <v>公共配套设施</v>
      </c>
      <c r="AA19" s="1484">
        <f t="shared" si="3"/>
        <v>1</v>
      </c>
      <c r="AB19" s="1484">
        <f t="shared" si="4"/>
        <v>1</v>
      </c>
      <c r="AC19" s="2094">
        <f t="shared" si="5"/>
        <v>1</v>
      </c>
    </row>
    <row r="20" spans="1:29" ht="15">
      <c r="A20" s="387"/>
      <c r="B20" s="588"/>
      <c r="C20" s="2036"/>
      <c r="D20" s="407"/>
      <c r="E20" s="2029"/>
      <c r="F20" s="407"/>
      <c r="G20" s="2030"/>
      <c r="H20" s="407"/>
      <c r="I20" s="2030"/>
      <c r="J20" s="407"/>
      <c r="K20" s="572"/>
      <c r="L20" s="2896"/>
      <c r="M20" s="2890"/>
      <c r="N20" s="2890"/>
      <c r="O20" s="2890"/>
      <c r="P20" s="3714"/>
      <c r="Q20" s="1483"/>
      <c r="R20" s="711"/>
      <c r="S20" s="712"/>
      <c r="T20" s="711"/>
      <c r="U20" s="712"/>
      <c r="V20" s="711"/>
      <c r="W20" s="712"/>
      <c r="X20" s="1486"/>
      <c r="Y20" s="3707"/>
      <c r="Z20" s="1487"/>
      <c r="AA20" s="1484">
        <v>1</v>
      </c>
      <c r="AB20" s="1484">
        <v>1</v>
      </c>
      <c r="AC20" s="2094">
        <v>1</v>
      </c>
    </row>
    <row r="21" spans="1:29" ht="28.5">
      <c r="A21" s="387"/>
      <c r="B21" s="589" t="s">
        <v>2269</v>
      </c>
      <c r="C21" s="209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714"/>
      <c r="Q21" s="1483" t="str">
        <f>B21</f>
        <v>基础设施水平</v>
      </c>
      <c r="R21" s="711" t="s">
        <v>17</v>
      </c>
      <c r="S21" s="712">
        <f>F21</f>
        <v>100</v>
      </c>
      <c r="T21" s="711" t="s">
        <v>17</v>
      </c>
      <c r="U21" s="712">
        <f>H21</f>
        <v>100</v>
      </c>
      <c r="V21" s="711" t="s">
        <v>17</v>
      </c>
      <c r="W21" s="712">
        <f>J21</f>
        <v>100</v>
      </c>
      <c r="X21" s="1486"/>
      <c r="Y21" s="3707"/>
      <c r="Z21" s="1487" t="str">
        <f>Q21</f>
        <v>基础设施水平</v>
      </c>
      <c r="AA21" s="1484">
        <f t="shared" ref="AA21" si="8">D21/F21</f>
        <v>1</v>
      </c>
      <c r="AB21" s="1484">
        <f t="shared" ref="AB21" si="9">D21/H21</f>
        <v>1</v>
      </c>
      <c r="AC21" s="2094">
        <f t="shared" ref="AC21" si="10">D21/J21</f>
        <v>1</v>
      </c>
    </row>
    <row r="22" spans="1:29" ht="15">
      <c r="A22" s="387"/>
      <c r="B22" s="589"/>
      <c r="C22" s="2096"/>
      <c r="D22" s="407"/>
      <c r="E22" s="406"/>
      <c r="F22" s="407"/>
      <c r="G22" s="2036"/>
      <c r="H22" s="407"/>
      <c r="I22" s="2036"/>
      <c r="J22" s="407"/>
      <c r="K22" s="1241"/>
      <c r="L22" s="2896"/>
      <c r="M22" s="2890"/>
      <c r="N22" s="2890"/>
      <c r="O22" s="2890"/>
      <c r="P22" s="3714"/>
      <c r="Q22" s="1483"/>
      <c r="R22" s="711"/>
      <c r="S22" s="712"/>
      <c r="T22" s="711"/>
      <c r="U22" s="712"/>
      <c r="V22" s="711"/>
      <c r="W22" s="712"/>
      <c r="X22" s="1486"/>
      <c r="Y22" s="3707"/>
      <c r="Z22" s="1487"/>
      <c r="AA22" s="1484">
        <v>1</v>
      </c>
      <c r="AB22" s="1484">
        <v>1</v>
      </c>
      <c r="AC22" s="2094">
        <v>1</v>
      </c>
    </row>
    <row r="23" spans="1:29" ht="42.75">
      <c r="A23" s="387"/>
      <c r="B23" s="587" t="s">
        <v>2270</v>
      </c>
      <c r="C23" s="209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714"/>
      <c r="Q23" s="1483" t="str">
        <f>B23</f>
        <v>环境质量</v>
      </c>
      <c r="R23" s="711" t="s">
        <v>17</v>
      </c>
      <c r="S23" s="712">
        <f>F23</f>
        <v>100</v>
      </c>
      <c r="T23" s="711" t="s">
        <v>17</v>
      </c>
      <c r="U23" s="712">
        <f>H23</f>
        <v>100</v>
      </c>
      <c r="V23" s="711" t="s">
        <v>17</v>
      </c>
      <c r="W23" s="712">
        <f>J23</f>
        <v>100</v>
      </c>
      <c r="X23" s="1486"/>
      <c r="Y23" s="3707"/>
      <c r="Z23" s="1487" t="str">
        <f>Q23</f>
        <v>环境质量</v>
      </c>
      <c r="AA23" s="1484">
        <f t="shared" si="3"/>
        <v>1</v>
      </c>
      <c r="AB23" s="1484">
        <f t="shared" si="4"/>
        <v>1</v>
      </c>
      <c r="AC23" s="2094">
        <f t="shared" si="5"/>
        <v>1</v>
      </c>
    </row>
    <row r="24" spans="1:29" ht="15">
      <c r="A24" s="387"/>
      <c r="B24" s="589"/>
      <c r="C24" s="2036"/>
      <c r="D24" s="407"/>
      <c r="E24" s="2029"/>
      <c r="F24" s="407"/>
      <c r="G24" s="2030"/>
      <c r="H24" s="407"/>
      <c r="I24" s="2030"/>
      <c r="J24" s="407"/>
      <c r="K24" s="572"/>
      <c r="L24" s="2896"/>
      <c r="M24" s="2890"/>
      <c r="N24" s="2890"/>
      <c r="O24" s="2890"/>
      <c r="P24" s="3714"/>
      <c r="Q24" s="1483"/>
      <c r="R24" s="711"/>
      <c r="S24" s="712"/>
      <c r="T24" s="711"/>
      <c r="U24" s="712"/>
      <c r="V24" s="711"/>
      <c r="W24" s="712"/>
      <c r="X24" s="1486"/>
      <c r="Y24" s="3707"/>
      <c r="Z24" s="1487"/>
      <c r="AA24" s="1484">
        <v>1</v>
      </c>
      <c r="AB24" s="1484">
        <v>1</v>
      </c>
      <c r="AC24" s="2094">
        <v>1</v>
      </c>
    </row>
    <row r="25" spans="1:29" ht="27">
      <c r="A25" s="364"/>
      <c r="B25" s="587" t="s">
        <v>2271</v>
      </c>
      <c r="C25" s="2040"/>
      <c r="D25" s="394">
        <v>100</v>
      </c>
      <c r="E25" s="393"/>
      <c r="F25" s="394">
        <f>SUMIF(87:87,E26,88:88)-SUMIF(87:87,C26,88:88)+100</f>
        <v>100</v>
      </c>
      <c r="G25" s="2040"/>
      <c r="H25" s="394">
        <f>SUMIF(87:87,G26,88:88)-SUMIF(87:87,C26,88:88)+100</f>
        <v>100</v>
      </c>
      <c r="I25" s="393"/>
      <c r="J25" s="394">
        <f>SUMIF(87:87,I26,88:88)-SUMIF(87:87,C26,88:88)+100</f>
        <v>100</v>
      </c>
      <c r="K25" s="571"/>
      <c r="L25" s="2896"/>
      <c r="M25" s="2890"/>
      <c r="N25" s="2890"/>
      <c r="O25" s="2890"/>
      <c r="P25" s="3714"/>
      <c r="Q25" s="1483" t="str">
        <f>B25</f>
        <v>毗邻道路的类型与等级</v>
      </c>
      <c r="R25" s="711" t="s">
        <v>17</v>
      </c>
      <c r="S25" s="712">
        <f>F25</f>
        <v>100</v>
      </c>
      <c r="T25" s="711" t="s">
        <v>17</v>
      </c>
      <c r="U25" s="712">
        <f>H25</f>
        <v>100</v>
      </c>
      <c r="V25" s="711" t="s">
        <v>17</v>
      </c>
      <c r="W25" s="712">
        <f>J25</f>
        <v>100</v>
      </c>
      <c r="X25" s="1486"/>
      <c r="Y25" s="3707"/>
      <c r="Z25" s="1487" t="str">
        <f>Q25</f>
        <v>毗邻道路的类型与等级</v>
      </c>
      <c r="AA25" s="1484">
        <f t="shared" si="3"/>
        <v>1</v>
      </c>
      <c r="AB25" s="1484">
        <f t="shared" si="4"/>
        <v>1</v>
      </c>
      <c r="AC25" s="2094">
        <f t="shared" si="5"/>
        <v>1</v>
      </c>
    </row>
    <row r="26" spans="1:29" ht="15">
      <c r="A26" s="364"/>
      <c r="B26" s="588"/>
      <c r="C26" s="590"/>
      <c r="D26" s="394"/>
      <c r="E26" s="573"/>
      <c r="F26" s="394"/>
      <c r="G26" s="590"/>
      <c r="H26" s="394"/>
      <c r="I26" s="573"/>
      <c r="J26" s="394"/>
      <c r="K26" s="572"/>
      <c r="L26" s="2896"/>
      <c r="M26" s="2890"/>
      <c r="N26" s="2890"/>
      <c r="O26" s="2890"/>
      <c r="P26" s="3714"/>
      <c r="Q26" s="1483"/>
      <c r="R26" s="711"/>
      <c r="S26" s="712"/>
      <c r="T26" s="711"/>
      <c r="U26" s="712"/>
      <c r="V26" s="711"/>
      <c r="W26" s="712"/>
      <c r="X26" s="1486"/>
      <c r="Y26" s="3707"/>
      <c r="Z26" s="1487"/>
      <c r="AA26" s="1484">
        <v>1</v>
      </c>
      <c r="AB26" s="1484">
        <v>1</v>
      </c>
      <c r="AC26" s="2094">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714"/>
      <c r="Q27" s="1483" t="str">
        <f t="shared" ref="Q27:Q47" si="11">B27</f>
        <v>楼层</v>
      </c>
      <c r="R27" s="711" t="s">
        <v>17</v>
      </c>
      <c r="S27" s="712">
        <f>F27</f>
        <v>100</v>
      </c>
      <c r="T27" s="711" t="s">
        <v>17</v>
      </c>
      <c r="U27" s="712">
        <f>H27</f>
        <v>100</v>
      </c>
      <c r="V27" s="711" t="s">
        <v>17</v>
      </c>
      <c r="W27" s="712">
        <f>J27</f>
        <v>100</v>
      </c>
      <c r="X27" s="1486"/>
      <c r="Y27" s="3707"/>
      <c r="Z27" s="1487" t="str">
        <f>Q27</f>
        <v>楼层</v>
      </c>
      <c r="AA27" s="1484">
        <f t="shared" si="3"/>
        <v>1</v>
      </c>
      <c r="AB27" s="1484">
        <f t="shared" si="4"/>
        <v>1</v>
      </c>
      <c r="AC27" s="2094">
        <f t="shared" si="5"/>
        <v>1</v>
      </c>
    </row>
    <row r="28" spans="1:29" s="113" customFormat="1" ht="15">
      <c r="A28" s="390"/>
      <c r="B28" s="587" t="s">
        <v>2272</v>
      </c>
      <c r="C28" s="2097"/>
      <c r="D28" s="421">
        <v>100</v>
      </c>
      <c r="E28" s="2088"/>
      <c r="F28" s="421">
        <f>SUMIF(91:91,E28,92:92)-SUMIF(91:91,C28,92:92)+100</f>
        <v>100</v>
      </c>
      <c r="G28" s="2097"/>
      <c r="H28" s="421">
        <f>SUMIF(91:91,G28,92:92)-SUMIF(91:91,C28,92:92)+100</f>
        <v>100</v>
      </c>
      <c r="I28" s="2088"/>
      <c r="J28" s="421">
        <f>SUMIF(91:91,I28,92:92)-SUMIF(91:91,C28,92:92)+100</f>
        <v>100</v>
      </c>
      <c r="K28" s="569"/>
      <c r="L28" s="2891"/>
      <c r="M28" s="2892"/>
      <c r="N28" s="2892"/>
      <c r="O28" s="2892"/>
      <c r="P28" s="3714"/>
      <c r="Q28" s="1474" t="str">
        <f t="shared" si="11"/>
        <v>朝向</v>
      </c>
      <c r="R28" s="707" t="s">
        <v>17</v>
      </c>
      <c r="S28" s="708">
        <f>F28</f>
        <v>100</v>
      </c>
      <c r="T28" s="707" t="s">
        <v>17</v>
      </c>
      <c r="U28" s="708">
        <f>H28</f>
        <v>100</v>
      </c>
      <c r="V28" s="707" t="s">
        <v>17</v>
      </c>
      <c r="W28" s="708">
        <f>J28</f>
        <v>100</v>
      </c>
      <c r="X28" s="709"/>
      <c r="Y28" s="3707"/>
      <c r="Z28" s="55" t="str">
        <f>Q28</f>
        <v>朝向</v>
      </c>
      <c r="AA28" s="1484">
        <f>D28/F28</f>
        <v>1</v>
      </c>
      <c r="AB28" s="1484">
        <f>D28/H28</f>
        <v>1</v>
      </c>
      <c r="AC28" s="2094">
        <f>D28/J28</f>
        <v>1</v>
      </c>
    </row>
    <row r="29" spans="1:29" ht="15">
      <c r="A29" s="387"/>
      <c r="B29" s="2098">
        <v>111</v>
      </c>
      <c r="C29" s="2040"/>
      <c r="D29" s="394">
        <v>100</v>
      </c>
      <c r="E29" s="391"/>
      <c r="F29" s="394">
        <f>SUMIF(93:93,E29,94:94)-SUMIF(93:93,C29,94:94)+100</f>
        <v>100</v>
      </c>
      <c r="G29" s="2092"/>
      <c r="H29" s="394">
        <f>SUMIF(93:93,G29,94:94)-SUMIF(93:93,C29,94:94)+100</f>
        <v>100</v>
      </c>
      <c r="I29" s="391"/>
      <c r="J29" s="394">
        <f>SUMIF(93:93,I29,94:94)-SUMIF(93:93,C29,94:94)+100</f>
        <v>100</v>
      </c>
      <c r="K29" s="570"/>
      <c r="L29" s="2896"/>
      <c r="M29" s="2890"/>
      <c r="N29" s="2890"/>
      <c r="O29" s="2890"/>
      <c r="P29" s="3714"/>
      <c r="Q29" s="1483">
        <f t="shared" si="11"/>
        <v>111</v>
      </c>
      <c r="R29" s="711" t="s">
        <v>17</v>
      </c>
      <c r="S29" s="712">
        <f t="shared" ref="S29:S47" si="12">F29</f>
        <v>100</v>
      </c>
      <c r="T29" s="711" t="s">
        <v>17</v>
      </c>
      <c r="U29" s="712">
        <f t="shared" ref="U29:U47" si="13">H29</f>
        <v>100</v>
      </c>
      <c r="V29" s="711" t="s">
        <v>17</v>
      </c>
      <c r="W29" s="712">
        <f t="shared" ref="W29:W47" si="14">J29</f>
        <v>100</v>
      </c>
      <c r="X29" s="1486"/>
      <c r="Y29" s="3707"/>
      <c r="Z29" s="1487">
        <f t="shared" ref="Z29:Z47" si="15">Q29</f>
        <v>111</v>
      </c>
      <c r="AA29" s="1484">
        <f t="shared" si="3"/>
        <v>1</v>
      </c>
      <c r="AB29" s="1484">
        <f t="shared" si="4"/>
        <v>1</v>
      </c>
      <c r="AC29" s="2094">
        <f t="shared" si="5"/>
        <v>1</v>
      </c>
    </row>
    <row r="30" spans="1:29" ht="15">
      <c r="A30" s="387"/>
      <c r="B30" s="2098">
        <v>111</v>
      </c>
      <c r="C30" s="2040"/>
      <c r="D30" s="394">
        <v>100</v>
      </c>
      <c r="E30" s="391"/>
      <c r="F30" s="394">
        <f>SUMIF(95:95,E30,96:96)-SUMIF(95:95,C30,96:96)+100</f>
        <v>100</v>
      </c>
      <c r="G30" s="2092"/>
      <c r="H30" s="394">
        <f>SUMIF(95:95,G30,96:96)-SUMIF(95:95,C30,96:96)+100</f>
        <v>100</v>
      </c>
      <c r="I30" s="391"/>
      <c r="J30" s="394">
        <f>SUMIF(95:95,I30,96:96)-SUMIF(95:95,C30,96:96)+100</f>
        <v>100</v>
      </c>
      <c r="K30" s="570"/>
      <c r="L30" s="2896"/>
      <c r="M30" s="2890"/>
      <c r="N30" s="2890"/>
      <c r="O30" s="2890"/>
      <c r="P30" s="3714"/>
      <c r="Q30" s="1483">
        <f t="shared" si="11"/>
        <v>111</v>
      </c>
      <c r="R30" s="711" t="s">
        <v>17</v>
      </c>
      <c r="S30" s="712">
        <f t="shared" si="12"/>
        <v>100</v>
      </c>
      <c r="T30" s="711" t="s">
        <v>17</v>
      </c>
      <c r="U30" s="712">
        <f t="shared" si="13"/>
        <v>100</v>
      </c>
      <c r="V30" s="711" t="s">
        <v>17</v>
      </c>
      <c r="W30" s="712">
        <f t="shared" si="14"/>
        <v>100</v>
      </c>
      <c r="X30" s="1486"/>
      <c r="Y30" s="3707"/>
      <c r="Z30" s="1487">
        <f t="shared" si="15"/>
        <v>111</v>
      </c>
      <c r="AA30" s="1484">
        <f t="shared" si="3"/>
        <v>1</v>
      </c>
      <c r="AB30" s="1484">
        <f t="shared" si="4"/>
        <v>1</v>
      </c>
      <c r="AC30" s="2094">
        <f t="shared" si="5"/>
        <v>1</v>
      </c>
    </row>
    <row r="31" spans="1:29" ht="15">
      <c r="A31" s="387"/>
      <c r="B31" s="2098">
        <v>111</v>
      </c>
      <c r="C31" s="2040"/>
      <c r="D31" s="394">
        <v>100</v>
      </c>
      <c r="E31" s="391"/>
      <c r="F31" s="394">
        <f>SUMIF(97:97,E31,98:98)-SUMIF(97:97,C31,98:98)+100</f>
        <v>100</v>
      </c>
      <c r="G31" s="2092"/>
      <c r="H31" s="394">
        <f>SUMIF(97:97,G31,98:98)-SUMIF(97:97,C31,98:98)+100</f>
        <v>100</v>
      </c>
      <c r="I31" s="391"/>
      <c r="J31" s="394">
        <f>SUMIF(97:97,I31,98:98)-SUMIF(97:97,C31,98:98)+100</f>
        <v>100</v>
      </c>
      <c r="K31" s="570"/>
      <c r="L31" s="2896"/>
      <c r="M31" s="2890"/>
      <c r="N31" s="2890"/>
      <c r="O31" s="2890"/>
      <c r="P31" s="3714"/>
      <c r="Q31" s="1483">
        <f t="shared" si="11"/>
        <v>111</v>
      </c>
      <c r="R31" s="711" t="s">
        <v>17</v>
      </c>
      <c r="S31" s="712">
        <f t="shared" si="12"/>
        <v>100</v>
      </c>
      <c r="T31" s="711" t="s">
        <v>17</v>
      </c>
      <c r="U31" s="712">
        <f t="shared" si="13"/>
        <v>100</v>
      </c>
      <c r="V31" s="711" t="s">
        <v>17</v>
      </c>
      <c r="W31" s="712">
        <f t="shared" si="14"/>
        <v>100</v>
      </c>
      <c r="X31" s="1486"/>
      <c r="Y31" s="3707"/>
      <c r="Z31" s="1487">
        <f t="shared" si="15"/>
        <v>111</v>
      </c>
      <c r="AA31" s="1484">
        <f t="shared" si="3"/>
        <v>1</v>
      </c>
      <c r="AB31" s="1484">
        <f t="shared" si="4"/>
        <v>1</v>
      </c>
      <c r="AC31" s="2094">
        <f t="shared" si="5"/>
        <v>1</v>
      </c>
    </row>
    <row r="32" spans="1:29" ht="15.75" thickBot="1">
      <c r="A32" s="395"/>
      <c r="B32" s="591">
        <v>111</v>
      </c>
      <c r="C32" s="2041"/>
      <c r="D32" s="397">
        <v>100</v>
      </c>
      <c r="E32" s="584"/>
      <c r="F32" s="397">
        <f>SUMIF(99:99,E32,100:100)-SUMIF(99:99,C32,100:100)+100</f>
        <v>100</v>
      </c>
      <c r="G32" s="2092"/>
      <c r="H32" s="397">
        <f>SUMIF(99:99,G32,100:100)-SUMIF(99:99,C32,100:100)+100</f>
        <v>100</v>
      </c>
      <c r="I32" s="391"/>
      <c r="J32" s="397">
        <f>SUMIF(99:99,I32,100:100)-SUMIF(99:99,C32,100:100)+100</f>
        <v>100</v>
      </c>
      <c r="K32" s="570"/>
      <c r="L32" s="2896"/>
      <c r="M32" s="2890"/>
      <c r="N32" s="2890"/>
      <c r="O32" s="2890"/>
      <c r="P32" s="3714"/>
      <c r="Q32" s="1483">
        <f t="shared" si="11"/>
        <v>111</v>
      </c>
      <c r="R32" s="711" t="s">
        <v>17</v>
      </c>
      <c r="S32" s="712">
        <f t="shared" si="12"/>
        <v>100</v>
      </c>
      <c r="T32" s="711" t="s">
        <v>17</v>
      </c>
      <c r="U32" s="712">
        <f t="shared" si="13"/>
        <v>100</v>
      </c>
      <c r="V32" s="711" t="s">
        <v>17</v>
      </c>
      <c r="W32" s="712">
        <f t="shared" si="14"/>
        <v>100</v>
      </c>
      <c r="X32" s="1486"/>
      <c r="Y32" s="3707"/>
      <c r="Z32" s="1487">
        <f t="shared" si="15"/>
        <v>111</v>
      </c>
      <c r="AA32" s="1484">
        <f t="shared" si="3"/>
        <v>1</v>
      </c>
      <c r="AB32" s="1484">
        <f t="shared" si="4"/>
        <v>1</v>
      </c>
      <c r="AC32" s="2094">
        <f t="shared" si="5"/>
        <v>1</v>
      </c>
    </row>
    <row r="33" spans="1:29" ht="15">
      <c r="A33" s="399" t="s">
        <v>2143</v>
      </c>
      <c r="B33" s="67" t="s">
        <v>2273</v>
      </c>
      <c r="C33" s="2099"/>
      <c r="D33" s="426">
        <v>100</v>
      </c>
      <c r="E33" s="2099"/>
      <c r="F33" s="420">
        <f>SUMIF(101:101,E33,102:102)-SUMIF(101:101,C33,102:102)+100</f>
        <v>100</v>
      </c>
      <c r="G33" s="2099"/>
      <c r="H33" s="394">
        <f>SUMIF(101:101,G33,102:102)-SUMIF(101:101,C33,102:102)+100</f>
        <v>100</v>
      </c>
      <c r="I33" s="2099"/>
      <c r="J33" s="426">
        <f>SUMIF(101:101,I33,102:102)-SUMIF(101:101,C33,102:102)+100</f>
        <v>100</v>
      </c>
      <c r="K33" s="569"/>
      <c r="L33" s="2896"/>
      <c r="M33" s="2890"/>
      <c r="N33" s="2890"/>
      <c r="O33" s="2890"/>
      <c r="P33" s="3708" t="s">
        <v>2145</v>
      </c>
      <c r="Q33" s="1483" t="str">
        <f t="shared" si="11"/>
        <v>建筑类型</v>
      </c>
      <c r="R33" s="711" t="s">
        <v>17</v>
      </c>
      <c r="S33" s="712">
        <f t="shared" si="12"/>
        <v>100</v>
      </c>
      <c r="T33" s="711" t="s">
        <v>17</v>
      </c>
      <c r="U33" s="712">
        <f t="shared" si="13"/>
        <v>100</v>
      </c>
      <c r="V33" s="711" t="s">
        <v>17</v>
      </c>
      <c r="W33" s="712">
        <f t="shared" si="14"/>
        <v>100</v>
      </c>
      <c r="X33" s="1486"/>
      <c r="Y33" s="3711" t="s">
        <v>2145</v>
      </c>
      <c r="Z33" s="1487" t="str">
        <f t="shared" si="15"/>
        <v>建筑类型</v>
      </c>
      <c r="AA33" s="1484">
        <f t="shared" si="3"/>
        <v>1</v>
      </c>
      <c r="AB33" s="1484">
        <f t="shared" si="4"/>
        <v>1</v>
      </c>
      <c r="AC33" s="2094">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709"/>
      <c r="Q34" s="713" t="str">
        <f t="shared" si="11"/>
        <v>项目建筑规模</v>
      </c>
      <c r="R34" s="714" t="s">
        <v>17</v>
      </c>
      <c r="S34" s="715" t="e">
        <f t="shared" si="12"/>
        <v>#N/A</v>
      </c>
      <c r="T34" s="714" t="s">
        <v>17</v>
      </c>
      <c r="U34" s="715" t="e">
        <f t="shared" si="13"/>
        <v>#N/A</v>
      </c>
      <c r="V34" s="714" t="s">
        <v>17</v>
      </c>
      <c r="W34" s="715" t="e">
        <f t="shared" si="14"/>
        <v>#N/A</v>
      </c>
      <c r="X34" s="716"/>
      <c r="Y34" s="3711"/>
      <c r="Z34" s="717" t="str">
        <f t="shared" si="15"/>
        <v>项目建筑规模</v>
      </c>
      <c r="AA34" s="1484" t="e">
        <f t="shared" si="3"/>
        <v>#N/A</v>
      </c>
      <c r="AB34" s="1484" t="e">
        <f t="shared" si="4"/>
        <v>#N/A</v>
      </c>
      <c r="AC34" s="2094"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709"/>
      <c r="Q35" s="1483" t="str">
        <f t="shared" si="11"/>
        <v>建筑结构</v>
      </c>
      <c r="R35" s="711" t="s">
        <v>17</v>
      </c>
      <c r="S35" s="712">
        <f t="shared" si="12"/>
        <v>100</v>
      </c>
      <c r="T35" s="711" t="s">
        <v>17</v>
      </c>
      <c r="U35" s="712">
        <f t="shared" si="13"/>
        <v>100</v>
      </c>
      <c r="V35" s="711" t="s">
        <v>17</v>
      </c>
      <c r="W35" s="712">
        <f t="shared" si="14"/>
        <v>100</v>
      </c>
      <c r="X35" s="1486"/>
      <c r="Y35" s="3711"/>
      <c r="Z35" s="1487" t="str">
        <f t="shared" si="15"/>
        <v>建筑结构</v>
      </c>
      <c r="AA35" s="1484">
        <f t="shared" si="3"/>
        <v>1</v>
      </c>
      <c r="AB35" s="1484">
        <f t="shared" si="4"/>
        <v>1</v>
      </c>
      <c r="AC35" s="2094">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709"/>
      <c r="Q36" s="1483" t="str">
        <f t="shared" si="11"/>
        <v>公共部分装修</v>
      </c>
      <c r="R36" s="711" t="s">
        <v>17</v>
      </c>
      <c r="S36" s="712">
        <f t="shared" si="12"/>
        <v>100</v>
      </c>
      <c r="T36" s="711" t="s">
        <v>17</v>
      </c>
      <c r="U36" s="712">
        <f t="shared" si="13"/>
        <v>100</v>
      </c>
      <c r="V36" s="711" t="s">
        <v>17</v>
      </c>
      <c r="W36" s="712">
        <f t="shared" si="14"/>
        <v>100</v>
      </c>
      <c r="X36" s="1486"/>
      <c r="Y36" s="3711"/>
      <c r="Z36" s="1487" t="str">
        <f t="shared" si="15"/>
        <v>公共部分装修</v>
      </c>
      <c r="AA36" s="1484">
        <f t="shared" si="3"/>
        <v>1</v>
      </c>
      <c r="AB36" s="1484">
        <f t="shared" si="4"/>
        <v>1</v>
      </c>
      <c r="AC36" s="2094">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709"/>
      <c r="Q37" s="1483" t="str">
        <f t="shared" si="11"/>
        <v>成新度</v>
      </c>
      <c r="R37" s="711" t="s">
        <v>17</v>
      </c>
      <c r="S37" s="712" t="e">
        <f t="shared" si="12"/>
        <v>#N/A</v>
      </c>
      <c r="T37" s="711" t="s">
        <v>17</v>
      </c>
      <c r="U37" s="712" t="e">
        <f t="shared" si="13"/>
        <v>#N/A</v>
      </c>
      <c r="V37" s="711" t="s">
        <v>17</v>
      </c>
      <c r="W37" s="712" t="e">
        <f t="shared" si="14"/>
        <v>#N/A</v>
      </c>
      <c r="X37" s="1486"/>
      <c r="Y37" s="3711"/>
      <c r="Z37" s="1487" t="str">
        <f t="shared" si="15"/>
        <v>成新度</v>
      </c>
      <c r="AA37" s="1484" t="e">
        <f t="shared" si="3"/>
        <v>#N/A</v>
      </c>
      <c r="AB37" s="1484" t="e">
        <f t="shared" si="4"/>
        <v>#N/A</v>
      </c>
      <c r="AC37" s="2094"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709"/>
      <c r="Q38" s="1474" t="str">
        <f t="shared" si="11"/>
        <v>写字楼等级</v>
      </c>
      <c r="R38" s="707" t="s">
        <v>17</v>
      </c>
      <c r="S38" s="708">
        <f t="shared" si="12"/>
        <v>100</v>
      </c>
      <c r="T38" s="707" t="s">
        <v>17</v>
      </c>
      <c r="U38" s="708">
        <f t="shared" si="13"/>
        <v>100</v>
      </c>
      <c r="V38" s="707" t="s">
        <v>17</v>
      </c>
      <c r="W38" s="708">
        <f t="shared" si="14"/>
        <v>100</v>
      </c>
      <c r="X38" s="709"/>
      <c r="Y38" s="3711"/>
      <c r="Z38" s="55" t="str">
        <f t="shared" si="15"/>
        <v>写字楼等级</v>
      </c>
      <c r="AA38" s="710">
        <f t="shared" si="3"/>
        <v>1</v>
      </c>
      <c r="AB38" s="710">
        <f t="shared" si="4"/>
        <v>1</v>
      </c>
      <c r="AC38" s="2091">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709" t="s">
        <v>2145</v>
      </c>
      <c r="Q39" s="1483" t="str">
        <f t="shared" si="11"/>
        <v>物业管理</v>
      </c>
      <c r="R39" s="711" t="s">
        <v>17</v>
      </c>
      <c r="S39" s="712">
        <f t="shared" si="12"/>
        <v>100</v>
      </c>
      <c r="T39" s="711" t="s">
        <v>17</v>
      </c>
      <c r="U39" s="712">
        <f t="shared" si="13"/>
        <v>100</v>
      </c>
      <c r="V39" s="711" t="s">
        <v>17</v>
      </c>
      <c r="W39" s="712">
        <f t="shared" si="14"/>
        <v>100</v>
      </c>
      <c r="X39" s="1486"/>
      <c r="Y39" s="3711" t="s">
        <v>2145</v>
      </c>
      <c r="Z39" s="1487" t="str">
        <f t="shared" si="15"/>
        <v>物业管理</v>
      </c>
      <c r="AA39" s="1484">
        <f t="shared" si="3"/>
        <v>1</v>
      </c>
      <c r="AB39" s="1484">
        <f t="shared" si="4"/>
        <v>1</v>
      </c>
      <c r="AC39" s="2094">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709"/>
      <c r="Q40" s="1483" t="str">
        <f t="shared" si="11"/>
        <v>市政基础设施</v>
      </c>
      <c r="R40" s="711" t="s">
        <v>17</v>
      </c>
      <c r="S40" s="712">
        <f t="shared" si="12"/>
        <v>100</v>
      </c>
      <c r="T40" s="711" t="s">
        <v>17</v>
      </c>
      <c r="U40" s="712">
        <f t="shared" si="13"/>
        <v>100</v>
      </c>
      <c r="V40" s="711" t="s">
        <v>17</v>
      </c>
      <c r="W40" s="712">
        <f t="shared" si="14"/>
        <v>100</v>
      </c>
      <c r="X40" s="1486"/>
      <c r="Y40" s="3711"/>
      <c r="Z40" s="1487" t="str">
        <f t="shared" si="15"/>
        <v>市政基础设施</v>
      </c>
      <c r="AA40" s="1484">
        <f t="shared" si="3"/>
        <v>1</v>
      </c>
      <c r="AB40" s="1484">
        <f t="shared" si="4"/>
        <v>1</v>
      </c>
      <c r="AC40" s="2094">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709"/>
      <c r="Q41" s="1483" t="str">
        <f t="shared" si="11"/>
        <v>层高</v>
      </c>
      <c r="R41" s="711" t="s">
        <v>17</v>
      </c>
      <c r="S41" s="712">
        <f t="shared" si="12"/>
        <v>100</v>
      </c>
      <c r="T41" s="711" t="s">
        <v>17</v>
      </c>
      <c r="U41" s="712">
        <f t="shared" si="13"/>
        <v>100</v>
      </c>
      <c r="V41" s="711" t="s">
        <v>17</v>
      </c>
      <c r="W41" s="712">
        <f t="shared" si="14"/>
        <v>100</v>
      </c>
      <c r="X41" s="1486"/>
      <c r="Y41" s="3711"/>
      <c r="Z41" s="1487" t="str">
        <f t="shared" si="15"/>
        <v>层高</v>
      </c>
      <c r="AA41" s="1484">
        <f t="shared" si="3"/>
        <v>1</v>
      </c>
      <c r="AB41" s="1484">
        <f t="shared" si="4"/>
        <v>1</v>
      </c>
      <c r="AC41" s="2094">
        <f t="shared" si="5"/>
        <v>1</v>
      </c>
    </row>
    <row r="42" spans="1:29" s="430" customFormat="1" ht="15">
      <c r="A42" s="427"/>
      <c r="B42" s="1485"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709"/>
      <c r="Q42" s="713" t="str">
        <f t="shared" si="11"/>
        <v>单套建筑面积</v>
      </c>
      <c r="R42" s="714" t="s">
        <v>17</v>
      </c>
      <c r="S42" s="715">
        <f t="shared" si="12"/>
        <v>100</v>
      </c>
      <c r="T42" s="714" t="s">
        <v>17</v>
      </c>
      <c r="U42" s="715">
        <f t="shared" si="13"/>
        <v>100</v>
      </c>
      <c r="V42" s="714" t="s">
        <v>17</v>
      </c>
      <c r="W42" s="715">
        <f t="shared" si="14"/>
        <v>100</v>
      </c>
      <c r="X42" s="716"/>
      <c r="Y42" s="3711"/>
      <c r="Z42" s="717" t="str">
        <f t="shared" si="15"/>
        <v>单套建筑面积</v>
      </c>
      <c r="AA42" s="1484">
        <f t="shared" si="3"/>
        <v>1</v>
      </c>
      <c r="AB42" s="1484">
        <f t="shared" si="4"/>
        <v>1</v>
      </c>
      <c r="AC42" s="2094">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709"/>
      <c r="Q43" s="1483" t="str">
        <f t="shared" si="11"/>
        <v>内部装修</v>
      </c>
      <c r="R43" s="711" t="s">
        <v>17</v>
      </c>
      <c r="S43" s="712">
        <f t="shared" si="12"/>
        <v>100</v>
      </c>
      <c r="T43" s="711" t="s">
        <v>17</v>
      </c>
      <c r="U43" s="712">
        <f t="shared" si="13"/>
        <v>100</v>
      </c>
      <c r="V43" s="711" t="s">
        <v>17</v>
      </c>
      <c r="W43" s="712">
        <f t="shared" si="14"/>
        <v>100</v>
      </c>
      <c r="X43" s="1486"/>
      <c r="Y43" s="3711"/>
      <c r="Z43" s="1487" t="str">
        <f t="shared" si="15"/>
        <v>内部装修</v>
      </c>
      <c r="AA43" s="1484">
        <f t="shared" si="3"/>
        <v>1</v>
      </c>
      <c r="AB43" s="1484">
        <f t="shared" si="4"/>
        <v>1</v>
      </c>
      <c r="AC43" s="2094">
        <f t="shared" si="5"/>
        <v>1</v>
      </c>
    </row>
    <row r="44" spans="1:29" ht="15">
      <c r="A44" s="431"/>
      <c r="B44" s="381" t="s">
        <v>2156</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6"/>
      <c r="M44" s="2890"/>
      <c r="N44" s="2890"/>
      <c r="O44" s="2890"/>
      <c r="P44" s="3709"/>
      <c r="Q44" s="1483" t="str">
        <f t="shared" si="11"/>
        <v>内部装修维护情况</v>
      </c>
      <c r="R44" s="711" t="s">
        <v>17</v>
      </c>
      <c r="S44" s="712">
        <f t="shared" si="12"/>
        <v>100</v>
      </c>
      <c r="T44" s="711" t="s">
        <v>17</v>
      </c>
      <c r="U44" s="712">
        <f t="shared" si="13"/>
        <v>100</v>
      </c>
      <c r="V44" s="711" t="s">
        <v>17</v>
      </c>
      <c r="W44" s="712">
        <f t="shared" si="14"/>
        <v>100</v>
      </c>
      <c r="X44" s="1486"/>
      <c r="Y44" s="3711"/>
      <c r="Z44" s="1487" t="str">
        <f t="shared" si="15"/>
        <v>内部装修维护情况</v>
      </c>
      <c r="AA44" s="1484">
        <f t="shared" si="3"/>
        <v>1</v>
      </c>
      <c r="AB44" s="1484">
        <f t="shared" si="4"/>
        <v>1</v>
      </c>
      <c r="AC44" s="2094">
        <f t="shared" si="5"/>
        <v>1</v>
      </c>
    </row>
    <row r="45" spans="1:29" s="113" customFormat="1" ht="15">
      <c r="A45" s="432"/>
      <c r="B45" s="124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709"/>
      <c r="Q45" s="1474">
        <f t="shared" si="11"/>
        <v>111</v>
      </c>
      <c r="R45" s="707" t="s">
        <v>17</v>
      </c>
      <c r="S45" s="708">
        <f t="shared" si="12"/>
        <v>100</v>
      </c>
      <c r="T45" s="707" t="s">
        <v>17</v>
      </c>
      <c r="U45" s="708">
        <f t="shared" si="13"/>
        <v>100</v>
      </c>
      <c r="V45" s="707" t="s">
        <v>17</v>
      </c>
      <c r="W45" s="708">
        <f t="shared" si="14"/>
        <v>100</v>
      </c>
      <c r="X45" s="709"/>
      <c r="Y45" s="3711"/>
      <c r="Z45" s="55">
        <f t="shared" si="15"/>
        <v>111</v>
      </c>
      <c r="AA45" s="710">
        <f t="shared" si="3"/>
        <v>1</v>
      </c>
      <c r="AB45" s="710">
        <f t="shared" si="4"/>
        <v>1</v>
      </c>
      <c r="AC45" s="2091">
        <f t="shared" si="5"/>
        <v>1</v>
      </c>
    </row>
    <row r="46" spans="1:29" ht="15">
      <c r="A46" s="431"/>
      <c r="B46" s="124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709"/>
      <c r="Q46" s="1483">
        <f t="shared" si="11"/>
        <v>111</v>
      </c>
      <c r="R46" s="711" t="s">
        <v>17</v>
      </c>
      <c r="S46" s="712">
        <f t="shared" si="12"/>
        <v>100</v>
      </c>
      <c r="T46" s="711" t="s">
        <v>17</v>
      </c>
      <c r="U46" s="712">
        <f t="shared" si="13"/>
        <v>100</v>
      </c>
      <c r="V46" s="711" t="s">
        <v>17</v>
      </c>
      <c r="W46" s="712">
        <f t="shared" si="14"/>
        <v>100</v>
      </c>
      <c r="X46" s="1486"/>
      <c r="Y46" s="3711"/>
      <c r="Z46" s="1487">
        <f t="shared" si="15"/>
        <v>111</v>
      </c>
      <c r="AA46" s="1484">
        <f t="shared" si="3"/>
        <v>1</v>
      </c>
      <c r="AB46" s="1484">
        <f t="shared" si="4"/>
        <v>1</v>
      </c>
      <c r="AC46" s="2094">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710"/>
      <c r="Q47" s="1483">
        <f t="shared" si="11"/>
        <v>111</v>
      </c>
      <c r="R47" s="711" t="s">
        <v>17</v>
      </c>
      <c r="S47" s="712">
        <f t="shared" si="12"/>
        <v>100</v>
      </c>
      <c r="T47" s="711" t="s">
        <v>17</v>
      </c>
      <c r="U47" s="712">
        <f t="shared" si="13"/>
        <v>100</v>
      </c>
      <c r="V47" s="711" t="s">
        <v>17</v>
      </c>
      <c r="W47" s="712">
        <f t="shared" si="14"/>
        <v>100</v>
      </c>
      <c r="X47" s="1486"/>
      <c r="Y47" s="3712"/>
      <c r="Z47" s="1487">
        <f t="shared" si="15"/>
        <v>111</v>
      </c>
      <c r="AA47" s="1484">
        <f t="shared" si="3"/>
        <v>1</v>
      </c>
      <c r="AB47" s="1484">
        <f t="shared" si="4"/>
        <v>1</v>
      </c>
      <c r="AC47" s="2094">
        <f t="shared" si="5"/>
        <v>1</v>
      </c>
    </row>
    <row r="48" spans="1:29" ht="15">
      <c r="A48" s="438" t="s">
        <v>2157</v>
      </c>
      <c r="B48" s="439"/>
      <c r="C48" s="1265" t="s">
        <v>1</v>
      </c>
      <c r="D48" s="1266"/>
      <c r="E48" s="1267"/>
      <c r="F48" s="1268"/>
      <c r="G48" s="1269"/>
      <c r="H48" s="1270"/>
      <c r="I48" s="1267"/>
      <c r="J48" s="444"/>
      <c r="K48" s="720"/>
      <c r="L48" s="2898"/>
      <c r="M48" s="2890"/>
      <c r="N48" s="2890"/>
      <c r="O48" s="2890"/>
      <c r="P48" s="3686" t="str">
        <f>A48</f>
        <v>成交单价（元/平方米）</v>
      </c>
      <c r="Q48" s="3704"/>
      <c r="R48" s="3705">
        <f>E48</f>
        <v>0</v>
      </c>
      <c r="S48" s="3705"/>
      <c r="T48" s="3705">
        <f>G48</f>
        <v>0</v>
      </c>
      <c r="U48" s="3705"/>
      <c r="V48" s="3705">
        <f>I48</f>
        <v>0</v>
      </c>
      <c r="W48" s="3705"/>
      <c r="X48" s="405"/>
      <c r="Y48" s="718"/>
      <c r="Z48" s="405"/>
      <c r="AA48" s="405"/>
      <c r="AB48" s="405"/>
      <c r="AC48" s="586"/>
    </row>
    <row r="49" spans="1:29" ht="15.75" thickBot="1">
      <c r="A49" s="445" t="s">
        <v>2249</v>
      </c>
      <c r="B49" s="446"/>
      <c r="C49" s="1271" t="e">
        <f>R50</f>
        <v>#DIV/0!</v>
      </c>
      <c r="D49" s="2484" t="s">
        <v>2638</v>
      </c>
      <c r="E49" s="1272" t="e">
        <f>R49</f>
        <v>#DIV/0!</v>
      </c>
      <c r="F49" s="2485"/>
      <c r="G49" s="1271" t="e">
        <f>T49</f>
        <v>#DIV/0!</v>
      </c>
      <c r="H49" s="2485"/>
      <c r="I49" s="1272" t="e">
        <f>V49</f>
        <v>#DIV/0!</v>
      </c>
      <c r="J49" s="2485"/>
      <c r="K49" s="2487">
        <f>F49+H49+J49</f>
        <v>0</v>
      </c>
      <c r="L49" s="2898"/>
      <c r="M49" s="2890"/>
      <c r="N49" s="2890"/>
      <c r="O49" s="2890"/>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405"/>
      <c r="Y49" s="405"/>
      <c r="Z49" s="405"/>
      <c r="AA49" s="405"/>
      <c r="AB49" s="405"/>
      <c r="AC49" s="586"/>
    </row>
    <row r="50" spans="1:29" ht="15.75" thickBot="1">
      <c r="A50" s="449" t="s">
        <v>2250</v>
      </c>
      <c r="B50" s="450"/>
      <c r="C50" s="1274" t="e">
        <f>R50</f>
        <v>#DIV/0!</v>
      </c>
      <c r="D50" s="1274"/>
      <c r="E50" s="1274"/>
      <c r="F50" s="1274"/>
      <c r="G50" s="1274"/>
      <c r="H50" s="1274"/>
      <c r="I50" s="1274"/>
      <c r="J50" s="451"/>
      <c r="K50" s="721"/>
      <c r="L50" s="2898"/>
      <c r="M50" s="2890"/>
      <c r="N50" s="2890"/>
      <c r="O50" s="2890"/>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2078"/>
      <c r="Y50" s="2078"/>
      <c r="Z50" s="2078"/>
      <c r="AA50" s="2078"/>
      <c r="AB50" s="2078"/>
      <c r="AC50" s="2079"/>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5" t="str">
        <f>YEAR(C7)&amp;"-"&amp;MONTH(C7)</f>
        <v>2022-12</v>
      </c>
      <c r="D59" s="1296">
        <f>EDATE(C59,-1)</f>
        <v>44866</v>
      </c>
      <c r="E59" s="1296">
        <f>EDATE(D59,-1)</f>
        <v>44835</v>
      </c>
      <c r="F59" s="1296">
        <f t="shared" ref="F59:O59" si="16">EDATE(E59,-1)</f>
        <v>44805</v>
      </c>
      <c r="G59" s="1296">
        <f t="shared" si="16"/>
        <v>44774</v>
      </c>
      <c r="H59" s="1296">
        <f t="shared" si="16"/>
        <v>44743</v>
      </c>
      <c r="I59" s="1296">
        <f t="shared" si="16"/>
        <v>44713</v>
      </c>
      <c r="J59" s="1296">
        <f t="shared" si="16"/>
        <v>44682</v>
      </c>
      <c r="K59" s="1296">
        <f t="shared" si="16"/>
        <v>44652</v>
      </c>
      <c r="L59" s="1296">
        <f t="shared" si="16"/>
        <v>44621</v>
      </c>
      <c r="M59" s="1296">
        <f t="shared" si="16"/>
        <v>44593</v>
      </c>
      <c r="N59" s="1296">
        <f t="shared" si="16"/>
        <v>44562</v>
      </c>
      <c r="O59" s="1296">
        <f t="shared" si="16"/>
        <v>44531</v>
      </c>
      <c r="P59" s="2933"/>
      <c r="Q59" s="2915"/>
      <c r="R59" s="2915"/>
      <c r="S59" s="2915"/>
      <c r="T59" s="2915"/>
      <c r="U59" s="2915"/>
      <c r="V59" s="2915"/>
      <c r="W59" s="2915"/>
      <c r="X59" s="2915"/>
      <c r="Y59" s="2915"/>
      <c r="Z59" s="2915"/>
      <c r="AA59" s="2915"/>
      <c r="AB59" s="2915"/>
      <c r="AC59" s="2915"/>
    </row>
    <row r="60" spans="1:29" s="113" customFormat="1" ht="15">
      <c r="A60" s="466"/>
      <c r="B60" s="467"/>
      <c r="C60" s="1294">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0"/>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59"/>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0"/>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0"/>
      <c r="M119" s="2101"/>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0"/>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20" stopIfTrue="1" operator="containsText" text="超过">
      <formula>NOT(ISERROR(SEARCH("超过",F53)))</formula>
    </cfRule>
  </conditionalFormatting>
  <conditionalFormatting sqref="H55">
    <cfRule type="containsText" dxfId="130" priority="19" stopIfTrue="1" operator="containsText" text="超过">
      <formula>NOT(ISERROR(SEARCH("超过",H55)))</formula>
    </cfRule>
  </conditionalFormatting>
  <conditionalFormatting sqref="F55">
    <cfRule type="containsText" dxfId="129" priority="18" stopIfTrue="1" operator="containsText" text="超过">
      <formula>NOT(ISERROR(SEARCH("超过",F55)))</formula>
    </cfRule>
  </conditionalFormatting>
  <conditionalFormatting sqref="F54 H54">
    <cfRule type="containsText" dxfId="128" priority="17" stopIfTrue="1" operator="containsText" text="超过">
      <formula>NOT(ISERROR(SEARCH("超过",F54)))</formula>
    </cfRule>
  </conditionalFormatting>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G55">
    <cfRule type="expression" dxfId="124" priority="13" stopIfTrue="1">
      <formula>$H$55="超过30%"</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J53">
    <cfRule type="containsText" dxfId="121" priority="10" stopIfTrue="1" operator="containsText" text="超过">
      <formula>NOT(ISERROR(SEARCH("超过",J53)))</formula>
    </cfRule>
  </conditionalFormatting>
  <conditionalFormatting sqref="J55">
    <cfRule type="containsText" dxfId="120" priority="9" stopIfTrue="1" operator="containsText" text="超过">
      <formula>NOT(ISERROR(SEARCH("超过",J55)))</formula>
    </cfRule>
  </conditionalFormatting>
  <conditionalFormatting sqref="J54">
    <cfRule type="containsText" dxfId="119" priority="8" stopIfTrue="1" operator="containsText" text="超过">
      <formula>NOT(ISERROR(SEARCH("超过",J54)))</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F7:F47 H7:H47 J7:J47">
    <cfRule type="cellIs" dxfId="11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估价对象为北京市房地产，为所有。根据《国有土地使用证》[]，估价对象（分摊）出让国有建设用地使用权面积为6030.52平方米，建筑面积为32060.45平方米。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估价对象为北京市房地产,属开发建设的，该项目尚在开发建设中。根据《国有土地使用证》[]，估价对象（分摊）出让国有建设用地使用权面积为6030.52平方米，规划建筑面积为32060.45平方米。</v>
      </c>
    </row>
    <row r="11" spans="1:1" ht="76.5">
      <c r="A11" s="1615" t="s">
        <v>1340</v>
      </c>
    </row>
    <row r="12" spans="1:1" ht="18.75">
      <c r="A12" s="1613" t="s">
        <v>1341</v>
      </c>
    </row>
    <row r="13" spans="1:1" ht="38.25" customHeight="1">
      <c r="A13" s="1616" t="str">
        <f>IF(项目基本情况!B8="抵押",IF(项目基本情况!B5=项目基本情况!B6,定义!C51,定义!B51),定义!D51)</f>
        <v>为估价委托人了解估价对象房地产市场价值提供参考依据。</v>
      </c>
    </row>
    <row r="14" spans="1:1" ht="18.75">
      <c r="A14" s="1617" t="s">
        <v>1342</v>
      </c>
    </row>
    <row r="15" spans="1:1" ht="18">
      <c r="A15" s="1618" t="str">
        <f>TEXT(项目基本情况!D3,"yyyy年m月d日;;")&amp;IF(项目基本情况!D3=项目基本情况!B3,"（评估专业人员实地查勘之日）","")</f>
        <v>2022年12月6日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本次评估采用的主估价方法为基准地价系数修正法和收益法。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2282</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IF(C2="——",ROUND(C43*D3/10000,0),ROUND(C43*D3/10000,0)-D2)</f>
        <v>#DIV/0!</v>
      </c>
      <c r="C2" s="2014"/>
      <c r="D2" s="1016" t="e">
        <f ca="1">SUMIF(INDIRECT("'"&amp;F2&amp;"'"&amp;"!A:A"),"承租人权益价值",INDIRECT("'"&amp;F2&amp;"'"&amp;"!c:c"))</f>
        <v>#REF!</v>
      </c>
      <c r="E2" s="2015" t="s">
        <v>1908</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32060.45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687" t="s">
        <v>2226</v>
      </c>
      <c r="D4" s="3688"/>
      <c r="E4" s="3689" t="s">
        <v>2227</v>
      </c>
      <c r="F4" s="3690"/>
      <c r="G4" s="3687" t="s">
        <v>2228</v>
      </c>
      <c r="H4" s="3688"/>
      <c r="I4" s="3687" t="s">
        <v>2229</v>
      </c>
      <c r="J4" s="3688"/>
      <c r="K4" s="567" t="s">
        <v>2230</v>
      </c>
      <c r="L4" s="1022"/>
      <c r="M4" s="1023"/>
      <c r="N4" s="1023"/>
      <c r="O4" s="1023"/>
      <c r="P4" s="3691" t="s">
        <v>2231</v>
      </c>
      <c r="Q4" s="3692"/>
      <c r="R4" s="3674" t="s">
        <v>2227</v>
      </c>
      <c r="S4" s="3675"/>
      <c r="T4" s="3674" t="s">
        <v>2228</v>
      </c>
      <c r="U4" s="3675"/>
      <c r="V4" s="3699" t="s">
        <v>2229</v>
      </c>
      <c r="W4" s="3699"/>
      <c r="X4" s="1486"/>
      <c r="Y4" s="3674" t="s">
        <v>2231</v>
      </c>
      <c r="Z4" s="3675"/>
      <c r="AA4" s="3669" t="s">
        <v>2227</v>
      </c>
      <c r="AB4" s="3670" t="s">
        <v>2228</v>
      </c>
      <c r="AC4" s="3669" t="s">
        <v>2229</v>
      </c>
    </row>
    <row r="5" spans="1:29" ht="15">
      <c r="A5" s="364"/>
      <c r="B5" s="365"/>
      <c r="C5" s="3680" t="s">
        <v>2122</v>
      </c>
      <c r="D5" s="3681"/>
      <c r="E5" s="3678" t="s">
        <v>2123</v>
      </c>
      <c r="F5" s="3679"/>
      <c r="G5" s="3680" t="s">
        <v>2124</v>
      </c>
      <c r="H5" s="3681"/>
      <c r="I5" s="3680" t="s">
        <v>2125</v>
      </c>
      <c r="J5" s="3681"/>
      <c r="K5" s="567"/>
      <c r="L5" s="1022"/>
      <c r="M5" s="1023"/>
      <c r="N5" s="1023"/>
      <c r="O5" s="1023"/>
      <c r="P5" s="3693"/>
      <c r="Q5" s="3694"/>
      <c r="R5" s="3676"/>
      <c r="S5" s="3677"/>
      <c r="T5" s="3676"/>
      <c r="U5" s="3677"/>
      <c r="V5" s="3699"/>
      <c r="W5" s="3699"/>
      <c r="X5" s="1486"/>
      <c r="Y5" s="3676"/>
      <c r="Z5" s="3677"/>
      <c r="AA5" s="3670"/>
      <c r="AB5" s="3670"/>
      <c r="AC5" s="3670"/>
    </row>
    <row r="6" spans="1:29" ht="15.75" thickBot="1">
      <c r="A6" s="366"/>
      <c r="B6" s="367"/>
      <c r="C6" s="3682" t="s">
        <v>2126</v>
      </c>
      <c r="D6" s="3683"/>
      <c r="E6" s="3684" t="s">
        <v>2126</v>
      </c>
      <c r="F6" s="3685"/>
      <c r="G6" s="3682" t="s">
        <v>2126</v>
      </c>
      <c r="H6" s="3683"/>
      <c r="I6" s="3682" t="s">
        <v>2126</v>
      </c>
      <c r="J6" s="3683"/>
      <c r="K6" s="567" t="s">
        <v>2127</v>
      </c>
      <c r="L6" s="1022"/>
      <c r="M6" s="1023"/>
      <c r="N6" s="1023"/>
      <c r="O6" s="1023"/>
      <c r="P6" s="3695"/>
      <c r="Q6" s="3696"/>
      <c r="R6" s="3676"/>
      <c r="S6" s="3677"/>
      <c r="T6" s="3697"/>
      <c r="U6" s="3698"/>
      <c r="V6" s="3699"/>
      <c r="W6" s="3699"/>
      <c r="X6" s="1486"/>
      <c r="Y6" s="3697"/>
      <c r="Z6" s="3698"/>
      <c r="AA6" s="3671"/>
      <c r="AB6" s="3671"/>
      <c r="AC6" s="3671"/>
    </row>
    <row r="7" spans="1:29" s="113" customFormat="1" ht="15.75" thickBot="1">
      <c r="A7" s="368" t="s">
        <v>2128</v>
      </c>
      <c r="B7" s="369"/>
      <c r="C7" s="370">
        <f>'数据-取费表'!B2</f>
        <v>44901</v>
      </c>
      <c r="D7" s="371">
        <v>100</v>
      </c>
      <c r="E7" s="372"/>
      <c r="F7" s="373">
        <f>SUMIF(52:52,YEAR(E7)&amp;"-"&amp;MONTH(E7),53:53)</f>
        <v>0</v>
      </c>
      <c r="G7" s="372"/>
      <c r="H7" s="371">
        <f>SUMIF(52:52,YEAR(G7)&amp;"-"&amp;MONTH(G7),53:53)</f>
        <v>0</v>
      </c>
      <c r="I7" s="372"/>
      <c r="J7" s="371">
        <f>SUMIF(52:52,YEAR(I7)&amp;"-"&amp;MONTH(I7),53:53)</f>
        <v>0</v>
      </c>
      <c r="K7" s="568"/>
      <c r="L7" s="1024"/>
      <c r="M7" s="1025"/>
      <c r="N7" s="1025"/>
      <c r="O7" s="1025"/>
      <c r="P7" s="3672" t="s">
        <v>2129</v>
      </c>
      <c r="Q7" s="3700"/>
      <c r="R7" s="707" t="s">
        <v>17</v>
      </c>
      <c r="S7" s="708">
        <f t="shared" ref="S7:S15" si="0">F7</f>
        <v>0</v>
      </c>
      <c r="T7" s="707" t="s">
        <v>17</v>
      </c>
      <c r="U7" s="708">
        <f t="shared" ref="U7:U15" si="1">H7</f>
        <v>0</v>
      </c>
      <c r="V7" s="707" t="s">
        <v>17</v>
      </c>
      <c r="W7" s="708">
        <f t="shared" ref="W7:W15" si="2">J7</f>
        <v>0</v>
      </c>
      <c r="X7" s="709"/>
      <c r="Y7" s="3672" t="s">
        <v>2129</v>
      </c>
      <c r="Z7" s="3673"/>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672" t="s">
        <v>2132</v>
      </c>
      <c r="Q8" s="3673"/>
      <c r="R8" s="707" t="s">
        <v>17</v>
      </c>
      <c r="S8" s="708">
        <f t="shared" si="0"/>
        <v>0</v>
      </c>
      <c r="T8" s="707" t="s">
        <v>17</v>
      </c>
      <c r="U8" s="708">
        <f t="shared" si="1"/>
        <v>0</v>
      </c>
      <c r="V8" s="707" t="s">
        <v>17</v>
      </c>
      <c r="W8" s="708">
        <f t="shared" si="2"/>
        <v>0</v>
      </c>
      <c r="X8" s="709"/>
      <c r="Y8" s="3672" t="s">
        <v>2132</v>
      </c>
      <c r="Z8" s="3673"/>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704"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704"/>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704"/>
      <c r="Q11" s="1474" t="str">
        <f t="shared" si="6"/>
        <v>容积率</v>
      </c>
      <c r="R11" s="707" t="s">
        <v>17</v>
      </c>
      <c r="S11" s="708" t="e">
        <f t="shared" si="0"/>
        <v>#N/A</v>
      </c>
      <c r="T11" s="707" t="s">
        <v>17</v>
      </c>
      <c r="U11" s="708" t="e">
        <f t="shared" si="1"/>
        <v>#N/A</v>
      </c>
      <c r="V11" s="707" t="s">
        <v>17</v>
      </c>
      <c r="W11" s="708" t="e">
        <f t="shared" si="2"/>
        <v>#N/A</v>
      </c>
      <c r="X11" s="709"/>
      <c r="Y11" s="3642"/>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132">
        <f>SUMIF(64:64,E12,65:65)-SUMIF(64:64,C12,65:65)+100</f>
        <v>100</v>
      </c>
      <c r="G12" s="2102"/>
      <c r="H12" s="132">
        <f>SUMIF(64:64,G12,65:65)-SUMIF(64:64,C12,65:65)+100</f>
        <v>100</v>
      </c>
      <c r="I12" s="428"/>
      <c r="J12" s="132">
        <f>SUMIF(64:64,I12,65:65)-SUMIF(64:64,C12,65:65)+100</f>
        <v>100</v>
      </c>
      <c r="K12" s="570"/>
      <c r="L12" s="1024"/>
      <c r="M12" s="1025"/>
      <c r="N12" s="1025"/>
      <c r="O12" s="1026"/>
      <c r="P12" s="3704"/>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710">
        <f>D12/J12</f>
        <v>1</v>
      </c>
    </row>
    <row r="13" spans="1:29" ht="15">
      <c r="A13" s="387"/>
      <c r="B13" s="2025">
        <v>111</v>
      </c>
      <c r="C13" s="393"/>
      <c r="D13" s="394">
        <v>100</v>
      </c>
      <c r="E13" s="393"/>
      <c r="F13" s="132">
        <f>SUMIF(66:66,E13,67:67)-SUMIF(66:66,C13,67:67)+100</f>
        <v>100</v>
      </c>
      <c r="G13" s="2102"/>
      <c r="H13" s="394">
        <f>SUMIF(66:66,G13,67:67)-SUMIF(66:66,C13,67:67)+100</f>
        <v>100</v>
      </c>
      <c r="I13" s="428"/>
      <c r="J13" s="394">
        <f>SUMIF(66:66,I13,67:67)-SUMIF(66:66,C13,67:67)+100</f>
        <v>100</v>
      </c>
      <c r="K13" s="570"/>
      <c r="L13" s="1032"/>
      <c r="M13" s="1023"/>
      <c r="N13" s="1023"/>
      <c r="O13" s="1031"/>
      <c r="P13" s="3704"/>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710">
        <f t="shared" si="5"/>
        <v>1</v>
      </c>
    </row>
    <row r="14" spans="1:29" ht="15.75" thickBot="1">
      <c r="A14" s="395"/>
      <c r="B14" s="2027">
        <v>111</v>
      </c>
      <c r="C14" s="396"/>
      <c r="D14" s="397">
        <v>100</v>
      </c>
      <c r="E14" s="396"/>
      <c r="F14" s="397">
        <f>SUMIF(68:68,E14,69:69)-SUMIF(68:68,C14,69:69)+100</f>
        <v>100</v>
      </c>
      <c r="G14" s="2102"/>
      <c r="H14" s="397">
        <f>SUMIF(68:68,G14,69:69)-SUMIF(68:68,C14,69:69)+100</f>
        <v>100</v>
      </c>
      <c r="I14" s="428"/>
      <c r="J14" s="397">
        <f>SUMIF(68:68,I14,69:69)-SUMIF(68:68,C14,69:69)+100</f>
        <v>100</v>
      </c>
      <c r="K14" s="570"/>
      <c r="L14" s="1032"/>
      <c r="M14" s="1023"/>
      <c r="N14" s="1023"/>
      <c r="O14" s="1031"/>
      <c r="P14" s="3704"/>
      <c r="Q14" s="1474">
        <f t="shared" si="6"/>
        <v>111</v>
      </c>
      <c r="R14" s="707" t="s">
        <v>17</v>
      </c>
      <c r="S14" s="708">
        <f t="shared" si="0"/>
        <v>100</v>
      </c>
      <c r="T14" s="707" t="s">
        <v>17</v>
      </c>
      <c r="U14" s="708">
        <f t="shared" si="1"/>
        <v>100</v>
      </c>
      <c r="V14" s="707" t="s">
        <v>17</v>
      </c>
      <c r="W14" s="708">
        <f t="shared" si="2"/>
        <v>100</v>
      </c>
      <c r="X14" s="709"/>
      <c r="Y14" s="3642"/>
      <c r="Z14" s="55">
        <f t="shared" si="7"/>
        <v>111</v>
      </c>
      <c r="AA14" s="710">
        <f t="shared" si="3"/>
        <v>1</v>
      </c>
      <c r="AB14" s="710">
        <f t="shared" si="4"/>
        <v>1</v>
      </c>
      <c r="AC14" s="710">
        <f t="shared" si="5"/>
        <v>1</v>
      </c>
    </row>
    <row r="15" spans="1:29" ht="57">
      <c r="A15" s="399" t="s">
        <v>2139</v>
      </c>
      <c r="B15" s="65" t="s">
        <v>2283</v>
      </c>
      <c r="C15" s="210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706" t="s">
        <v>2140</v>
      </c>
      <c r="Q15" s="1483" t="str">
        <f t="shared" si="6"/>
        <v>产业集聚程度</v>
      </c>
      <c r="R15" s="711" t="s">
        <v>17</v>
      </c>
      <c r="S15" s="712">
        <f t="shared" si="0"/>
        <v>100</v>
      </c>
      <c r="T15" s="711" t="s">
        <v>17</v>
      </c>
      <c r="U15" s="712">
        <f t="shared" si="1"/>
        <v>100</v>
      </c>
      <c r="V15" s="711" t="s">
        <v>17</v>
      </c>
      <c r="W15" s="712">
        <f t="shared" si="2"/>
        <v>100</v>
      </c>
      <c r="X15" s="1486"/>
      <c r="Y15" s="3706" t="s">
        <v>2140</v>
      </c>
      <c r="Z15" s="1487" t="str">
        <f t="shared" si="7"/>
        <v>产业集聚程度</v>
      </c>
      <c r="AA15" s="1484">
        <f t="shared" si="3"/>
        <v>1</v>
      </c>
      <c r="AB15" s="1484">
        <f t="shared" si="4"/>
        <v>1</v>
      </c>
      <c r="AC15" s="1484">
        <f t="shared" si="5"/>
        <v>1</v>
      </c>
    </row>
    <row r="16" spans="1:29" ht="15">
      <c r="A16" s="387"/>
      <c r="B16" s="405"/>
      <c r="C16" s="406"/>
      <c r="D16" s="407"/>
      <c r="E16" s="406"/>
      <c r="F16" s="408"/>
      <c r="G16" s="406"/>
      <c r="H16" s="409"/>
      <c r="I16" s="406"/>
      <c r="J16" s="407"/>
      <c r="K16" s="572"/>
      <c r="L16" s="1032"/>
      <c r="M16" s="1023"/>
      <c r="N16" s="1023"/>
      <c r="O16" s="1031"/>
      <c r="P16" s="3707"/>
      <c r="Q16" s="1483"/>
      <c r="R16" s="711"/>
      <c r="S16" s="712"/>
      <c r="T16" s="711"/>
      <c r="U16" s="712"/>
      <c r="V16" s="711"/>
      <c r="W16" s="712"/>
      <c r="X16" s="1486"/>
      <c r="Y16" s="3707"/>
      <c r="Z16" s="1487"/>
      <c r="AA16" s="1484">
        <v>1</v>
      </c>
      <c r="AB16" s="1484">
        <v>1</v>
      </c>
      <c r="AC16" s="1484">
        <v>1</v>
      </c>
    </row>
    <row r="17" spans="1:29" ht="85.5">
      <c r="A17" s="387"/>
      <c r="B17" s="410" t="s">
        <v>1704</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707"/>
      <c r="Q17" s="1483" t="str">
        <f>B17</f>
        <v>交通便捷度</v>
      </c>
      <c r="R17" s="711" t="s">
        <v>17</v>
      </c>
      <c r="S17" s="712">
        <f>F17</f>
        <v>100</v>
      </c>
      <c r="T17" s="711" t="s">
        <v>17</v>
      </c>
      <c r="U17" s="712">
        <f>H17</f>
        <v>100</v>
      </c>
      <c r="V17" s="711" t="s">
        <v>17</v>
      </c>
      <c r="W17" s="712">
        <f>J17</f>
        <v>100</v>
      </c>
      <c r="X17" s="1486"/>
      <c r="Y17" s="3707"/>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1032"/>
      <c r="M18" s="1023"/>
      <c r="N18" s="1023"/>
      <c r="O18" s="1031"/>
      <c r="P18" s="3707"/>
      <c r="Q18" s="1483"/>
      <c r="R18" s="711"/>
      <c r="S18" s="712"/>
      <c r="T18" s="711"/>
      <c r="U18" s="712"/>
      <c r="V18" s="711"/>
      <c r="W18" s="712"/>
      <c r="X18" s="1486"/>
      <c r="Y18" s="3707"/>
      <c r="Z18" s="1487"/>
      <c r="AA18" s="1484">
        <v>1</v>
      </c>
      <c r="AB18" s="1484">
        <v>1</v>
      </c>
      <c r="AC18" s="1484">
        <v>1</v>
      </c>
    </row>
    <row r="19" spans="1:29" ht="42.75">
      <c r="A19" s="387"/>
      <c r="B19" s="410" t="s">
        <v>2268</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707"/>
      <c r="Q19" s="1483" t="str">
        <f>B19</f>
        <v>公共配套设施</v>
      </c>
      <c r="R19" s="711" t="s">
        <v>17</v>
      </c>
      <c r="S19" s="712">
        <f>F19</f>
        <v>100</v>
      </c>
      <c r="T19" s="711" t="s">
        <v>17</v>
      </c>
      <c r="U19" s="712">
        <f>H19</f>
        <v>100</v>
      </c>
      <c r="V19" s="711" t="s">
        <v>17</v>
      </c>
      <c r="W19" s="712">
        <f>J19</f>
        <v>100</v>
      </c>
      <c r="X19" s="1486"/>
      <c r="Y19" s="3707"/>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1032"/>
      <c r="M20" s="1023"/>
      <c r="N20" s="1023"/>
      <c r="O20" s="1031"/>
      <c r="P20" s="3707"/>
      <c r="Q20" s="1483"/>
      <c r="R20" s="711"/>
      <c r="S20" s="712"/>
      <c r="T20" s="711"/>
      <c r="U20" s="712"/>
      <c r="V20" s="711"/>
      <c r="W20" s="712"/>
      <c r="X20" s="1486"/>
      <c r="Y20" s="3707"/>
      <c r="Z20" s="1487"/>
      <c r="AA20" s="1484">
        <v>1</v>
      </c>
      <c r="AB20" s="1484">
        <v>1</v>
      </c>
      <c r="AC20" s="1484">
        <v>1</v>
      </c>
    </row>
    <row r="21" spans="1:29" ht="28.5">
      <c r="A21" s="387"/>
      <c r="B21" s="1242" t="s">
        <v>2269</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707"/>
      <c r="Q21" s="1483" t="str">
        <f>B21</f>
        <v>基础设施水平</v>
      </c>
      <c r="R21" s="711" t="s">
        <v>17</v>
      </c>
      <c r="S21" s="712">
        <f>F21</f>
        <v>100</v>
      </c>
      <c r="T21" s="711" t="s">
        <v>17</v>
      </c>
      <c r="U21" s="712">
        <f>H21</f>
        <v>100</v>
      </c>
      <c r="V21" s="711" t="s">
        <v>17</v>
      </c>
      <c r="W21" s="712">
        <f>J21</f>
        <v>100</v>
      </c>
      <c r="X21" s="1486"/>
      <c r="Y21" s="3707"/>
      <c r="Z21" s="1487" t="str">
        <f>Q21</f>
        <v>基础设施水平</v>
      </c>
      <c r="AA21" s="1484">
        <f t="shared" ref="AA21" si="8">D21/F21</f>
        <v>1</v>
      </c>
      <c r="AB21" s="1484">
        <f t="shared" ref="AB21" si="9">D21/H21</f>
        <v>1</v>
      </c>
      <c r="AC21" s="1484">
        <f t="shared" ref="AC21" si="10">D21/J21</f>
        <v>1</v>
      </c>
    </row>
    <row r="22" spans="1:29" ht="15">
      <c r="A22" s="387"/>
      <c r="B22" s="1242"/>
      <c r="C22" s="2033"/>
      <c r="D22" s="407"/>
      <c r="E22" s="406"/>
      <c r="F22" s="408"/>
      <c r="G22" s="406"/>
      <c r="H22" s="407"/>
      <c r="I22" s="406"/>
      <c r="J22" s="407"/>
      <c r="K22" s="1241"/>
      <c r="L22" s="1032"/>
      <c r="M22" s="1023"/>
      <c r="N22" s="1023"/>
      <c r="O22" s="1031"/>
      <c r="P22" s="3707"/>
      <c r="Q22" s="1483"/>
      <c r="R22" s="711"/>
      <c r="S22" s="712"/>
      <c r="T22" s="711"/>
      <c r="U22" s="712"/>
      <c r="V22" s="711"/>
      <c r="W22" s="712"/>
      <c r="X22" s="1486"/>
      <c r="Y22" s="3707"/>
      <c r="Z22" s="1487"/>
      <c r="AA22" s="1484">
        <v>1</v>
      </c>
      <c r="AB22" s="1484">
        <v>1</v>
      </c>
      <c r="AC22" s="1484">
        <v>1</v>
      </c>
    </row>
    <row r="23" spans="1:29" ht="71.25">
      <c r="A23" s="387"/>
      <c r="B23" s="410" t="s">
        <v>2270</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707"/>
      <c r="Q23" s="1483" t="str">
        <f>B23</f>
        <v>环境质量</v>
      </c>
      <c r="R23" s="711" t="s">
        <v>17</v>
      </c>
      <c r="S23" s="712">
        <f>F23</f>
        <v>100</v>
      </c>
      <c r="T23" s="711" t="s">
        <v>17</v>
      </c>
      <c r="U23" s="712">
        <f>H23</f>
        <v>100</v>
      </c>
      <c r="V23" s="711" t="s">
        <v>17</v>
      </c>
      <c r="W23" s="712">
        <f>J23</f>
        <v>100</v>
      </c>
      <c r="X23" s="1486"/>
      <c r="Y23" s="3707"/>
      <c r="Z23" s="1487" t="str">
        <f>Q23</f>
        <v>环境质量</v>
      </c>
      <c r="AA23" s="1484">
        <f t="shared" si="3"/>
        <v>1</v>
      </c>
      <c r="AB23" s="1484">
        <f t="shared" si="4"/>
        <v>1</v>
      </c>
      <c r="AC23" s="1484">
        <f t="shared" si="5"/>
        <v>1</v>
      </c>
    </row>
    <row r="24" spans="1:29" ht="15">
      <c r="A24" s="387"/>
      <c r="B24" s="1242"/>
      <c r="C24" s="406"/>
      <c r="D24" s="407"/>
      <c r="E24" s="2030"/>
      <c r="F24" s="408"/>
      <c r="G24" s="2029"/>
      <c r="H24" s="407"/>
      <c r="I24" s="2030"/>
      <c r="J24" s="407"/>
      <c r="K24" s="572"/>
      <c r="L24" s="1032"/>
      <c r="M24" s="1023"/>
      <c r="N24" s="1023"/>
      <c r="O24" s="1031"/>
      <c r="P24" s="3707"/>
      <c r="Q24" s="1483"/>
      <c r="R24" s="711"/>
      <c r="S24" s="712"/>
      <c r="T24" s="711"/>
      <c r="U24" s="712"/>
      <c r="V24" s="711"/>
      <c r="W24" s="712"/>
      <c r="X24" s="1486"/>
      <c r="Y24" s="3707"/>
      <c r="Z24" s="1487"/>
      <c r="AA24" s="1484">
        <v>1</v>
      </c>
      <c r="AB24" s="1484">
        <v>1</v>
      </c>
      <c r="AC24" s="1484">
        <v>1</v>
      </c>
    </row>
    <row r="25" spans="1:29" ht="15">
      <c r="A25" s="364"/>
      <c r="B25" s="124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707"/>
      <c r="Q25" s="1483">
        <f>B25</f>
        <v>111</v>
      </c>
      <c r="R25" s="711" t="s">
        <v>17</v>
      </c>
      <c r="S25" s="712">
        <f>F25</f>
        <v>100</v>
      </c>
      <c r="T25" s="711" t="s">
        <v>17</v>
      </c>
      <c r="U25" s="712">
        <f>H25</f>
        <v>100</v>
      </c>
      <c r="V25" s="711" t="s">
        <v>17</v>
      </c>
      <c r="W25" s="712">
        <f>J25</f>
        <v>100</v>
      </c>
      <c r="X25" s="1486"/>
      <c r="Y25" s="3707"/>
      <c r="Z25" s="1487">
        <f>Q25</f>
        <v>111</v>
      </c>
      <c r="AA25" s="1484">
        <f t="shared" si="3"/>
        <v>1</v>
      </c>
      <c r="AB25" s="1484">
        <f t="shared" si="4"/>
        <v>1</v>
      </c>
      <c r="AC25" s="1484">
        <f t="shared" si="5"/>
        <v>1</v>
      </c>
    </row>
    <row r="26" spans="1:29" ht="15">
      <c r="A26" s="387"/>
      <c r="B26" s="124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707"/>
      <c r="Q26" s="1483">
        <f t="shared" ref="Q26:Q40" si="11">B26</f>
        <v>111</v>
      </c>
      <c r="R26" s="711" t="s">
        <v>17</v>
      </c>
      <c r="S26" s="712">
        <f>F26</f>
        <v>100</v>
      </c>
      <c r="T26" s="711" t="s">
        <v>17</v>
      </c>
      <c r="U26" s="712">
        <f>H26</f>
        <v>100</v>
      </c>
      <c r="V26" s="711" t="s">
        <v>17</v>
      </c>
      <c r="W26" s="712">
        <f>J26</f>
        <v>100</v>
      </c>
      <c r="X26" s="1486"/>
      <c r="Y26" s="3707"/>
      <c r="Z26" s="1487">
        <f>Q26</f>
        <v>111</v>
      </c>
      <c r="AA26" s="1484">
        <f t="shared" si="3"/>
        <v>1</v>
      </c>
      <c r="AB26" s="1484">
        <f t="shared" si="4"/>
        <v>1</v>
      </c>
      <c r="AC26" s="1484">
        <f t="shared" si="5"/>
        <v>1</v>
      </c>
    </row>
    <row r="27" spans="1:29" s="113" customFormat="1" ht="15">
      <c r="A27" s="390"/>
      <c r="B27" s="124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707"/>
      <c r="Q27" s="1474">
        <f t="shared" si="11"/>
        <v>111</v>
      </c>
      <c r="R27" s="707" t="s">
        <v>17</v>
      </c>
      <c r="S27" s="708">
        <f>F27</f>
        <v>100</v>
      </c>
      <c r="T27" s="707" t="s">
        <v>17</v>
      </c>
      <c r="U27" s="708">
        <f>H27</f>
        <v>100</v>
      </c>
      <c r="V27" s="707" t="s">
        <v>17</v>
      </c>
      <c r="W27" s="708">
        <f>J27</f>
        <v>100</v>
      </c>
      <c r="X27" s="709"/>
      <c r="Y27" s="3707"/>
      <c r="Z27" s="55">
        <f>Q27</f>
        <v>111</v>
      </c>
      <c r="AA27" s="1484">
        <f>D27/F27</f>
        <v>1</v>
      </c>
      <c r="AB27" s="1484">
        <f>D27/H27</f>
        <v>1</v>
      </c>
      <c r="AC27" s="1484">
        <f>D27/J27</f>
        <v>1</v>
      </c>
    </row>
    <row r="28" spans="1:29" ht="15.75" thickBot="1">
      <c r="A28" s="395"/>
      <c r="B28" s="124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707"/>
      <c r="Q28" s="1483">
        <f t="shared" si="11"/>
        <v>111</v>
      </c>
      <c r="R28" s="711" t="s">
        <v>17</v>
      </c>
      <c r="S28" s="712">
        <f t="shared" ref="S28:S40" si="12">F28</f>
        <v>100</v>
      </c>
      <c r="T28" s="711" t="s">
        <v>17</v>
      </c>
      <c r="U28" s="712">
        <f t="shared" ref="U28:U40" si="13">H28</f>
        <v>100</v>
      </c>
      <c r="V28" s="711" t="s">
        <v>17</v>
      </c>
      <c r="W28" s="712">
        <f t="shared" ref="W28:W40" si="14">J28</f>
        <v>100</v>
      </c>
      <c r="X28" s="1486"/>
      <c r="Y28" s="3707"/>
      <c r="Z28" s="1487">
        <f t="shared" ref="Z28:Z40" si="15">Q28</f>
        <v>111</v>
      </c>
      <c r="AA28" s="1484">
        <f t="shared" si="3"/>
        <v>1</v>
      </c>
      <c r="AB28" s="1484">
        <f t="shared" si="4"/>
        <v>1</v>
      </c>
      <c r="AC28" s="1484">
        <f t="shared" si="5"/>
        <v>1</v>
      </c>
    </row>
    <row r="29" spans="1:29" ht="28.5">
      <c r="A29" s="425" t="s">
        <v>2143</v>
      </c>
      <c r="B29" s="67" t="s">
        <v>2273</v>
      </c>
      <c r="C29" s="2099"/>
      <c r="D29" s="426">
        <v>100</v>
      </c>
      <c r="E29" s="2099"/>
      <c r="F29" s="420">
        <f>SUMIF(88:88,E29,89:89)-SUMIF(88:88,C29,89:89)+100</f>
        <v>100</v>
      </c>
      <c r="G29" s="2099"/>
      <c r="H29" s="394">
        <f>SUMIF(88:88,G29,89:89)-SUMIF(88:88,C29,89:89)+100</f>
        <v>100</v>
      </c>
      <c r="I29" s="2099"/>
      <c r="J29" s="426">
        <f>SUMIF(88:88,I29,89:89)-SUMIF(88:88,C29,89:89)+100</f>
        <v>100</v>
      </c>
      <c r="K29" s="569"/>
      <c r="L29" s="1032"/>
      <c r="M29" s="1023"/>
      <c r="N29" s="1023"/>
      <c r="O29" s="1031"/>
      <c r="P29" s="3762" t="s">
        <v>2145</v>
      </c>
      <c r="Q29" s="1483" t="str">
        <f t="shared" si="11"/>
        <v>建筑类型</v>
      </c>
      <c r="R29" s="711" t="s">
        <v>17</v>
      </c>
      <c r="S29" s="712">
        <f t="shared" si="12"/>
        <v>100</v>
      </c>
      <c r="T29" s="711" t="s">
        <v>17</v>
      </c>
      <c r="U29" s="712">
        <f t="shared" si="13"/>
        <v>100</v>
      </c>
      <c r="V29" s="711" t="s">
        <v>17</v>
      </c>
      <c r="W29" s="712">
        <f t="shared" si="14"/>
        <v>100</v>
      </c>
      <c r="X29" s="1486"/>
      <c r="Y29" s="3711" t="s">
        <v>2145</v>
      </c>
      <c r="Z29" s="1487" t="str">
        <f t="shared" si="15"/>
        <v>建筑类型</v>
      </c>
      <c r="AA29" s="1484">
        <f t="shared" si="3"/>
        <v>1</v>
      </c>
      <c r="AB29" s="1484">
        <f t="shared" si="4"/>
        <v>1</v>
      </c>
      <c r="AC29" s="1484">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711"/>
      <c r="Q30" s="713" t="str">
        <f t="shared" si="11"/>
        <v>项目建筑规模</v>
      </c>
      <c r="R30" s="714" t="s">
        <v>17</v>
      </c>
      <c r="S30" s="715" t="e">
        <f t="shared" si="12"/>
        <v>#N/A</v>
      </c>
      <c r="T30" s="714" t="s">
        <v>17</v>
      </c>
      <c r="U30" s="715" t="e">
        <f t="shared" si="13"/>
        <v>#N/A</v>
      </c>
      <c r="V30" s="714" t="s">
        <v>17</v>
      </c>
      <c r="W30" s="715" t="e">
        <f t="shared" si="14"/>
        <v>#N/A</v>
      </c>
      <c r="X30" s="716"/>
      <c r="Y30" s="3711"/>
      <c r="Z30" s="717" t="str">
        <f t="shared" si="15"/>
        <v>项目建筑规模</v>
      </c>
      <c r="AA30" s="1484" t="e">
        <f t="shared" si="3"/>
        <v>#N/A</v>
      </c>
      <c r="AB30" s="1484" t="e">
        <f t="shared" si="4"/>
        <v>#N/A</v>
      </c>
      <c r="AC30" s="1484"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711"/>
      <c r="Q31" s="1483" t="str">
        <f t="shared" si="11"/>
        <v>建筑结构</v>
      </c>
      <c r="R31" s="711" t="s">
        <v>17</v>
      </c>
      <c r="S31" s="712">
        <f t="shared" si="12"/>
        <v>100</v>
      </c>
      <c r="T31" s="711" t="s">
        <v>17</v>
      </c>
      <c r="U31" s="712">
        <f t="shared" si="13"/>
        <v>100</v>
      </c>
      <c r="V31" s="711" t="s">
        <v>17</v>
      </c>
      <c r="W31" s="712">
        <f t="shared" si="14"/>
        <v>100</v>
      </c>
      <c r="X31" s="1486"/>
      <c r="Y31" s="3711"/>
      <c r="Z31" s="1487" t="str">
        <f t="shared" si="15"/>
        <v>建筑结构</v>
      </c>
      <c r="AA31" s="1484">
        <f t="shared" si="3"/>
        <v>1</v>
      </c>
      <c r="AB31" s="1484">
        <f t="shared" si="4"/>
        <v>1</v>
      </c>
      <c r="AC31" s="1484">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711"/>
      <c r="Q32" s="1483" t="str">
        <f t="shared" si="11"/>
        <v>公共部分装修</v>
      </c>
      <c r="R32" s="711" t="s">
        <v>17</v>
      </c>
      <c r="S32" s="712">
        <f t="shared" si="12"/>
        <v>100</v>
      </c>
      <c r="T32" s="711" t="s">
        <v>17</v>
      </c>
      <c r="U32" s="712">
        <f t="shared" si="13"/>
        <v>100</v>
      </c>
      <c r="V32" s="711" t="s">
        <v>17</v>
      </c>
      <c r="W32" s="712">
        <f t="shared" si="14"/>
        <v>100</v>
      </c>
      <c r="X32" s="1486"/>
      <c r="Y32" s="3711"/>
      <c r="Z32" s="1487" t="str">
        <f t="shared" si="15"/>
        <v>公共部分装修</v>
      </c>
      <c r="AA32" s="1484">
        <f t="shared" si="3"/>
        <v>1</v>
      </c>
      <c r="AB32" s="1484">
        <f t="shared" si="4"/>
        <v>1</v>
      </c>
      <c r="AC32" s="1484">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711"/>
      <c r="Q33" s="1483" t="str">
        <f t="shared" si="11"/>
        <v>成新度</v>
      </c>
      <c r="R33" s="711" t="s">
        <v>17</v>
      </c>
      <c r="S33" s="712" t="e">
        <f t="shared" si="12"/>
        <v>#N/A</v>
      </c>
      <c r="T33" s="711" t="s">
        <v>17</v>
      </c>
      <c r="U33" s="712" t="e">
        <f t="shared" si="13"/>
        <v>#N/A</v>
      </c>
      <c r="V33" s="711" t="s">
        <v>17</v>
      </c>
      <c r="W33" s="712" t="e">
        <f t="shared" si="14"/>
        <v>#N/A</v>
      </c>
      <c r="X33" s="1486"/>
      <c r="Y33" s="3711"/>
      <c r="Z33" s="1487" t="str">
        <f t="shared" si="15"/>
        <v>成新度</v>
      </c>
      <c r="AA33" s="1484" t="e">
        <f t="shared" si="3"/>
        <v>#N/A</v>
      </c>
      <c r="AB33" s="1484" t="e">
        <f t="shared" si="4"/>
        <v>#N/A</v>
      </c>
      <c r="AC33" s="1484"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711"/>
      <c r="Q34" s="1474" t="str">
        <f t="shared" si="11"/>
        <v>物业管理</v>
      </c>
      <c r="R34" s="707" t="s">
        <v>17</v>
      </c>
      <c r="S34" s="708">
        <f t="shared" si="12"/>
        <v>100</v>
      </c>
      <c r="T34" s="707" t="s">
        <v>17</v>
      </c>
      <c r="U34" s="708">
        <f t="shared" si="13"/>
        <v>100</v>
      </c>
      <c r="V34" s="707" t="s">
        <v>17</v>
      </c>
      <c r="W34" s="708">
        <f t="shared" si="14"/>
        <v>100</v>
      </c>
      <c r="X34" s="709"/>
      <c r="Y34" s="3711"/>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711" t="s">
        <v>2145</v>
      </c>
      <c r="Q35" s="1483" t="str">
        <f t="shared" si="11"/>
        <v>市政基础设施</v>
      </c>
      <c r="R35" s="711" t="s">
        <v>17</v>
      </c>
      <c r="S35" s="712">
        <f t="shared" si="12"/>
        <v>100</v>
      </c>
      <c r="T35" s="711" t="s">
        <v>17</v>
      </c>
      <c r="U35" s="712">
        <f t="shared" si="13"/>
        <v>100</v>
      </c>
      <c r="V35" s="711" t="s">
        <v>17</v>
      </c>
      <c r="W35" s="712">
        <f t="shared" si="14"/>
        <v>100</v>
      </c>
      <c r="X35" s="1486"/>
      <c r="Y35" s="3711" t="s">
        <v>2145</v>
      </c>
      <c r="Z35" s="1487" t="str">
        <f t="shared" si="15"/>
        <v>市政基础设施</v>
      </c>
      <c r="AA35" s="1484">
        <f t="shared" si="3"/>
        <v>1</v>
      </c>
      <c r="AB35" s="1484">
        <f t="shared" si="4"/>
        <v>1</v>
      </c>
      <c r="AC35" s="1484">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711"/>
      <c r="Q36" s="1483" t="str">
        <f t="shared" si="11"/>
        <v>内部装修</v>
      </c>
      <c r="R36" s="711" t="s">
        <v>17</v>
      </c>
      <c r="S36" s="712">
        <f t="shared" si="12"/>
        <v>100</v>
      </c>
      <c r="T36" s="711" t="s">
        <v>17</v>
      </c>
      <c r="U36" s="712">
        <f t="shared" si="13"/>
        <v>100</v>
      </c>
      <c r="V36" s="711" t="s">
        <v>17</v>
      </c>
      <c r="W36" s="712">
        <f t="shared" si="14"/>
        <v>100</v>
      </c>
      <c r="X36" s="1486"/>
      <c r="Y36" s="3711"/>
      <c r="Z36" s="1487" t="str">
        <f t="shared" si="15"/>
        <v>内部装修</v>
      </c>
      <c r="AA36" s="1484">
        <f t="shared" si="3"/>
        <v>1</v>
      </c>
      <c r="AB36" s="1484">
        <f t="shared" si="4"/>
        <v>1</v>
      </c>
      <c r="AC36" s="1484">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711"/>
      <c r="Q37" s="1483" t="str">
        <f t="shared" si="11"/>
        <v>内部装修状况</v>
      </c>
      <c r="R37" s="711" t="s">
        <v>17</v>
      </c>
      <c r="S37" s="712">
        <f t="shared" si="12"/>
        <v>100</v>
      </c>
      <c r="T37" s="711" t="s">
        <v>17</v>
      </c>
      <c r="U37" s="712">
        <f t="shared" si="13"/>
        <v>100</v>
      </c>
      <c r="V37" s="711" t="s">
        <v>17</v>
      </c>
      <c r="W37" s="712">
        <f t="shared" si="14"/>
        <v>100</v>
      </c>
      <c r="X37" s="1486"/>
      <c r="Y37" s="3711"/>
      <c r="Z37" s="1487" t="str">
        <f t="shared" si="15"/>
        <v>内部装修状况</v>
      </c>
      <c r="AA37" s="1484">
        <f t="shared" si="3"/>
        <v>1</v>
      </c>
      <c r="AB37" s="1484">
        <f t="shared" si="4"/>
        <v>1</v>
      </c>
      <c r="AC37" s="1484">
        <f t="shared" si="5"/>
        <v>1</v>
      </c>
    </row>
    <row r="38" spans="1:29" s="430" customFormat="1" ht="15">
      <c r="A38" s="427"/>
      <c r="B38" s="124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711"/>
      <c r="Q38" s="713">
        <f t="shared" si="11"/>
        <v>111</v>
      </c>
      <c r="R38" s="714" t="s">
        <v>17</v>
      </c>
      <c r="S38" s="715">
        <f t="shared" si="12"/>
        <v>100</v>
      </c>
      <c r="T38" s="714" t="s">
        <v>17</v>
      </c>
      <c r="U38" s="715">
        <f t="shared" si="13"/>
        <v>100</v>
      </c>
      <c r="V38" s="714" t="s">
        <v>17</v>
      </c>
      <c r="W38" s="715">
        <f t="shared" si="14"/>
        <v>100</v>
      </c>
      <c r="X38" s="716"/>
      <c r="Y38" s="3711"/>
      <c r="Z38" s="717">
        <f t="shared" si="15"/>
        <v>111</v>
      </c>
      <c r="AA38" s="1484">
        <f t="shared" si="3"/>
        <v>1</v>
      </c>
      <c r="AB38" s="1484">
        <f t="shared" si="4"/>
        <v>1</v>
      </c>
      <c r="AC38" s="1484">
        <f t="shared" si="5"/>
        <v>1</v>
      </c>
    </row>
    <row r="39" spans="1:29" ht="15">
      <c r="A39" s="431"/>
      <c r="B39" s="124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711"/>
      <c r="Q39" s="1483">
        <f t="shared" si="11"/>
        <v>111</v>
      </c>
      <c r="R39" s="711" t="s">
        <v>17</v>
      </c>
      <c r="S39" s="712">
        <f t="shared" si="12"/>
        <v>100</v>
      </c>
      <c r="T39" s="711" t="s">
        <v>17</v>
      </c>
      <c r="U39" s="712">
        <f t="shared" si="13"/>
        <v>100</v>
      </c>
      <c r="V39" s="711" t="s">
        <v>17</v>
      </c>
      <c r="W39" s="712">
        <f t="shared" si="14"/>
        <v>100</v>
      </c>
      <c r="X39" s="1486"/>
      <c r="Y39" s="3711"/>
      <c r="Z39" s="1487">
        <f t="shared" si="15"/>
        <v>111</v>
      </c>
      <c r="AA39" s="1484">
        <f t="shared" si="3"/>
        <v>1</v>
      </c>
      <c r="AB39" s="1484">
        <f t="shared" si="4"/>
        <v>1</v>
      </c>
      <c r="AC39" s="1484">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712"/>
      <c r="Q40" s="1483">
        <f t="shared" si="11"/>
        <v>111</v>
      </c>
      <c r="R40" s="711" t="s">
        <v>17</v>
      </c>
      <c r="S40" s="712">
        <f t="shared" si="12"/>
        <v>100</v>
      </c>
      <c r="T40" s="711" t="s">
        <v>17</v>
      </c>
      <c r="U40" s="712">
        <f t="shared" si="13"/>
        <v>100</v>
      </c>
      <c r="V40" s="711" t="s">
        <v>17</v>
      </c>
      <c r="W40" s="712">
        <f t="shared" si="14"/>
        <v>100</v>
      </c>
      <c r="X40" s="1486"/>
      <c r="Y40" s="3712"/>
      <c r="Z40" s="1487">
        <f t="shared" si="15"/>
        <v>111</v>
      </c>
      <c r="AA40" s="1484">
        <f t="shared" si="3"/>
        <v>1</v>
      </c>
      <c r="AB40" s="1484">
        <f t="shared" si="4"/>
        <v>1</v>
      </c>
      <c r="AC40" s="1484">
        <f t="shared" si="5"/>
        <v>1</v>
      </c>
    </row>
    <row r="41" spans="1:29" ht="15">
      <c r="A41" s="438" t="s">
        <v>2157</v>
      </c>
      <c r="B41" s="439"/>
      <c r="C41" s="1265" t="s">
        <v>1</v>
      </c>
      <c r="D41" s="1266"/>
      <c r="E41" s="1267"/>
      <c r="F41" s="1268"/>
      <c r="G41" s="1269"/>
      <c r="H41" s="1270"/>
      <c r="I41" s="1267"/>
      <c r="J41" s="1270"/>
      <c r="K41" s="720"/>
      <c r="L41" s="1035"/>
      <c r="M41" s="1036"/>
      <c r="N41" s="1023"/>
      <c r="O41" s="1036"/>
      <c r="P41" s="3704" t="str">
        <f>A41</f>
        <v>成交单价（元/平方米）</v>
      </c>
      <c r="Q41" s="3704"/>
      <c r="R41" s="3705">
        <f>E41</f>
        <v>0</v>
      </c>
      <c r="S41" s="3705"/>
      <c r="T41" s="3705">
        <f>G41</f>
        <v>0</v>
      </c>
      <c r="U41" s="3705"/>
      <c r="V41" s="3705">
        <f>I41</f>
        <v>0</v>
      </c>
      <c r="W41" s="3705"/>
      <c r="X41" s="696"/>
      <c r="Y41" s="718"/>
      <c r="Z41" s="696"/>
      <c r="AA41" s="696"/>
      <c r="AB41" s="696"/>
      <c r="AC41" s="696"/>
    </row>
    <row r="42" spans="1:29" ht="15.75" thickBot="1">
      <c r="A42" s="445" t="s">
        <v>2249</v>
      </c>
      <c r="B42" s="446"/>
      <c r="C42" s="1271" t="e">
        <f>R43</f>
        <v>#DIV/0!</v>
      </c>
      <c r="D42" s="2484" t="s">
        <v>2638</v>
      </c>
      <c r="E42" s="1272" t="e">
        <f>R42</f>
        <v>#DIV/0!</v>
      </c>
      <c r="F42" s="2485"/>
      <c r="G42" s="1271" t="e">
        <f>T42</f>
        <v>#DIV/0!</v>
      </c>
      <c r="H42" s="2485"/>
      <c r="I42" s="1272" t="e">
        <f>V42</f>
        <v>#DIV/0!</v>
      </c>
      <c r="J42" s="2485"/>
      <c r="K42" s="2487">
        <f>F42+H42+J42</f>
        <v>0</v>
      </c>
      <c r="L42" s="1035"/>
      <c r="M42" s="1036"/>
      <c r="N42" s="1023"/>
      <c r="O42" s="103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6"/>
      <c r="Y42" s="696"/>
      <c r="Z42" s="696"/>
      <c r="AA42" s="696"/>
      <c r="AB42" s="696"/>
      <c r="AC42" s="696"/>
    </row>
    <row r="43" spans="1:29" ht="15.75" thickBot="1">
      <c r="A43" s="449" t="s">
        <v>2250</v>
      </c>
      <c r="B43" s="450"/>
      <c r="C43" s="1274" t="e">
        <f>R43</f>
        <v>#DIV/0!</v>
      </c>
      <c r="D43" s="1274"/>
      <c r="E43" s="1274"/>
      <c r="F43" s="1274"/>
      <c r="G43" s="1274"/>
      <c r="H43" s="1274"/>
      <c r="I43" s="1274"/>
      <c r="J43" s="1274"/>
      <c r="K43" s="721"/>
      <c r="L43" s="1035"/>
      <c r="M43" s="1036"/>
      <c r="N43" s="1036"/>
      <c r="O43" s="103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5" t="str">
        <f>YEAR(C7)&amp;"-"&amp;MONTH(C7)</f>
        <v>2022-12</v>
      </c>
      <c r="D52" s="1296">
        <f>EDATE(C52,-1)</f>
        <v>44866</v>
      </c>
      <c r="E52" s="1296">
        <f t="shared" ref="E52:O52" si="16">EDATE(D52,-1)</f>
        <v>44835</v>
      </c>
      <c r="F52" s="1296">
        <f t="shared" si="16"/>
        <v>44805</v>
      </c>
      <c r="G52" s="1296">
        <f t="shared" si="16"/>
        <v>44774</v>
      </c>
      <c r="H52" s="1296">
        <f t="shared" si="16"/>
        <v>44743</v>
      </c>
      <c r="I52" s="1296">
        <f t="shared" si="16"/>
        <v>44713</v>
      </c>
      <c r="J52" s="1296">
        <f t="shared" si="16"/>
        <v>44682</v>
      </c>
      <c r="K52" s="1296">
        <f t="shared" si="16"/>
        <v>44652</v>
      </c>
      <c r="L52" s="1296">
        <f t="shared" si="16"/>
        <v>44621</v>
      </c>
      <c r="M52" s="1296">
        <f t="shared" si="16"/>
        <v>44593</v>
      </c>
      <c r="N52" s="1296">
        <f t="shared" si="16"/>
        <v>44562</v>
      </c>
      <c r="O52" s="1296">
        <f t="shared" si="16"/>
        <v>44531</v>
      </c>
      <c r="P52" s="464"/>
    </row>
    <row r="53" spans="1:17" s="113" customFormat="1" ht="15">
      <c r="A53" s="466"/>
      <c r="B53" s="467"/>
      <c r="C53" s="1294">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0"/>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0"/>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0"/>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1" priority="20" stopIfTrue="1" operator="containsText" text="超过">
      <formula>NOT(ISERROR(SEARCH("超过",F46)))</formula>
    </cfRule>
  </conditionalFormatting>
  <conditionalFormatting sqref="H48">
    <cfRule type="containsText" dxfId="110" priority="19" stopIfTrue="1" operator="containsText" text="超过">
      <formula>NOT(ISERROR(SEARCH("超过",H48)))</formula>
    </cfRule>
  </conditionalFormatting>
  <conditionalFormatting sqref="F48">
    <cfRule type="containsText" dxfId="109" priority="18" stopIfTrue="1" operator="containsText" text="超过">
      <formula>NOT(ISERROR(SEARCH("超过",F48)))</formula>
    </cfRule>
  </conditionalFormatting>
  <conditionalFormatting sqref="F47 H47">
    <cfRule type="containsText" dxfId="108" priority="17" stopIfTrue="1" operator="containsText" text="超过">
      <formula>NOT(ISERROR(SEARCH("超过",F47)))</formula>
    </cfRule>
  </conditionalFormatting>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G48">
    <cfRule type="expression" dxfId="104" priority="13" stopIfTrue="1">
      <formula>$H$48="超过30%"</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J46">
    <cfRule type="containsText" dxfId="101" priority="10" stopIfTrue="1" operator="containsText" text="超过">
      <formula>NOT(ISERROR(SEARCH("超过",J46)))</formula>
    </cfRule>
  </conditionalFormatting>
  <conditionalFormatting sqref="J48">
    <cfRule type="containsText" dxfId="100" priority="9" stopIfTrue="1" operator="containsText" text="超过">
      <formula>NOT(ISERROR(SEARCH("超过",J48)))</formula>
    </cfRule>
  </conditionalFormatting>
  <conditionalFormatting sqref="J47">
    <cfRule type="containsText" dxfId="99" priority="8" stopIfTrue="1" operator="containsText" text="超过">
      <formula>NOT(ISERROR(SEARCH("超过",J47)))</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90" zoomScaleNormal="100" zoomScaleSheetLayoutView="90" zoomScalePageLayoutView="80" workbookViewId="0">
      <selection activeCell="F17" sqref="F17"/>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48</v>
      </c>
      <c r="D1" s="1880"/>
      <c r="E1" s="1880"/>
      <c r="F1" s="1882" t="s">
        <v>1708</v>
      </c>
      <c r="G1" s="1693"/>
      <c r="H1" s="1883" t="str">
        <f>IF(G1="现房","——","估价对象范围")</f>
        <v>估价对象范围</v>
      </c>
      <c r="I1" s="1884"/>
    </row>
    <row r="2" spans="1:12" ht="21.75" customHeight="1" thickBot="1">
      <c r="A2" s="3639" t="str">
        <f>项目基本情况!S2</f>
        <v>北京市房地产</v>
      </c>
      <c r="B2" s="3640"/>
      <c r="C2" s="3640"/>
      <c r="D2" s="3640"/>
      <c r="E2" s="3640"/>
      <c r="F2" s="3640"/>
      <c r="G2" s="3640"/>
      <c r="H2" s="3640"/>
      <c r="I2" s="3641"/>
    </row>
    <row r="3" spans="1:12" ht="12.75">
      <c r="A3" s="3643" t="s">
        <v>1709</v>
      </c>
      <c r="B3" s="3644"/>
      <c r="C3" s="3644"/>
      <c r="D3" s="3644"/>
      <c r="E3" s="3644"/>
      <c r="F3" s="3644"/>
      <c r="G3" s="3644"/>
      <c r="H3" s="3644"/>
      <c r="I3" s="3644"/>
    </row>
    <row r="4" spans="1:12" ht="14.25">
      <c r="A4" s="1887" t="s">
        <v>1710</v>
      </c>
      <c r="B4" s="1888" t="s">
        <v>1711</v>
      </c>
      <c r="C4" s="1889" t="s">
        <v>4020</v>
      </c>
      <c r="D4" s="1889" t="s">
        <v>4009</v>
      </c>
      <c r="E4" s="3648" t="s">
        <v>1712</v>
      </c>
      <c r="F4" s="3649"/>
      <c r="G4" s="3649"/>
      <c r="H4" s="3649"/>
      <c r="I4" s="3650"/>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84" t="s">
        <v>1713</v>
      </c>
      <c r="B5" s="3642">
        <v>25</v>
      </c>
      <c r="C5" s="3645"/>
      <c r="D5" s="3633"/>
      <c r="E5" s="136" t="s">
        <v>1714</v>
      </c>
      <c r="F5" s="1890"/>
      <c r="G5" s="1890"/>
      <c r="H5" s="1890"/>
      <c r="I5" s="1504"/>
    </row>
    <row r="6" spans="1:12" ht="12.75">
      <c r="A6" s="3584"/>
      <c r="B6" s="3642"/>
      <c r="C6" s="3647"/>
      <c r="D6" s="3633"/>
      <c r="E6" s="136" t="s">
        <v>1715</v>
      </c>
      <c r="F6" s="1890"/>
      <c r="G6" s="1890"/>
      <c r="H6" s="1890"/>
      <c r="I6" s="1504"/>
    </row>
    <row r="7" spans="1:12" ht="12.75">
      <c r="A7" s="3584"/>
      <c r="B7" s="3642"/>
      <c r="C7" s="3646"/>
      <c r="D7" s="3633"/>
      <c r="E7" s="136" t="s">
        <v>1716</v>
      </c>
      <c r="F7" s="1890"/>
      <c r="G7" s="1890"/>
      <c r="H7" s="1890"/>
      <c r="I7" s="1504"/>
    </row>
    <row r="8" spans="1:12" ht="12.75">
      <c r="A8" s="3584" t="s">
        <v>1717</v>
      </c>
      <c r="B8" s="3642">
        <v>15</v>
      </c>
      <c r="C8" s="3645"/>
      <c r="D8" s="3633"/>
      <c r="E8" s="136" t="s">
        <v>1718</v>
      </c>
      <c r="F8" s="1890"/>
      <c r="G8" s="1890"/>
      <c r="H8" s="1890"/>
      <c r="I8" s="1504"/>
    </row>
    <row r="9" spans="1:12" ht="12.75">
      <c r="A9" s="3584"/>
      <c r="B9" s="3642"/>
      <c r="C9" s="3646"/>
      <c r="D9" s="3633"/>
      <c r="E9" s="136" t="s">
        <v>1719</v>
      </c>
      <c r="F9" s="1890"/>
      <c r="G9" s="1890"/>
      <c r="H9" s="1890"/>
      <c r="I9" s="1504"/>
    </row>
    <row r="10" spans="1:12" ht="12.75">
      <c r="A10" s="3584" t="s">
        <v>1720</v>
      </c>
      <c r="B10" s="3642">
        <v>15</v>
      </c>
      <c r="C10" s="3645"/>
      <c r="D10" s="3633"/>
      <c r="E10" s="136" t="s">
        <v>1721</v>
      </c>
      <c r="F10" s="1890"/>
      <c r="G10" s="1890"/>
      <c r="H10" s="1890"/>
      <c r="I10" s="1504"/>
    </row>
    <row r="11" spans="1:12" ht="12.75">
      <c r="A11" s="3584"/>
      <c r="B11" s="3642"/>
      <c r="C11" s="3646"/>
      <c r="D11" s="3633"/>
      <c r="E11" s="136" t="s">
        <v>1722</v>
      </c>
      <c r="F11" s="1890"/>
      <c r="G11" s="1890"/>
      <c r="H11" s="1890"/>
      <c r="I11" s="1504"/>
    </row>
    <row r="12" spans="1:12" ht="12.75">
      <c r="A12" s="3584" t="s">
        <v>1723</v>
      </c>
      <c r="B12" s="3642">
        <v>15</v>
      </c>
      <c r="C12" s="3645"/>
      <c r="D12" s="3633"/>
      <c r="E12" s="136" t="s">
        <v>1724</v>
      </c>
      <c r="F12" s="1890"/>
      <c r="G12" s="1890"/>
      <c r="H12" s="1890"/>
      <c r="I12" s="1504"/>
    </row>
    <row r="13" spans="1:12" ht="12.75">
      <c r="A13" s="3584"/>
      <c r="B13" s="3642"/>
      <c r="C13" s="3646"/>
      <c r="D13" s="3633"/>
      <c r="E13" s="136" t="s">
        <v>1725</v>
      </c>
      <c r="F13" s="1890"/>
      <c r="G13" s="1890"/>
      <c r="H13" s="1890"/>
      <c r="I13" s="1504"/>
    </row>
    <row r="14" spans="1:12" ht="12.75">
      <c r="A14" s="3584" t="s">
        <v>1726</v>
      </c>
      <c r="B14" s="3642">
        <v>30</v>
      </c>
      <c r="C14" s="3645">
        <v>5</v>
      </c>
      <c r="D14" s="3633">
        <v>5</v>
      </c>
      <c r="E14" s="136" t="s">
        <v>1727</v>
      </c>
      <c r="F14" s="1890"/>
      <c r="G14" s="1890"/>
      <c r="H14" s="1890"/>
      <c r="I14" s="1504"/>
    </row>
    <row r="15" spans="1:12" ht="12.75">
      <c r="A15" s="3584"/>
      <c r="B15" s="3642"/>
      <c r="C15" s="3647"/>
      <c r="D15" s="3633"/>
      <c r="E15" s="136" t="s">
        <v>1728</v>
      </c>
      <c r="F15" s="1890"/>
      <c r="G15" s="1890"/>
      <c r="H15" s="1890"/>
      <c r="I15" s="1504"/>
    </row>
    <row r="16" spans="1:12" ht="12.75">
      <c r="A16" s="3584"/>
      <c r="B16" s="3642"/>
      <c r="C16" s="3646"/>
      <c r="D16" s="3633"/>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64" t="s">
        <v>2631</v>
      </c>
      <c r="F18" s="3665"/>
      <c r="G18" s="3665"/>
      <c r="H18" s="3665"/>
      <c r="I18" s="3665"/>
      <c r="K18" s="308" t="s">
        <v>1734</v>
      </c>
      <c r="L18" s="308">
        <f>IF(C1="",'数据-汇总表'!E3,SUMIF(项目类型,C1,'数据-汇总表'!E17:E26)+SUMIF(项目类型,C1,'数据-汇总表'!I17:I26))</f>
        <v>1943.05</v>
      </c>
      <c r="M18" s="308">
        <f>IF(C1="",'数据-汇总表'!E3,SUMIF(项目类型,C1,'数据-汇总表'!E17:E26))</f>
        <v>1943.05</v>
      </c>
    </row>
    <row r="19" spans="1:36" ht="15">
      <c r="A19" s="1894" t="s">
        <v>1735</v>
      </c>
      <c r="B19" s="1895" t="s">
        <v>1736</v>
      </c>
      <c r="C19" s="139">
        <f ca="1">SUMIF(INDIRECT("'"&amp;C4&amp;"'"&amp;"!A:A"),'结果表-车位'!B19,INDIRECT("'"&amp;C4&amp;"'"&amp;"!B:B"))</f>
        <v>1680</v>
      </c>
      <c r="D19" s="140">
        <f ca="1">SUMIF(INDIRECT("'"&amp;D4&amp;"'"&amp;"!A:A"),'结果表-车位'!B19,INDIRECT("'"&amp;D4&amp;"'"&amp;"!B:B"))</f>
        <v>723</v>
      </c>
      <c r="E19" s="1894" t="s">
        <v>1737</v>
      </c>
      <c r="F19" s="1895" t="s">
        <v>1736</v>
      </c>
      <c r="G19" s="141">
        <f ca="1">ROUND(C19*$C$18+D19*$D$18,0)</f>
        <v>1202</v>
      </c>
      <c r="H19" s="1896" t="s">
        <v>1738</v>
      </c>
      <c r="I19" s="134"/>
      <c r="K19" s="308" t="s">
        <v>1739</v>
      </c>
      <c r="L19" s="308">
        <f>IF(C1="",'数据-汇总表'!D3,SUMIF(项目类型,C1,'数据-汇总表'!D17:D26)+SUMIF(项目类型,C1,'数据-汇总表'!H17:H27))</f>
        <v>365.48</v>
      </c>
      <c r="M19" s="308">
        <f>IF(C1="",'数据-汇总表'!D3,SUMIF(项目类型,C1,'数据-汇总表'!D17:D26))</f>
        <v>365.48</v>
      </c>
    </row>
    <row r="20" spans="1:36" ht="15">
      <c r="A20" s="1897"/>
      <c r="B20" s="1134" t="s">
        <v>1740</v>
      </c>
      <c r="C20" s="142">
        <f ca="1">SUMIF(INDIRECT("'"&amp;C4&amp;"'"&amp;"!A:A"),'结果表-车位'!B20,INDIRECT("'"&amp;C4&amp;"'"&amp;"!B:B"))</f>
        <v>8646</v>
      </c>
      <c r="D20" s="143">
        <f ca="1">SUMIF(INDIRECT("'"&amp;D4&amp;"'"&amp;"!A:A"),'结果表-车位'!B20,INDIRECT("'"&amp;D4&amp;"'"&amp;"!B:B"))</f>
        <v>3721</v>
      </c>
      <c r="E20" s="1897"/>
      <c r="F20" s="1134" t="s">
        <v>1740</v>
      </c>
      <c r="G20" s="144">
        <f ca="1">ROUND(C20*$C$18+D20*$D$18,0)</f>
        <v>6184</v>
      </c>
      <c r="H20" s="895" t="s">
        <v>1741</v>
      </c>
      <c r="I20" s="134"/>
      <c r="J20" s="731">
        <f ca="1">G19/'收益法-车库'!F7</f>
        <v>15.025</v>
      </c>
    </row>
    <row r="21" spans="1:36" ht="15" customHeight="1" thickBot="1">
      <c r="A21" s="915"/>
      <c r="B21" s="1898" t="s">
        <v>1742</v>
      </c>
      <c r="C21" s="725">
        <f ca="1">ROUND(C19*10000/L19,0)</f>
        <v>45967</v>
      </c>
      <c r="D21" s="726">
        <f ca="1">ROUND(D19*10000/L19,0)</f>
        <v>19782</v>
      </c>
      <c r="E21" s="915"/>
      <c r="F21" s="1898" t="s">
        <v>1742</v>
      </c>
      <c r="G21" s="145">
        <f ca="1">ROUND(G19*10000/L19,0)</f>
        <v>32888</v>
      </c>
      <c r="H21" s="1899" t="s">
        <v>1741</v>
      </c>
      <c r="I21" s="134"/>
    </row>
    <row r="22" spans="1:36" ht="15" thickBot="1">
      <c r="A22" s="1821" t="s">
        <v>1743</v>
      </c>
      <c r="B22" s="1900"/>
      <c r="C22" s="1901"/>
      <c r="D22" s="727">
        <f ca="1">IF(C19&lt;D19,D19/C19-1,C19/D19-1)</f>
        <v>1.3236514522821579</v>
      </c>
      <c r="E22" s="134"/>
      <c r="F22" s="134"/>
      <c r="G22" s="134"/>
      <c r="H22" s="134"/>
      <c r="I22" s="134"/>
    </row>
    <row r="23" spans="1:36" ht="13.5" thickBot="1">
      <c r="A23" s="1880"/>
      <c r="B23" s="1880"/>
      <c r="C23" s="1880"/>
      <c r="D23" s="1880"/>
      <c r="E23" s="134"/>
      <c r="F23" s="134"/>
      <c r="G23" s="134"/>
      <c r="H23" s="134"/>
      <c r="I23" s="134"/>
    </row>
    <row r="24" spans="1:36" ht="14.25">
      <c r="A24" s="3657" t="s">
        <v>1744</v>
      </c>
      <c r="B24" s="1895" t="s">
        <v>1736</v>
      </c>
      <c r="C24" s="141">
        <f>IF(B30=0,0,D30)</f>
        <v>0</v>
      </c>
      <c r="D24" s="1902"/>
      <c r="E24" s="134"/>
      <c r="F24" s="134"/>
      <c r="G24" s="134"/>
      <c r="H24" s="134"/>
      <c r="I24" s="134"/>
    </row>
    <row r="25" spans="1:36" ht="14.25">
      <c r="A25" s="365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1202</v>
      </c>
      <c r="D32" s="1908" t="s">
        <v>3689</v>
      </c>
      <c r="E32" s="134"/>
      <c r="F32" s="134"/>
      <c r="G32" s="134"/>
      <c r="H32" s="134"/>
      <c r="I32" s="134"/>
    </row>
    <row r="33" spans="1:15" ht="15">
      <c r="A33" s="872" t="s">
        <v>1751</v>
      </c>
      <c r="B33" s="1909"/>
      <c r="C33" s="1910" t="s">
        <v>4021</v>
      </c>
      <c r="D33" s="1911" t="s">
        <v>4009</v>
      </c>
      <c r="E33" s="1912" t="s">
        <v>1752</v>
      </c>
      <c r="F33" s="1913" t="str">
        <f>IF(D32="楼面单价","取值（单价）","取值（总价）")</f>
        <v>取值（总价）</v>
      </c>
      <c r="G33" s="134"/>
      <c r="H33" s="134"/>
      <c r="I33" s="134"/>
    </row>
    <row r="34" spans="1:15" ht="15">
      <c r="A34" s="1914"/>
      <c r="B34" s="1915" t="s">
        <v>1753</v>
      </c>
      <c r="C34" s="153">
        <f ca="1">IF(C33="自定义",F34,C32-C35)</f>
        <v>123</v>
      </c>
      <c r="D34" s="948">
        <f ca="1">IF(C33="自定义",ROUND(C34/C32,3),IF(C33="收益比率",SUMIF(INDIRECT("'"&amp;D33&amp;"'"&amp;"!b:b"),"土地收益比率",INDIRECT("'"&amp;D33&amp;"'"&amp;"!c:c")),SUMIF(INDIRECT("'"&amp;D33&amp;"'"&amp;"!b:b"),"土地成本比率",INDIRECT("'"&amp;D33&amp;"'"&amp;"!c:c"))))</f>
        <v>0.10199999999999998</v>
      </c>
      <c r="E34" s="1916" t="s">
        <v>1754</v>
      </c>
      <c r="F34" s="1447"/>
      <c r="G34" s="134"/>
      <c r="H34" s="134"/>
      <c r="I34" s="134"/>
    </row>
    <row r="35" spans="1:15" ht="15.75" thickBot="1">
      <c r="A35" s="1917"/>
      <c r="B35" s="1918" t="s">
        <v>1755</v>
      </c>
      <c r="C35" s="1281">
        <f ca="1">IF(C33="自定义",F35,ROUND(C32*D35,0))</f>
        <v>1079</v>
      </c>
      <c r="D35" s="1282">
        <f ca="1">IF(C33="自定义",ROUND(C35/C32,3),IF(C33="收益比率",SUMIF(INDIRECT("'"&amp;D33&amp;"'"&amp;"!b:b"),"建筑物收益比率",INDIRECT("'"&amp;D33&amp;"'"&amp;"!c:c")),SUMIF(INDIRECT("'"&amp;D33&amp;"'"&amp;"!b:b"),"建筑物成本比率",INDIRECT("'"&amp;D33&amp;"'"&amp;"!c:c"))))</f>
        <v>0.89800000000000002</v>
      </c>
      <c r="E35" s="1919" t="s">
        <v>1756</v>
      </c>
      <c r="F35" s="159"/>
      <c r="G35" s="134"/>
      <c r="H35" s="134"/>
      <c r="I35" s="134"/>
    </row>
    <row r="36" spans="1:15" ht="15.75" thickBot="1">
      <c r="A36" s="3634" t="s">
        <v>1757</v>
      </c>
      <c r="B36" s="1920" t="s">
        <v>1758</v>
      </c>
      <c r="C36" s="150"/>
      <c r="D36" s="1921"/>
      <c r="E36" s="1922"/>
      <c r="F36" s="1923"/>
      <c r="G36" s="134"/>
      <c r="H36" s="134"/>
      <c r="I36" s="134"/>
    </row>
    <row r="37" spans="1:15" ht="15.75" thickBot="1">
      <c r="A37" s="3635"/>
      <c r="B37" s="1807" t="s">
        <v>1759</v>
      </c>
      <c r="C37" s="152"/>
      <c r="D37" s="1250"/>
      <c r="E37" s="1250"/>
      <c r="F37" s="1923"/>
      <c r="G37" s="134"/>
      <c r="H37" s="134"/>
      <c r="I37" s="134"/>
    </row>
    <row r="38" spans="1:15" ht="15.75" thickBot="1">
      <c r="A38" s="3636"/>
      <c r="B38" s="1924" t="s">
        <v>1760</v>
      </c>
      <c r="C38" s="680"/>
      <c r="D38" s="1925" t="s">
        <v>1761</v>
      </c>
      <c r="E38" s="1250"/>
      <c r="F38" s="1923"/>
      <c r="G38" s="134"/>
      <c r="H38" s="134"/>
      <c r="I38" s="134"/>
    </row>
    <row r="39" spans="1:15" ht="15">
      <c r="A39" s="1897" t="s">
        <v>1762</v>
      </c>
      <c r="B39" s="1926" t="s">
        <v>1746</v>
      </c>
      <c r="C39" s="1927" t="s">
        <v>1747</v>
      </c>
      <c r="D39" s="1927" t="s">
        <v>1765</v>
      </c>
      <c r="E39" s="1928" t="s">
        <v>1748</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654" t="s">
        <v>1771</v>
      </c>
      <c r="B45" s="3655"/>
      <c r="C45" s="3656"/>
      <c r="D45" s="160">
        <f ca="1">ROUND(H101*F45,0)</f>
        <v>1202</v>
      </c>
      <c r="E45" s="161" t="s">
        <v>1772</v>
      </c>
      <c r="F45" s="162">
        <v>1</v>
      </c>
      <c r="G45" s="163" t="s">
        <v>1773</v>
      </c>
      <c r="H45" s="134"/>
      <c r="I45" s="134"/>
      <c r="J45" s="3571" t="s">
        <v>1774</v>
      </c>
      <c r="K45" s="3571"/>
      <c r="L45" s="3571"/>
      <c r="M45" s="3571"/>
      <c r="N45" s="3571"/>
      <c r="O45" s="3571"/>
    </row>
    <row r="46" spans="1:15" ht="14.25" customHeight="1">
      <c r="A46" s="3651" t="s">
        <v>1775</v>
      </c>
      <c r="B46" s="3652"/>
      <c r="C46" s="3652"/>
      <c r="D46" s="3652"/>
      <c r="E46" s="3652"/>
      <c r="F46" s="3652"/>
      <c r="G46" s="3653"/>
      <c r="H46" s="1939"/>
      <c r="I46" s="164"/>
      <c r="J46" s="3304">
        <v>1</v>
      </c>
      <c r="K46" s="3572" t="s">
        <v>1776</v>
      </c>
      <c r="L46" s="3572"/>
      <c r="M46" s="3573"/>
      <c r="N46" s="3573"/>
      <c r="O46" s="3573"/>
    </row>
    <row r="47" spans="1:15" ht="12" customHeight="1">
      <c r="A47" s="165" t="s">
        <v>1777</v>
      </c>
      <c r="B47" s="166"/>
      <c r="C47" s="167"/>
      <c r="D47" s="1196" t="s">
        <v>1778</v>
      </c>
      <c r="E47" s="308" t="s">
        <v>1779</v>
      </c>
      <c r="F47" s="168" t="s">
        <v>1780</v>
      </c>
      <c r="G47" s="2717" t="s">
        <v>1781</v>
      </c>
      <c r="H47" s="2718"/>
      <c r="I47" s="164"/>
      <c r="J47" s="3304">
        <v>2</v>
      </c>
      <c r="K47" s="3572" t="s">
        <v>1782</v>
      </c>
      <c r="L47" s="3572"/>
      <c r="M47" s="3574">
        <f>'数据-取费表'!B2</f>
        <v>44901</v>
      </c>
      <c r="N47" s="3574"/>
      <c r="O47" s="3574"/>
    </row>
    <row r="48" spans="1:15" ht="25.5">
      <c r="A48" s="3637" t="s">
        <v>1783</v>
      </c>
      <c r="B48" s="3638"/>
      <c r="C48" s="3638"/>
      <c r="D48" s="3306" t="b">
        <f>IF(H48="情况1",0,IF(H48="情况2",D52,IF(H48="情况3",D53,IF(H48="情况4",D54))))</f>
        <v>0</v>
      </c>
      <c r="E48" s="3295" t="str">
        <f>IF(H48="情况4","(销售额-原购置价)×税（费）率","销售额×税（费）率")</f>
        <v>销售额×税（费）率</v>
      </c>
      <c r="F48" s="2719">
        <f>IF(H48="情况1","免征",'数据-取费表'!B41)</f>
        <v>5.6000000000000001E-2</v>
      </c>
      <c r="G48" s="2720" t="s">
        <v>1784</v>
      </c>
      <c r="H48" s="2721"/>
      <c r="I48" s="1939"/>
      <c r="J48" s="3304">
        <v>3</v>
      </c>
      <c r="K48" s="3572" t="s">
        <v>1785</v>
      </c>
      <c r="L48" s="3572"/>
      <c r="M48" s="3575">
        <f ca="1">H101</f>
        <v>1202</v>
      </c>
      <c r="N48" s="3575"/>
      <c r="O48" s="3575"/>
    </row>
    <row r="49" spans="1:35" ht="25.5" customHeight="1">
      <c r="A49" s="3299" t="s">
        <v>1786</v>
      </c>
      <c r="B49" s="3620" t="s">
        <v>1787</v>
      </c>
      <c r="C49" s="3620"/>
      <c r="D49" s="1722">
        <v>0</v>
      </c>
      <c r="E49" s="330" t="s">
        <v>1788</v>
      </c>
      <c r="F49" s="3289" t="s">
        <v>34</v>
      </c>
      <c r="G49" s="3603"/>
      <c r="H49" s="2474" t="s">
        <v>2634</v>
      </c>
      <c r="I49" s="2475"/>
      <c r="J49" s="3304">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722"/>
      <c r="B50" s="3620" t="s">
        <v>1789</v>
      </c>
      <c r="C50" s="3620"/>
      <c r="D50" s="2723"/>
      <c r="E50" s="338"/>
      <c r="F50" s="3289"/>
      <c r="G50" s="3604"/>
      <c r="H50" s="2476" t="s">
        <v>2635</v>
      </c>
      <c r="I50" s="2475"/>
      <c r="J50" s="3571" t="s">
        <v>1790</v>
      </c>
      <c r="K50" s="3571"/>
      <c r="L50" s="3571"/>
      <c r="M50" s="3571"/>
      <c r="N50" s="3571"/>
      <c r="O50" s="3571"/>
    </row>
    <row r="51" spans="1:35" ht="20.45" customHeight="1">
      <c r="A51" s="2724"/>
      <c r="B51" s="3620" t="s">
        <v>1791</v>
      </c>
      <c r="C51" s="3620"/>
      <c r="D51" s="1196"/>
      <c r="E51" s="333"/>
      <c r="F51" s="3289"/>
      <c r="G51" s="3605"/>
      <c r="H51" s="2476" t="s">
        <v>2636</v>
      </c>
      <c r="I51" s="2475"/>
      <c r="J51" s="3303" t="s">
        <v>1792</v>
      </c>
      <c r="K51" s="3572" t="s">
        <v>1793</v>
      </c>
      <c r="L51" s="3572"/>
      <c r="M51" s="3303" t="s">
        <v>1794</v>
      </c>
      <c r="N51" s="3303" t="s">
        <v>1795</v>
      </c>
      <c r="O51" s="3303" t="s">
        <v>1796</v>
      </c>
    </row>
    <row r="52" spans="1:35" ht="24" customHeight="1">
      <c r="A52" s="3294" t="s">
        <v>1797</v>
      </c>
      <c r="B52" s="3620" t="s">
        <v>1798</v>
      </c>
      <c r="C52" s="3620"/>
      <c r="D52" s="1196">
        <f ca="1">ROUND(D45*'数据-取费表'!B41/(1+'数据-取费表'!C42),0)</f>
        <v>64</v>
      </c>
      <c r="E52" s="3295" t="s">
        <v>1799</v>
      </c>
      <c r="F52" s="2725">
        <f>'数据-取费表'!B41</f>
        <v>5.6000000000000001E-2</v>
      </c>
      <c r="G52" s="2726"/>
      <c r="H52" s="2715"/>
      <c r="I52" s="1940"/>
      <c r="J52" s="3304">
        <v>1</v>
      </c>
      <c r="K52" s="3597" t="s">
        <v>1800</v>
      </c>
      <c r="L52" s="3597"/>
      <c r="M52" s="2696" t="b">
        <f>D48</f>
        <v>0</v>
      </c>
      <c r="N52" s="3304" t="str">
        <f>E48</f>
        <v>销售额×税（费）率</v>
      </c>
      <c r="O52" s="2697">
        <f>F48</f>
        <v>5.6000000000000001E-2</v>
      </c>
    </row>
    <row r="53" spans="1:35" ht="12" customHeight="1">
      <c r="A53" s="3294" t="s">
        <v>1801</v>
      </c>
      <c r="B53" s="3621" t="s">
        <v>2791</v>
      </c>
      <c r="C53" s="3622"/>
      <c r="D53" s="1196">
        <f ca="1">ROUND(D45*'数据-取费表'!B41/(1+'数据-取费表'!C42),0)</f>
        <v>64</v>
      </c>
      <c r="E53" s="3295" t="s">
        <v>1799</v>
      </c>
      <c r="F53" s="2725">
        <f>'数据-取费表'!B41</f>
        <v>5.6000000000000001E-2</v>
      </c>
      <c r="G53" s="2726"/>
      <c r="H53" s="2715"/>
      <c r="I53" s="1940"/>
      <c r="J53" s="3304">
        <v>2</v>
      </c>
      <c r="K53" s="3597" t="s">
        <v>1802</v>
      </c>
      <c r="L53" s="3597"/>
      <c r="M53" s="2696">
        <f t="shared" ref="M53:O54" ca="1" si="0">D55</f>
        <v>1</v>
      </c>
      <c r="N53" s="3304" t="str">
        <f t="shared" si="0"/>
        <v>销售额×税（费）率</v>
      </c>
      <c r="O53" s="2697" t="str">
        <f t="shared" si="0"/>
        <v>免征</v>
      </c>
    </row>
    <row r="54" spans="1:35" ht="12" customHeight="1">
      <c r="A54" s="3294" t="s">
        <v>1803</v>
      </c>
      <c r="B54" s="3621" t="s">
        <v>2792</v>
      </c>
      <c r="C54" s="3622"/>
      <c r="D54" s="1196">
        <f ca="1">C68</f>
        <v>64</v>
      </c>
      <c r="E54" s="333" t="s">
        <v>1804</v>
      </c>
      <c r="F54" s="2725">
        <f>'数据-取费表'!B41</f>
        <v>5.6000000000000001E-2</v>
      </c>
      <c r="G54" s="2726"/>
      <c r="H54" s="2727"/>
      <c r="I54" s="1940"/>
      <c r="J54" s="3304">
        <v>3</v>
      </c>
      <c r="K54" s="3597" t="s">
        <v>1805</v>
      </c>
      <c r="L54" s="3597"/>
      <c r="M54" s="2696">
        <f t="shared" ca="1" si="0"/>
        <v>680</v>
      </c>
      <c r="N54" s="3304" t="str">
        <f t="shared" si="0"/>
        <v>增值额×税（费）率</v>
      </c>
      <c r="O54" s="2698" t="str">
        <f t="shared" si="0"/>
        <v>免征</v>
      </c>
    </row>
    <row r="55" spans="1:35" ht="24" customHeight="1">
      <c r="A55" s="3660" t="s">
        <v>1806</v>
      </c>
      <c r="B55" s="3638"/>
      <c r="C55" s="3638"/>
      <c r="D55" s="3306">
        <f ca="1">IF(H55="个人住宅",0,ROUND(D45*I55,0))</f>
        <v>1</v>
      </c>
      <c r="E55" s="3295" t="s">
        <v>1807</v>
      </c>
      <c r="F55" s="2725" t="str">
        <f>IF(H55="正常",I55,"免征")</f>
        <v>免征</v>
      </c>
      <c r="G55" s="2726"/>
      <c r="H55" s="2721"/>
      <c r="I55" s="170">
        <f>'数据-取费表'!B49</f>
        <v>5.0000000000000001E-4</v>
      </c>
      <c r="J55" s="3304">
        <f>IF(H59="非个人房产","",4)</f>
        <v>4</v>
      </c>
      <c r="K55" s="3597" t="str">
        <f>IF(H59="非个人房产","——","个人所得税")</f>
        <v>个人所得税</v>
      </c>
      <c r="L55" s="3597"/>
      <c r="M55" s="2699">
        <f ca="1">D59</f>
        <v>11</v>
      </c>
      <c r="N55" s="3305" t="str">
        <f>E59</f>
        <v>差额计税</v>
      </c>
      <c r="O55" s="2700">
        <f>F59</f>
        <v>0.01</v>
      </c>
    </row>
    <row r="56" spans="1:35" ht="24.75">
      <c r="A56" s="3660" t="s">
        <v>1808</v>
      </c>
      <c r="B56" s="3638"/>
      <c r="C56" s="3638"/>
      <c r="D56" s="3306">
        <f ca="1">IF(H56="个人住宅",D57,D58)</f>
        <v>680</v>
      </c>
      <c r="E56" s="3295" t="s">
        <v>1809</v>
      </c>
      <c r="F56" s="2725" t="str">
        <f>IF(H56="正常",F58,"免征")</f>
        <v>免征</v>
      </c>
      <c r="G56" s="2728" t="s">
        <v>1810</v>
      </c>
      <c r="H56" s="2729"/>
      <c r="I56" s="1941"/>
      <c r="J56" s="3304" t="str">
        <f>IF(项目基本情况!K6="上海银行",IF(J55="",4,J55+1),"")</f>
        <v/>
      </c>
      <c r="K56" s="3578" t="str">
        <f>IF(项目基本情况!K6="上海银行","其他处置费用","")</f>
        <v/>
      </c>
      <c r="L56" s="3579"/>
      <c r="M56" s="2696" t="str">
        <f>IF(项目基本情况!K6="上海银行",M69,"")</f>
        <v/>
      </c>
      <c r="N56" s="3578" t="str">
        <f>IF(项目基本情况!K6="上海银行","包含处置中涉及的律师、诉讼、拍卖、评估等费用","")</f>
        <v/>
      </c>
      <c r="O56" s="3581"/>
    </row>
    <row r="57" spans="1:35" ht="12.75">
      <c r="A57" s="3294" t="s">
        <v>1786</v>
      </c>
      <c r="B57" s="3621" t="s">
        <v>1811</v>
      </c>
      <c r="C57" s="3622"/>
      <c r="D57" s="1722">
        <v>0</v>
      </c>
      <c r="E57" s="330" t="s">
        <v>1788</v>
      </c>
      <c r="F57" s="308"/>
      <c r="G57" s="2726"/>
      <c r="H57" s="2730"/>
      <c r="I57" s="1941"/>
      <c r="J57" s="3597">
        <f>IF(AND(J55="",J56=""),4,IF(项目基本情况!K6="上海银行",'结果表-车位'!J56+1,'结果表-车位'!J55+1))</f>
        <v>5</v>
      </c>
      <c r="K57" s="3597" t="s">
        <v>1812</v>
      </c>
      <c r="L57" s="2701" t="s">
        <v>1813</v>
      </c>
      <c r="M57" s="2702"/>
      <c r="N57" s="2703">
        <f ca="1">SUMIF(M52:M56,"&lt;9e307")</f>
        <v>692</v>
      </c>
      <c r="O57" s="2704"/>
      <c r="P57" s="2864" t="e">
        <f ca="1">N57/M49</f>
        <v>#VALUE!</v>
      </c>
    </row>
    <row r="58" spans="1:35" ht="24.75">
      <c r="A58" s="3294" t="s">
        <v>1797</v>
      </c>
      <c r="B58" s="3621" t="s">
        <v>1814</v>
      </c>
      <c r="C58" s="3620"/>
      <c r="D58" s="3306">
        <f ca="1">IF(H58="转让取得",C81,C97)</f>
        <v>680</v>
      </c>
      <c r="E58" s="3295" t="s">
        <v>1809</v>
      </c>
      <c r="F58" s="308" t="s">
        <v>34</v>
      </c>
      <c r="G58" s="2726"/>
      <c r="H58" s="2729"/>
      <c r="I58" s="1941"/>
      <c r="J58" s="3597"/>
      <c r="K58" s="3597"/>
      <c r="L58" s="2701" t="s">
        <v>1815</v>
      </c>
      <c r="M58" s="2705"/>
      <c r="N58" s="2706" t="str">
        <f ca="1">NUMBERSTRING(INT(N57*10000),2)&amp;"元整"</f>
        <v>陆佰玖拾贰万元整</v>
      </c>
      <c r="O58" s="2707"/>
    </row>
    <row r="59" spans="1:35" ht="24.75" thickBot="1">
      <c r="A59" s="3601" t="s">
        <v>1816</v>
      </c>
      <c r="B59" s="3602"/>
      <c r="C59" s="3602"/>
      <c r="D59" s="2731">
        <f ca="1">IF(H59="非个人房产","——",IF(H59="个人住宅（满五唯一有凭证）",0,IF(H59="个人其他（无凭证）",ROUND(D45*F59,0),ROUND(C67*F59,0))))</f>
        <v>11</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599">
        <f>J57+1</f>
        <v>6</v>
      </c>
      <c r="K59" s="3597" t="s">
        <v>1817</v>
      </c>
      <c r="L59" s="3304" t="s">
        <v>1813</v>
      </c>
      <c r="M59" s="2708"/>
      <c r="N59" s="2709" t="e">
        <f ca="1">M49-N57</f>
        <v>#VALUE!</v>
      </c>
      <c r="O59" s="2710"/>
    </row>
    <row r="60" spans="1:35" ht="12" customHeight="1">
      <c r="A60" s="1942"/>
      <c r="B60" s="1880"/>
      <c r="C60" s="1880"/>
      <c r="D60" s="1880"/>
      <c r="E60" s="1710"/>
      <c r="F60" s="1941"/>
      <c r="G60" s="1941"/>
      <c r="H60" s="1943"/>
      <c r="I60" s="134"/>
      <c r="J60" s="3600"/>
      <c r="K60" s="3597"/>
      <c r="L60" s="2701" t="s">
        <v>1815</v>
      </c>
      <c r="M60" s="2705"/>
      <c r="N60" s="2706" t="e">
        <f ca="1">NUMBERSTRING(INT(N59*10000),2)&amp;"元整"</f>
        <v>#VALUE!</v>
      </c>
      <c r="O60" s="2707"/>
    </row>
    <row r="61" spans="1:35" ht="13.5" thickBot="1">
      <c r="A61" s="3659" t="s">
        <v>1818</v>
      </c>
      <c r="B61" s="3659"/>
      <c r="C61" s="3659"/>
      <c r="D61" s="3659"/>
      <c r="E61" s="3659"/>
      <c r="F61" s="1941"/>
      <c r="G61" s="1941"/>
      <c r="H61" s="1943"/>
      <c r="I61" s="134"/>
      <c r="J61" s="3304">
        <f>J59+1</f>
        <v>7</v>
      </c>
      <c r="K61" s="3597" t="s">
        <v>1819</v>
      </c>
      <c r="L61" s="3597"/>
      <c r="M61" s="2711"/>
      <c r="N61" s="2712" t="e">
        <f ca="1">ROUND(N59*10000/'数据-汇总表'!E3,0)</f>
        <v>#VALUE!</v>
      </c>
      <c r="O61" s="2713"/>
    </row>
    <row r="62" spans="1:35" ht="12.75">
      <c r="A62" s="3616" t="s">
        <v>1820</v>
      </c>
      <c r="B62" s="3617"/>
      <c r="C62" s="3298"/>
      <c r="D62" s="3298" t="s">
        <v>1821</v>
      </c>
      <c r="E62" s="171" t="s">
        <v>1822</v>
      </c>
      <c r="F62" s="1941"/>
      <c r="G62" s="1941"/>
      <c r="H62" s="1943"/>
      <c r="I62" s="134"/>
    </row>
    <row r="63" spans="1:35" ht="12.75">
      <c r="A63" s="178" t="s">
        <v>594</v>
      </c>
      <c r="B63" s="172" t="s">
        <v>1823</v>
      </c>
      <c r="C63" s="2735">
        <f ca="1">ROUND((C64+C65)/(1+'数据-取费表'!C42),0)</f>
        <v>1145</v>
      </c>
      <c r="D63" s="172"/>
      <c r="E63" s="173"/>
      <c r="F63" s="1941"/>
      <c r="G63" s="1941"/>
      <c r="H63" s="1943"/>
      <c r="I63" s="134"/>
      <c r="J63" s="3580" t="s">
        <v>1824</v>
      </c>
      <c r="K63" s="3307" t="s">
        <v>1825</v>
      </c>
      <c r="L63" s="3307"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1202</v>
      </c>
      <c r="D64" s="175" t="s">
        <v>32</v>
      </c>
      <c r="E64" s="177"/>
      <c r="F64" s="1941"/>
      <c r="G64" s="1941"/>
      <c r="H64" s="1943"/>
      <c r="I64" s="134"/>
      <c r="J64" s="3580"/>
      <c r="K64" s="3307" t="s">
        <v>1827</v>
      </c>
      <c r="L64" s="3307"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5" t="s">
        <v>1828</v>
      </c>
      <c r="Z64" s="1885"/>
      <c r="AI64" s="1886"/>
    </row>
    <row r="65" spans="1:35" ht="14.25" customHeight="1">
      <c r="A65" s="174" t="s">
        <v>590</v>
      </c>
      <c r="B65" s="175" t="s">
        <v>1829</v>
      </c>
      <c r="C65" s="2737"/>
      <c r="D65" s="175"/>
      <c r="E65" s="177"/>
      <c r="F65" s="1941"/>
      <c r="G65" s="1941"/>
      <c r="H65" s="1943"/>
      <c r="I65" s="134"/>
      <c r="J65" s="3580"/>
      <c r="K65" s="3307" t="s">
        <v>1830</v>
      </c>
      <c r="L65" s="3307" t="e">
        <f>IF(M49&gt;1000,M49*0.1%,IF(AND(M49&gt;500,M49&lt;=1000),M49*0.5%,IF(AND(M49&gt;50,M49&lt;=500),M49*1%,IF(AND(M49&gt;1,M49&lt;=50),M49*1.5%))))</f>
        <v>#VALUE!</v>
      </c>
      <c r="M65" s="308" t="e">
        <f t="shared" si="1"/>
        <v>#VALUE!</v>
      </c>
      <c r="N65" s="2715" t="s">
        <v>1828</v>
      </c>
      <c r="Z65" s="1885"/>
      <c r="AI65" s="1886"/>
    </row>
    <row r="66" spans="1:35" ht="14.25" customHeight="1">
      <c r="A66" s="178" t="s">
        <v>591</v>
      </c>
      <c r="B66" s="179" t="s">
        <v>1831</v>
      </c>
      <c r="C66" s="2738"/>
      <c r="D66" s="179" t="s">
        <v>32</v>
      </c>
      <c r="E66" s="1456" t="s">
        <v>1096</v>
      </c>
      <c r="F66" s="1941"/>
      <c r="G66" s="1941"/>
      <c r="H66" s="1943"/>
      <c r="I66" s="134"/>
      <c r="J66" s="3580"/>
      <c r="K66" s="3307" t="s">
        <v>1832</v>
      </c>
      <c r="L66" s="3307" t="e">
        <f>M49*0.5%</f>
        <v>#VALUE!</v>
      </c>
      <c r="M66" s="308" t="e">
        <f>IF(L66&gt;0.5,0.5,ROUND(L66,0))</f>
        <v>#VALUE!</v>
      </c>
      <c r="N66" s="2715" t="s">
        <v>1833</v>
      </c>
      <c r="Z66" s="1885"/>
      <c r="AI66" s="1886"/>
    </row>
    <row r="67" spans="1:35" ht="14.25" customHeight="1">
      <c r="A67" s="178" t="s">
        <v>592</v>
      </c>
      <c r="B67" s="179" t="s">
        <v>1834</v>
      </c>
      <c r="C67" s="2739">
        <f ca="1">C63-C66</f>
        <v>1145</v>
      </c>
      <c r="D67" s="175" t="s">
        <v>32</v>
      </c>
      <c r="E67" s="177"/>
      <c r="F67" s="1941"/>
      <c r="G67" s="1941"/>
      <c r="H67" s="1943"/>
      <c r="I67" s="134"/>
      <c r="J67" s="3580"/>
      <c r="K67" s="3307" t="s">
        <v>1835</v>
      </c>
      <c r="L67" s="3307"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64</v>
      </c>
      <c r="D68" s="2741">
        <f>'数据-取费表'!B41</f>
        <v>5.6000000000000001E-2</v>
      </c>
      <c r="E68" s="184"/>
      <c r="F68" s="1941"/>
      <c r="G68" s="1941"/>
      <c r="H68" s="1943"/>
      <c r="I68" s="134"/>
      <c r="J68" s="3580"/>
      <c r="K68" s="3307" t="s">
        <v>1837</v>
      </c>
      <c r="L68" s="3307"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580"/>
      <c r="K69" s="3307" t="s">
        <v>1838</v>
      </c>
      <c r="L69" s="3307"/>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24" t="s">
        <v>1839</v>
      </c>
      <c r="B70" s="3625"/>
      <c r="C70" s="3625"/>
      <c r="D70" s="3625"/>
      <c r="E70" s="3625"/>
      <c r="F70" s="3625"/>
      <c r="G70" s="3625"/>
      <c r="H70" s="3625"/>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6" t="s">
        <v>1820</v>
      </c>
      <c r="B71" s="3617"/>
      <c r="C71" s="3298"/>
      <c r="D71" s="3298"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1145</v>
      </c>
      <c r="D72" s="175" t="s">
        <v>32</v>
      </c>
      <c r="E72" s="3297"/>
      <c r="F72" s="3290"/>
      <c r="G72" s="3290"/>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7</v>
      </c>
      <c r="D73" s="175" t="s">
        <v>32</v>
      </c>
      <c r="E73" s="3297"/>
      <c r="F73" s="3290"/>
      <c r="G73" s="329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3297"/>
      <c r="F74" s="3290"/>
      <c r="G74" s="329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21" t="s">
        <v>1847</v>
      </c>
      <c r="F76" s="3620"/>
      <c r="G76" s="3620"/>
      <c r="H76" s="3623"/>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3306" t="s">
        <v>1849</v>
      </c>
      <c r="F77" s="192"/>
      <c r="G77" s="1955"/>
      <c r="H77" s="33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7</v>
      </c>
      <c r="D78" s="2748">
        <f>'数据-取费表'!B43</f>
        <v>6.000000000000001E-3</v>
      </c>
      <c r="E78" s="3613" t="s">
        <v>1851</v>
      </c>
      <c r="F78" s="3614"/>
      <c r="G78" s="3614"/>
      <c r="H78" s="3615"/>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592</v>
      </c>
      <c r="B79" s="179" t="s">
        <v>1852</v>
      </c>
      <c r="C79" s="2739">
        <f ca="1">C72-C73</f>
        <v>1138</v>
      </c>
      <c r="D79" s="175" t="s">
        <v>32</v>
      </c>
      <c r="E79" s="3297"/>
      <c r="F79" s="3290"/>
      <c r="G79" s="329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162.57142857142858</v>
      </c>
      <c r="D80" s="175" t="s">
        <v>32</v>
      </c>
      <c r="E80" s="3306" t="str">
        <f ca="1">IF(C80&gt;=200%,"增值额超过扣除项目金额200%",IF(C80&gt;=100%,"增值额超过扣除项目金额100%，未超过200%",IF(C80&gt;=50%,"增值额超过扣除项目金额50%，未超过100%",IF(C80&lt;50%,"增值额未超过扣除项目金额50%"))))</f>
        <v>增值额超过扣除项目金额200%</v>
      </c>
      <c r="F80" s="3290"/>
      <c r="G80" s="329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680</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24" t="s">
        <v>1855</v>
      </c>
      <c r="B83" s="3625"/>
      <c r="C83" s="3625"/>
      <c r="D83" s="3625"/>
      <c r="E83" s="3625"/>
      <c r="F83" s="3625"/>
      <c r="G83" s="3625"/>
      <c r="H83" s="3625"/>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6" t="s">
        <v>1820</v>
      </c>
      <c r="B84" s="3617"/>
      <c r="C84" s="3298"/>
      <c r="D84" s="3298"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1145</v>
      </c>
      <c r="D85" s="175" t="s">
        <v>32</v>
      </c>
      <c r="E85" s="3297"/>
      <c r="F85" s="3290"/>
      <c r="G85" s="329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7</v>
      </c>
      <c r="D86" s="2752"/>
      <c r="E86" s="3297"/>
      <c r="F86" s="3290"/>
      <c r="G86" s="329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3291"/>
      <c r="F87" s="3292"/>
      <c r="G87" s="3292"/>
      <c r="H87" s="3296"/>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3292"/>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3292"/>
      <c r="G89" s="3292"/>
      <c r="H89" s="3296"/>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3292"/>
      <c r="G90" s="3582" t="s">
        <v>2629</v>
      </c>
      <c r="H90" s="3583"/>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613" t="s">
        <v>1864</v>
      </c>
      <c r="F91" s="3614"/>
      <c r="G91" s="3614"/>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613" t="s">
        <v>1867</v>
      </c>
      <c r="F92" s="3614"/>
      <c r="G92" s="3614"/>
      <c r="H92" s="3615"/>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7</v>
      </c>
      <c r="D93" s="2748">
        <f>'数据-取费表'!B43</f>
        <v>6.000000000000001E-3</v>
      </c>
      <c r="E93" s="3613" t="s">
        <v>1851</v>
      </c>
      <c r="F93" s="3614"/>
      <c r="G93" s="3614"/>
      <c r="H93" s="3615"/>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61" t="s">
        <v>1871</v>
      </c>
      <c r="F94" s="3662"/>
      <c r="G94" s="3662"/>
      <c r="H94" s="3663"/>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592</v>
      </c>
      <c r="B95" s="179" t="s">
        <v>1852</v>
      </c>
      <c r="C95" s="2739">
        <f ca="1">ROUND(C85-C86,0)</f>
        <v>1138</v>
      </c>
      <c r="D95" s="175" t="s">
        <v>32</v>
      </c>
      <c r="E95" s="3297"/>
      <c r="F95" s="3290"/>
      <c r="G95" s="329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162.57142857142858</v>
      </c>
      <c r="D96" s="175" t="s">
        <v>32</v>
      </c>
      <c r="E96" s="3306" t="str">
        <f ca="1">IF(C96&gt;=200%,"增值额超过扣除项目金额200%",IF(C96&gt;=100%,"增值额超过扣除项目金额100%，未超过200%",IF(C96&gt;=50%,"增值额超过扣除项目金额50%，未超过100%",IF(C96&lt;50%,"增值额未超过扣除项目金额50%"))))</f>
        <v>增值额超过扣除项目金额200%</v>
      </c>
      <c r="F96" s="3290"/>
      <c r="G96" s="329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680</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63" t="s">
        <v>1873</v>
      </c>
      <c r="B100" s="3564"/>
      <c r="C100" s="3564"/>
      <c r="D100" s="3598"/>
      <c r="E100" s="3564" t="s">
        <v>1874</v>
      </c>
      <c r="F100" s="3564"/>
      <c r="G100" s="3564"/>
      <c r="H100" s="3598"/>
      <c r="I100" s="134"/>
    </row>
    <row r="101" spans="1:35" ht="18.75" customHeight="1">
      <c r="A101" s="3606" t="s">
        <v>1875</v>
      </c>
      <c r="B101" s="3607"/>
      <c r="C101" s="2756" t="str">
        <f>C4</f>
        <v>比较法-车位</v>
      </c>
      <c r="D101" s="2757" t="str">
        <f>D4</f>
        <v>收益法-车库</v>
      </c>
      <c r="E101" s="3576" t="s">
        <v>1876</v>
      </c>
      <c r="F101" s="3577"/>
      <c r="G101" s="1960" t="s">
        <v>1877</v>
      </c>
      <c r="H101" s="2766">
        <f ca="1">H118</f>
        <v>1202</v>
      </c>
      <c r="I101" s="134"/>
    </row>
    <row r="102" spans="1:35" ht="18.75" customHeight="1">
      <c r="A102" s="3608" t="s">
        <v>1878</v>
      </c>
      <c r="B102" s="2755" t="s">
        <v>1877</v>
      </c>
      <c r="C102" s="2756">
        <f ca="1">C19</f>
        <v>1680</v>
      </c>
      <c r="D102" s="2757">
        <f ca="1">D19</f>
        <v>723</v>
      </c>
      <c r="E102" s="3576"/>
      <c r="F102" s="3577"/>
      <c r="G102" s="1960" t="s">
        <v>1879</v>
      </c>
      <c r="H102" s="2726">
        <f ca="1">I118</f>
        <v>6186</v>
      </c>
      <c r="I102" s="134"/>
    </row>
    <row r="103" spans="1:35" ht="42.75" customHeight="1">
      <c r="A103" s="3608"/>
      <c r="B103" s="2755" t="s">
        <v>1879</v>
      </c>
      <c r="C103" s="2758">
        <f ca="1">C20</f>
        <v>8646</v>
      </c>
      <c r="D103" s="2759">
        <f ca="1">D20</f>
        <v>3721</v>
      </c>
      <c r="E103" s="3569" t="s">
        <v>1880</v>
      </c>
      <c r="F103" s="3570"/>
      <c r="G103" s="1961" t="s">
        <v>1881</v>
      </c>
      <c r="H103" s="2766">
        <f>IF(D36="正常操作",H104+H105+H106,H105+H106)</f>
        <v>0</v>
      </c>
      <c r="I103" s="134"/>
    </row>
    <row r="104" spans="1:35" ht="18.75" customHeight="1">
      <c r="A104" s="3608" t="s">
        <v>1882</v>
      </c>
      <c r="B104" s="2760" t="s">
        <v>1877</v>
      </c>
      <c r="C104" s="2761">
        <f ca="1">H118</f>
        <v>1202</v>
      </c>
      <c r="D104" s="2762"/>
      <c r="E104" s="1807" t="s">
        <v>1883</v>
      </c>
      <c r="F104" s="1798"/>
      <c r="G104" s="1961" t="s">
        <v>1881</v>
      </c>
      <c r="H104" s="2767">
        <f>IF(D36="同一抵押权人同一抵押物续贷",C36&amp;"（续贷，未扣减，详见特别提示）",C36)</f>
        <v>0</v>
      </c>
      <c r="I104" s="134"/>
    </row>
    <row r="105" spans="1:35" ht="18.75" customHeight="1" thickBot="1">
      <c r="A105" s="3618"/>
      <c r="B105" s="2763" t="s">
        <v>1879</v>
      </c>
      <c r="C105" s="2764">
        <f ca="1">I118</f>
        <v>6186</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09" t="str">
        <f>IF(项目基本情况!E8="已注销","——","3.房地产抵押价值")</f>
        <v>3.房地产抵押价值</v>
      </c>
      <c r="F107" s="3577"/>
      <c r="G107" s="1960" t="s">
        <v>1877</v>
      </c>
      <c r="H107" s="2766">
        <f ca="1">IF(E107="——","——",H101-H103)</f>
        <v>1202</v>
      </c>
      <c r="I107" s="134"/>
    </row>
    <row r="108" spans="1:35" ht="18.75" customHeight="1">
      <c r="A108" s="134"/>
      <c r="B108" s="134"/>
      <c r="C108" s="134"/>
      <c r="D108" s="134"/>
      <c r="E108" s="3609"/>
      <c r="F108" s="3577"/>
      <c r="G108" s="1960" t="s">
        <v>1879</v>
      </c>
      <c r="H108" s="2726">
        <f ca="1">ROUND(H107*10000/'数据-汇总表'!E3,0)</f>
        <v>375</v>
      </c>
      <c r="I108" s="134"/>
    </row>
    <row r="109" spans="1:35" ht="18.75" customHeight="1">
      <c r="A109" s="134"/>
      <c r="B109" s="134"/>
      <c r="C109" s="134"/>
      <c r="D109" s="134"/>
      <c r="E109" s="3609" t="str">
        <f>IF(项目基本情况!E8="已注销及未注销","4.抵押担保权已注销时的房地产抵押价值",IF(项目基本情况!E8="已注销","3.抵押担保权已注销时的房地产抵押价值","——"))</f>
        <v>——</v>
      </c>
      <c r="F109" s="3577"/>
      <c r="G109" s="1960" t="s">
        <v>1877</v>
      </c>
      <c r="H109" s="2769" t="str">
        <f>IF(E109="——","——",H101-H105-H106)</f>
        <v>——</v>
      </c>
      <c r="I109" s="134"/>
    </row>
    <row r="110" spans="1:35" ht="18.75" customHeight="1">
      <c r="A110" s="134"/>
      <c r="B110" s="134"/>
      <c r="C110" s="134"/>
      <c r="D110" s="134"/>
      <c r="E110" s="3609"/>
      <c r="F110" s="3577"/>
      <c r="G110" s="1960" t="s">
        <v>1879</v>
      </c>
      <c r="H110" s="2726" t="str">
        <f>IF(H109="——","——",ROUND(H109*10000/'数据-汇总表'!E3,0))</f>
        <v>——</v>
      </c>
      <c r="I110" s="134"/>
    </row>
    <row r="111" spans="1:35" ht="18.75" customHeight="1">
      <c r="A111" s="134"/>
      <c r="B111" s="134"/>
      <c r="C111" s="134"/>
      <c r="D111" s="134"/>
      <c r="E111" s="3610" t="str">
        <f>IF(项目基本情况!E9="抵押净值",IF(OR(项目基本情况!E8="已注销",项目基本情况!E8="房地产抵押价值"),"4.抵押净值","5.抵押净值"),"——")</f>
        <v>——</v>
      </c>
      <c r="F111" s="3596"/>
      <c r="G111" s="1960" t="s">
        <v>1877</v>
      </c>
      <c r="H111" s="2766" t="str">
        <f>IF(E111="——","——",N59)</f>
        <v>——</v>
      </c>
      <c r="I111" s="134"/>
    </row>
    <row r="112" spans="1:35" ht="18.75" customHeight="1" thickBot="1">
      <c r="A112" s="134"/>
      <c r="B112" s="134"/>
      <c r="C112" s="134"/>
      <c r="D112" s="134"/>
      <c r="E112" s="3611"/>
      <c r="F112" s="3612"/>
      <c r="G112" s="1963" t="s">
        <v>1879</v>
      </c>
      <c r="H112" s="2770" t="str">
        <f>IF(E111="——","——",N61)</f>
        <v>——</v>
      </c>
      <c r="I112" s="134"/>
    </row>
    <row r="113" spans="1:27" ht="18.75" customHeight="1">
      <c r="A113" s="134"/>
      <c r="B113" s="134"/>
      <c r="C113" s="134"/>
      <c r="D113" s="134"/>
      <c r="E113" s="3619" t="s">
        <v>1885</v>
      </c>
      <c r="F113" s="3619"/>
      <c r="G113" s="3619"/>
      <c r="H113" s="3619"/>
      <c r="I113" s="134"/>
    </row>
    <row r="114" spans="1:27" ht="3.75" customHeight="1">
      <c r="A114" s="1880"/>
      <c r="B114" s="1880"/>
      <c r="C114" s="1880"/>
      <c r="D114" s="1880"/>
      <c r="E114" s="1942"/>
      <c r="F114" s="1942"/>
      <c r="G114" s="1942"/>
      <c r="H114" s="1942"/>
      <c r="I114" s="1880"/>
    </row>
    <row r="115" spans="1:27" ht="18.75" customHeight="1">
      <c r="A115" s="3630" t="s">
        <v>1887</v>
      </c>
      <c r="B115" s="3631"/>
      <c r="C115" s="3631"/>
      <c r="D115" s="3631"/>
      <c r="E115" s="3631"/>
      <c r="F115" s="3631"/>
      <c r="G115" s="3631"/>
      <c r="H115" s="3631"/>
      <c r="I115" s="3632"/>
    </row>
    <row r="116" spans="1:27" ht="27" customHeight="1">
      <c r="A116" s="3584" t="s">
        <v>1888</v>
      </c>
      <c r="B116" s="3588" t="s">
        <v>1889</v>
      </c>
      <c r="C116" s="3588" t="s">
        <v>1890</v>
      </c>
      <c r="D116" s="3594" t="s">
        <v>1891</v>
      </c>
      <c r="E116" s="3595"/>
      <c r="F116" s="3626" t="s">
        <v>1892</v>
      </c>
      <c r="G116" s="3626"/>
      <c r="H116" s="3584" t="s">
        <v>1893</v>
      </c>
      <c r="I116" s="3584"/>
    </row>
    <row r="117" spans="1:27" ht="18.75" customHeight="1">
      <c r="A117" s="3584"/>
      <c r="B117" s="3589"/>
      <c r="C117" s="3589"/>
      <c r="D117" s="3293" t="s">
        <v>1894</v>
      </c>
      <c r="E117" s="3293" t="s">
        <v>1895</v>
      </c>
      <c r="F117" s="3293" t="s">
        <v>1894</v>
      </c>
      <c r="G117" s="3293" t="s">
        <v>1896</v>
      </c>
      <c r="H117" s="3293" t="s">
        <v>1894</v>
      </c>
      <c r="I117" s="3293" t="s">
        <v>1896</v>
      </c>
    </row>
    <row r="118" spans="1:27" ht="24.75" customHeight="1">
      <c r="A118" s="2771" t="str">
        <f>项目基本情况!S2</f>
        <v>北京市房地产</v>
      </c>
      <c r="B118" s="3293">
        <f>M18</f>
        <v>1943.05</v>
      </c>
      <c r="C118" s="3293">
        <f>M19</f>
        <v>365.48</v>
      </c>
      <c r="D118" s="3293">
        <f ca="1">ROUND(IF(D32="总价",C34,E118*B118/10000),0)</f>
        <v>123</v>
      </c>
      <c r="E118" s="3293">
        <f ca="1">ROUND(IF(C33="自定义",IF(D32="楼面单价",C34,D118*10000/B118),I118-G118),0)</f>
        <v>633</v>
      </c>
      <c r="F118" s="3293">
        <f ca="1">ROUND(IF(D32="总价",C35,G118*B118/10000),0)</f>
        <v>1079</v>
      </c>
      <c r="G118" s="3293">
        <f ca="1">ROUND(IF(D32="楼面单价",C35,F118*10000/B118),0)</f>
        <v>5553</v>
      </c>
      <c r="H118" s="3293">
        <f ca="1">ROUND(IF(D32="总价",C32,I118*B118/10000),0)</f>
        <v>1202</v>
      </c>
      <c r="I118" s="3293">
        <f ca="1">ROUND(IF(D32="楼面单价",C32,H118*10000/B118),0)</f>
        <v>6186</v>
      </c>
    </row>
    <row r="119" spans="1:27" ht="18.75" customHeight="1">
      <c r="A119" s="3584" t="s">
        <v>1897</v>
      </c>
      <c r="B119" s="3584"/>
      <c r="C119" s="3584"/>
      <c r="D119" s="3590" t="str">
        <f ca="1">NUMBERSTRING(INT(D118*10000),2)&amp;"元整"</f>
        <v>壹佰贰拾叁万元整</v>
      </c>
      <c r="E119" s="3591"/>
      <c r="F119" s="3590" t="str">
        <f ca="1">NUMBERSTRING(INT(F118*10000),2)&amp;"元整"</f>
        <v>壹仟零柒拾玖万元整</v>
      </c>
      <c r="G119" s="3591"/>
      <c r="H119" s="3590" t="str">
        <f ca="1">NUMBERSTRING(INT(H118*10000),2)&amp;"元整"</f>
        <v>壹仟贰佰零贰万元整</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27" t="s">
        <v>1897</v>
      </c>
      <c r="B121" s="3628"/>
      <c r="C121" s="3629"/>
      <c r="D121" s="3590" t="str">
        <f>IF(D120=0,"零元整",NUMBERSTRING(INT(D120*10000),2)&amp;"元整")</f>
        <v>零元整</v>
      </c>
      <c r="E121" s="3592"/>
      <c r="F121" s="3592"/>
      <c r="G121" s="3592"/>
      <c r="H121" s="3592"/>
      <c r="I121" s="3591"/>
      <c r="AA121" s="731"/>
    </row>
    <row r="122" spans="1:27" ht="18.75" customHeight="1">
      <c r="A122" s="3596" t="str">
        <f>IF(项目基本情况!B9="房地产市场价值","",MID(E107,3,LEN(E107)-2))</f>
        <v>房地产抵押价值</v>
      </c>
      <c r="B122" s="3596"/>
      <c r="C122" s="3596"/>
      <c r="D122" s="3585">
        <f ca="1">H107</f>
        <v>1202</v>
      </c>
      <c r="E122" s="3586"/>
      <c r="F122" s="3586"/>
      <c r="G122" s="3586"/>
      <c r="H122" s="3586"/>
      <c r="I122" s="3587"/>
      <c r="AA122" s="731"/>
    </row>
    <row r="123" spans="1:27" ht="18.75" customHeight="1">
      <c r="A123" s="3584" t="s">
        <v>1897</v>
      </c>
      <c r="B123" s="3584"/>
      <c r="C123" s="3584"/>
      <c r="D123" s="3590" t="str">
        <f ca="1">NUMBERSTRING(INT(D122*10000),2)&amp;"元整"</f>
        <v>壹仟贰佰零贰万元整</v>
      </c>
      <c r="E123" s="3592"/>
      <c r="F123" s="3592"/>
      <c r="G123" s="3592"/>
      <c r="H123" s="3592"/>
      <c r="I123" s="3591"/>
      <c r="AA123" s="731"/>
    </row>
    <row r="124" spans="1:27" ht="18.75" customHeight="1">
      <c r="A124" s="3596" t="str">
        <f>IF(项目基本情况!B9="房地产市场价值","",MID(E109,3,LEN(E109)-2))</f>
        <v/>
      </c>
      <c r="B124" s="3596"/>
      <c r="C124" s="3596"/>
      <c r="D124" s="3585" t="str">
        <f>H109</f>
        <v>——</v>
      </c>
      <c r="E124" s="3586"/>
      <c r="F124" s="3586"/>
      <c r="G124" s="3586"/>
      <c r="H124" s="3586"/>
      <c r="I124" s="3587"/>
      <c r="AA124" s="731"/>
    </row>
    <row r="125" spans="1:27" ht="18.75" customHeight="1">
      <c r="A125" s="3584" t="s">
        <v>1897</v>
      </c>
      <c r="B125" s="3584"/>
      <c r="C125" s="3584"/>
      <c r="D125" s="3590" t="e">
        <f>NUMBERSTRING(INT(D124*10000),2)&amp;"元整"</f>
        <v>#VALUE!</v>
      </c>
      <c r="E125" s="3592"/>
      <c r="F125" s="3592"/>
      <c r="G125" s="3592"/>
      <c r="H125" s="3592"/>
      <c r="I125" s="3591"/>
      <c r="AA125" s="731"/>
    </row>
    <row r="126" spans="1:27" ht="18.75" customHeight="1">
      <c r="A126" s="3596" t="str">
        <f>IF(项目基本情况!B9="房地产市场价值","",MID(E111,3,LEN(E111)-2))</f>
        <v/>
      </c>
      <c r="B126" s="3596"/>
      <c r="C126" s="3596"/>
      <c r="D126" s="3585" t="str">
        <f>H111</f>
        <v>——</v>
      </c>
      <c r="E126" s="3586"/>
      <c r="F126" s="3586"/>
      <c r="G126" s="3586"/>
      <c r="H126" s="3586"/>
      <c r="I126" s="3587"/>
      <c r="AA126" s="731"/>
    </row>
    <row r="127" spans="1:27" ht="18.75" customHeight="1">
      <c r="A127" s="3584" t="s">
        <v>1897</v>
      </c>
      <c r="B127" s="3584"/>
      <c r="C127" s="3584"/>
      <c r="D127" s="3590" t="e">
        <f>NUMBERSTRING(INT(D126*10000),2)&amp;"元整"</f>
        <v>#VALUE!</v>
      </c>
      <c r="E127" s="3592"/>
      <c r="F127" s="3592"/>
      <c r="G127" s="3592"/>
      <c r="H127" s="3592"/>
      <c r="I127" s="3591"/>
      <c r="AA127" s="731"/>
    </row>
    <row r="128" spans="1:27" ht="21.75" customHeight="1">
      <c r="A128" s="3593" t="s">
        <v>1898</v>
      </c>
      <c r="B128" s="3593"/>
      <c r="C128" s="3593"/>
      <c r="D128" s="3593"/>
      <c r="E128" s="3593"/>
      <c r="F128" s="3593"/>
      <c r="G128" s="3593"/>
      <c r="H128" s="3593"/>
      <c r="I128" s="359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0" zoomScaleNormal="60" zoomScaleSheetLayoutView="80" workbookViewId="0">
      <selection activeCell="D35" sqref="D35"/>
    </sheetView>
  </sheetViews>
  <sheetFormatPr defaultColWidth="9" defaultRowHeight="14.25"/>
  <cols>
    <col min="1" max="1" width="10.5" style="363" customWidth="1"/>
    <col min="2" max="2" width="15.75" style="363" customWidth="1"/>
    <col min="3" max="3" width="16.25" style="363" customWidth="1"/>
    <col min="4" max="4" width="12.25" style="363" customWidth="1"/>
    <col min="5" max="5" width="15.625" style="363" customWidth="1"/>
    <col min="6" max="6" width="12.25" style="363" customWidth="1"/>
    <col min="7" max="7" width="16.625" style="363" customWidth="1"/>
    <col min="8" max="8" width="12.25" style="363" customWidth="1"/>
    <col min="9" max="9" width="17.12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t="s">
        <v>3205</v>
      </c>
      <c r="C1" s="1341" t="s">
        <v>2110</v>
      </c>
      <c r="D1" s="1342" t="s">
        <v>48</v>
      </c>
      <c r="E1" s="1343"/>
      <c r="F1" s="2012" t="s">
        <v>4011</v>
      </c>
      <c r="G1" s="1344" t="s">
        <v>2223</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8" customFormat="1" ht="28.5" customHeight="1" thickTop="1">
      <c r="A2" s="1338" t="s">
        <v>1907</v>
      </c>
      <c r="B2" s="1275">
        <f>IF(C2="——",IF(B37="元/平方米",ROUND(C39*D3/10000,0),ROUND(F3*C39/10000,0)),IF(B37="元/平方米",ROUND(C39*D3/10000,0),ROUND(F3*C39/10000,0))-D2)</f>
        <v>1680</v>
      </c>
      <c r="C2" s="2014" t="s">
        <v>70</v>
      </c>
      <c r="D2" s="1016" t="e">
        <f ca="1">SUMIF(INDIRECT("'"&amp;F2&amp;"'"&amp;"!A:A"),"承租人权益价值",INDIRECT("'"&amp;F2&amp;"'"&amp;"!c:c"))</f>
        <v>#REF!</v>
      </c>
      <c r="E2" s="2015" t="s">
        <v>1908</v>
      </c>
      <c r="F2" s="2016"/>
      <c r="G2" s="1017"/>
      <c r="H2" s="1017"/>
      <c r="I2" s="1017"/>
      <c r="J2" s="1017"/>
      <c r="K2" s="1019"/>
      <c r="L2" s="2908"/>
      <c r="M2" s="2909"/>
      <c r="N2" s="2909"/>
      <c r="O2" s="2909"/>
      <c r="P2" s="1276"/>
      <c r="Q2" s="705"/>
      <c r="R2" s="705"/>
      <c r="S2" s="705"/>
      <c r="T2" s="705"/>
      <c r="U2" s="705"/>
      <c r="V2" s="705"/>
      <c r="W2" s="705"/>
      <c r="X2" s="705"/>
      <c r="Y2" s="705"/>
      <c r="Z2" s="705"/>
      <c r="AA2" s="705"/>
      <c r="AB2" s="705"/>
      <c r="AC2" s="706"/>
    </row>
    <row r="3" spans="1:29" s="358" customFormat="1" ht="28.5" customHeight="1" thickBot="1">
      <c r="A3" s="209" t="s">
        <v>1909</v>
      </c>
      <c r="B3" s="566">
        <f>IF(AND(C2="——",B37="元/平方米"),C39,ROUND(B2*10000/D3,0))</f>
        <v>8646</v>
      </c>
      <c r="C3" s="360" t="s">
        <v>2224</v>
      </c>
      <c r="D3" s="359">
        <f>SUMIF('数据-汇总表'!$C19:$C33,D1,'数据-汇总表'!$E19:$E33)</f>
        <v>1943.05</v>
      </c>
      <c r="E3" s="360" t="s">
        <v>2288</v>
      </c>
      <c r="F3" s="359">
        <f>SUMIF('数据-取费表'!A5:A15,D1,'数据-取费表'!AH5:AH15)</f>
        <v>80</v>
      </c>
      <c r="G3" s="1017"/>
      <c r="H3" s="1017"/>
      <c r="I3" s="1017"/>
      <c r="J3" s="1017"/>
      <c r="K3" s="1019"/>
      <c r="L3" s="2908"/>
      <c r="M3" s="2909"/>
      <c r="N3" s="2909"/>
      <c r="O3" s="2909"/>
      <c r="P3" s="1276"/>
      <c r="Q3" s="705"/>
      <c r="R3" s="705"/>
      <c r="S3" s="705"/>
      <c r="T3" s="705"/>
      <c r="U3" s="705"/>
      <c r="V3" s="705"/>
      <c r="W3" s="705"/>
      <c r="X3" s="705"/>
      <c r="Y3" s="705"/>
      <c r="Z3" s="705"/>
      <c r="AA3" s="705"/>
      <c r="AB3" s="722"/>
      <c r="AC3" s="719"/>
    </row>
    <row r="4" spans="1:29" ht="15">
      <c r="A4" s="361" t="s">
        <v>2225</v>
      </c>
      <c r="B4" s="362"/>
      <c r="C4" s="3687" t="s">
        <v>2226</v>
      </c>
      <c r="D4" s="3688"/>
      <c r="E4" s="3689" t="s">
        <v>2227</v>
      </c>
      <c r="F4" s="3690"/>
      <c r="G4" s="3687" t="s">
        <v>2228</v>
      </c>
      <c r="H4" s="3688"/>
      <c r="I4" s="3687" t="s">
        <v>2229</v>
      </c>
      <c r="J4" s="3688"/>
      <c r="K4" s="567" t="s">
        <v>2230</v>
      </c>
      <c r="L4" s="2889"/>
      <c r="M4" s="2890"/>
      <c r="N4" s="2890"/>
      <c r="O4" s="2890"/>
      <c r="P4" s="3691" t="s">
        <v>2231</v>
      </c>
      <c r="Q4" s="3692"/>
      <c r="R4" s="3674" t="s">
        <v>2227</v>
      </c>
      <c r="S4" s="3675"/>
      <c r="T4" s="3674" t="s">
        <v>2228</v>
      </c>
      <c r="U4" s="3675"/>
      <c r="V4" s="3699" t="s">
        <v>2229</v>
      </c>
      <c r="W4" s="3699"/>
      <c r="X4" s="1486"/>
      <c r="Y4" s="3674" t="s">
        <v>2231</v>
      </c>
      <c r="Z4" s="3675"/>
      <c r="AA4" s="3669" t="s">
        <v>2227</v>
      </c>
      <c r="AB4" s="3670" t="s">
        <v>2228</v>
      </c>
      <c r="AC4" s="3669" t="s">
        <v>2229</v>
      </c>
    </row>
    <row r="5" spans="1:29" ht="15">
      <c r="A5" s="364"/>
      <c r="B5" s="365"/>
      <c r="C5" s="3680" t="s">
        <v>2122</v>
      </c>
      <c r="D5" s="3681"/>
      <c r="E5" s="3763" t="s">
        <v>4027</v>
      </c>
      <c r="F5" s="3679"/>
      <c r="G5" s="3764" t="s">
        <v>4028</v>
      </c>
      <c r="H5" s="3681"/>
      <c r="I5" s="3764" t="s">
        <v>4029</v>
      </c>
      <c r="J5" s="3681"/>
      <c r="K5" s="567"/>
      <c r="L5" s="2889"/>
      <c r="M5" s="2890"/>
      <c r="N5" s="2890"/>
      <c r="O5" s="2890"/>
      <c r="P5" s="3693"/>
      <c r="Q5" s="3694"/>
      <c r="R5" s="3676"/>
      <c r="S5" s="3677"/>
      <c r="T5" s="3676"/>
      <c r="U5" s="3677"/>
      <c r="V5" s="3699"/>
      <c r="W5" s="3699"/>
      <c r="X5" s="1486"/>
      <c r="Y5" s="3676"/>
      <c r="Z5" s="3677"/>
      <c r="AA5" s="3670"/>
      <c r="AB5" s="3670"/>
      <c r="AC5" s="3670"/>
    </row>
    <row r="6" spans="1:29" ht="15.75" thickBot="1">
      <c r="A6" s="366"/>
      <c r="B6" s="367"/>
      <c r="C6" s="3682" t="s">
        <v>2126</v>
      </c>
      <c r="D6" s="3683"/>
      <c r="E6" s="3684" t="s">
        <v>2126</v>
      </c>
      <c r="F6" s="3685"/>
      <c r="G6" s="3682" t="s">
        <v>2126</v>
      </c>
      <c r="H6" s="3683"/>
      <c r="I6" s="3682" t="s">
        <v>2126</v>
      </c>
      <c r="J6" s="3683"/>
      <c r="K6" s="567" t="s">
        <v>2127</v>
      </c>
      <c r="L6" s="2889"/>
      <c r="M6" s="2890"/>
      <c r="N6" s="2890"/>
      <c r="O6" s="2890"/>
      <c r="P6" s="3695"/>
      <c r="Q6" s="3696"/>
      <c r="R6" s="3676"/>
      <c r="S6" s="3677"/>
      <c r="T6" s="3697"/>
      <c r="U6" s="3698"/>
      <c r="V6" s="3699"/>
      <c r="W6" s="3699"/>
      <c r="X6" s="1486"/>
      <c r="Y6" s="3697"/>
      <c r="Z6" s="3698"/>
      <c r="AA6" s="3671"/>
      <c r="AB6" s="3671"/>
      <c r="AC6" s="3671"/>
    </row>
    <row r="7" spans="1:29" s="113" customFormat="1" ht="15.75" thickBot="1">
      <c r="A7" s="368" t="s">
        <v>2128</v>
      </c>
      <c r="B7" s="369"/>
      <c r="C7" s="370">
        <f>'数据-取费表'!B2</f>
        <v>44901</v>
      </c>
      <c r="D7" s="371">
        <v>100</v>
      </c>
      <c r="E7" s="372">
        <f>C7</f>
        <v>44901</v>
      </c>
      <c r="F7" s="373">
        <f>SUMIF(48:48,YEAR(E7)&amp;"-"&amp;MONTH(E7),49:49)</f>
        <v>100</v>
      </c>
      <c r="G7" s="372">
        <f>C7</f>
        <v>44901</v>
      </c>
      <c r="H7" s="371">
        <f>SUMIF(48:48,YEAR(G7)&amp;"-"&amp;MONTH(G7),49:49)</f>
        <v>100</v>
      </c>
      <c r="I7" s="372">
        <f>C7</f>
        <v>44901</v>
      </c>
      <c r="J7" s="371">
        <f>SUMIF(48:48,YEAR(I7)&amp;"-"&amp;MONTH(I7),49:49)</f>
        <v>100</v>
      </c>
      <c r="K7" s="568"/>
      <c r="L7" s="2891"/>
      <c r="M7" s="2892"/>
      <c r="N7" s="2892"/>
      <c r="O7" s="2892"/>
      <c r="P7" s="3672" t="s">
        <v>2129</v>
      </c>
      <c r="Q7" s="3700"/>
      <c r="R7" s="707" t="s">
        <v>17</v>
      </c>
      <c r="S7" s="708">
        <f t="shared" ref="S7:S14" si="0">F7</f>
        <v>100</v>
      </c>
      <c r="T7" s="707" t="s">
        <v>17</v>
      </c>
      <c r="U7" s="708">
        <f t="shared" ref="U7:U14" si="1">H7</f>
        <v>100</v>
      </c>
      <c r="V7" s="707" t="s">
        <v>17</v>
      </c>
      <c r="W7" s="708">
        <f t="shared" ref="W7:W14" si="2">J7</f>
        <v>100</v>
      </c>
      <c r="X7" s="709"/>
      <c r="Y7" s="3672" t="s">
        <v>2129</v>
      </c>
      <c r="Z7" s="3673"/>
      <c r="AA7" s="710">
        <f>D7/F7</f>
        <v>1</v>
      </c>
      <c r="AB7" s="710">
        <f>D7/H7</f>
        <v>1</v>
      </c>
      <c r="AC7" s="710">
        <f>D7/J7</f>
        <v>1</v>
      </c>
    </row>
    <row r="8" spans="1:29" s="113" customFormat="1" ht="15.75" thickBot="1">
      <c r="A8" s="368" t="s">
        <v>2130</v>
      </c>
      <c r="B8" s="369"/>
      <c r="C8" s="374" t="s">
        <v>2232</v>
      </c>
      <c r="D8" s="371">
        <v>100</v>
      </c>
      <c r="E8" s="3270" t="s">
        <v>4018</v>
      </c>
      <c r="F8" s="373">
        <f>SUMIF(51:51,E8,52:52)-SUMIF(51:51,C8,52:52)+100</f>
        <v>100</v>
      </c>
      <c r="G8" s="3270" t="s">
        <v>4018</v>
      </c>
      <c r="H8" s="371">
        <f>SUMIF(51:51,G8,52:52)-SUMIF(51:51,C8,52:52)+100</f>
        <v>100</v>
      </c>
      <c r="I8" s="3270" t="s">
        <v>4018</v>
      </c>
      <c r="J8" s="371">
        <f>SUMIF(51:51,I8,52:52)-SUMIF(51:51,C8,52:52)+100</f>
        <v>100</v>
      </c>
      <c r="K8" s="568"/>
      <c r="L8" s="2891"/>
      <c r="M8" s="2892"/>
      <c r="N8" s="2892"/>
      <c r="O8" s="2892"/>
      <c r="P8" s="3672" t="s">
        <v>2132</v>
      </c>
      <c r="Q8" s="3673"/>
      <c r="R8" s="707" t="s">
        <v>17</v>
      </c>
      <c r="S8" s="708">
        <f t="shared" si="0"/>
        <v>100</v>
      </c>
      <c r="T8" s="707" t="s">
        <v>17</v>
      </c>
      <c r="U8" s="708">
        <f t="shared" si="1"/>
        <v>100</v>
      </c>
      <c r="V8" s="707" t="s">
        <v>17</v>
      </c>
      <c r="W8" s="708">
        <f t="shared" si="2"/>
        <v>100</v>
      </c>
      <c r="X8" s="709"/>
      <c r="Y8" s="3672" t="s">
        <v>2132</v>
      </c>
      <c r="Z8" s="3673"/>
      <c r="AA8" s="710">
        <f t="shared" ref="AA8:AA36" si="3">D8/F8</f>
        <v>1</v>
      </c>
      <c r="AB8" s="710">
        <f t="shared" ref="AB8:AB36" si="4">D8/H8</f>
        <v>1</v>
      </c>
      <c r="AC8" s="710">
        <f t="shared" ref="AC8:AC36" si="5">D8/J8</f>
        <v>1</v>
      </c>
    </row>
    <row r="9" spans="1:29" s="113" customFormat="1">
      <c r="A9" s="64" t="s">
        <v>2133</v>
      </c>
      <c r="B9" s="596" t="s">
        <v>2134</v>
      </c>
      <c r="C9" s="3461" t="s">
        <v>4019</v>
      </c>
      <c r="D9" s="131">
        <v>100</v>
      </c>
      <c r="E9" s="3463" t="s">
        <v>4019</v>
      </c>
      <c r="F9" s="131">
        <f>SUMIF(53:53,E9,54:54)-SUMIF(53:53,C9,54:54)+100</f>
        <v>100</v>
      </c>
      <c r="G9" s="3462" t="s">
        <v>4019</v>
      </c>
      <c r="H9" s="131">
        <f>SUMIF(53:53,G9,54:54)-SUMIF(53:53,C9,54:54)+100</f>
        <v>100</v>
      </c>
      <c r="I9" s="3462" t="s">
        <v>4019</v>
      </c>
      <c r="J9" s="131">
        <f>SUMIF(53:53,I9,54:54)-SUMIF(53:53,C9,54:54)+100</f>
        <v>100</v>
      </c>
      <c r="K9" s="568"/>
      <c r="L9" s="2891"/>
      <c r="M9" s="2892"/>
      <c r="N9" s="2892"/>
      <c r="O9" s="2892"/>
      <c r="P9" s="3704" t="s">
        <v>2135</v>
      </c>
      <c r="Q9" s="1474" t="str">
        <f t="shared" ref="Q9:Q14" si="6">B9</f>
        <v>用途</v>
      </c>
      <c r="R9" s="707" t="s">
        <v>17</v>
      </c>
      <c r="S9" s="708">
        <f t="shared" si="0"/>
        <v>100</v>
      </c>
      <c r="T9" s="707" t="s">
        <v>17</v>
      </c>
      <c r="U9" s="708">
        <f t="shared" si="1"/>
        <v>100</v>
      </c>
      <c r="V9" s="707" t="s">
        <v>17</v>
      </c>
      <c r="W9" s="708">
        <f t="shared" si="2"/>
        <v>100</v>
      </c>
      <c r="X9" s="709"/>
      <c r="Y9" s="3642" t="s">
        <v>2136</v>
      </c>
      <c r="Z9" s="55" t="str">
        <f t="shared" ref="Z9:Z14" si="7">Q9</f>
        <v>用途</v>
      </c>
      <c r="AA9" s="710">
        <f t="shared" si="3"/>
        <v>1</v>
      </c>
      <c r="AB9" s="710">
        <f t="shared" si="4"/>
        <v>1</v>
      </c>
      <c r="AC9" s="710">
        <f t="shared" si="5"/>
        <v>1</v>
      </c>
    </row>
    <row r="10" spans="1:29" s="386" customFormat="1" ht="27">
      <c r="A10" s="597"/>
      <c r="B10" s="3474" t="s">
        <v>2137</v>
      </c>
      <c r="C10" s="382" t="s">
        <v>4017</v>
      </c>
      <c r="D10" s="132">
        <v>100</v>
      </c>
      <c r="E10" s="382" t="s">
        <v>4017</v>
      </c>
      <c r="F10" s="132">
        <f>SUMIF(55:55,E10,56:56)-SUMIF(55:55,C10,56:56)+100</f>
        <v>100</v>
      </c>
      <c r="G10" s="383" t="s">
        <v>4017</v>
      </c>
      <c r="H10" s="132">
        <f>SUMIF(55:55,G10,56:56)-SUMIF(55:55,C10,56:56)+100</f>
        <v>100</v>
      </c>
      <c r="I10" s="382" t="s">
        <v>4017</v>
      </c>
      <c r="J10" s="132">
        <f>SUMIF(55:55,I10,56:56)-SUMIF(55:55,C10,56:56)+100</f>
        <v>100</v>
      </c>
      <c r="K10" s="569">
        <v>2</v>
      </c>
      <c r="L10" s="2893"/>
      <c r="M10" s="2894"/>
      <c r="N10" s="2894"/>
      <c r="O10" s="2894"/>
      <c r="P10" s="3704"/>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704"/>
      <c r="Q11" s="1474">
        <f t="shared" si="6"/>
        <v>111</v>
      </c>
      <c r="R11" s="707" t="s">
        <v>17</v>
      </c>
      <c r="S11" s="708">
        <f t="shared" si="0"/>
        <v>100</v>
      </c>
      <c r="T11" s="707" t="s">
        <v>17</v>
      </c>
      <c r="U11" s="708">
        <f t="shared" si="1"/>
        <v>100</v>
      </c>
      <c r="V11" s="707" t="s">
        <v>17</v>
      </c>
      <c r="W11" s="708">
        <f t="shared" si="2"/>
        <v>100</v>
      </c>
      <c r="X11" s="709"/>
      <c r="Y11" s="3642"/>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704"/>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704"/>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710">
        <f t="shared" si="5"/>
        <v>1</v>
      </c>
    </row>
    <row r="14" spans="1:29" ht="71.25">
      <c r="A14" s="361" t="s">
        <v>2139</v>
      </c>
      <c r="B14" s="585" t="s">
        <v>2289</v>
      </c>
      <c r="C14" s="210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706" t="s">
        <v>2140</v>
      </c>
      <c r="Q14" s="1483" t="str">
        <f t="shared" si="6"/>
        <v>交通便捷度</v>
      </c>
      <c r="R14" s="711" t="s">
        <v>17</v>
      </c>
      <c r="S14" s="712">
        <f t="shared" si="0"/>
        <v>100</v>
      </c>
      <c r="T14" s="711" t="s">
        <v>17</v>
      </c>
      <c r="U14" s="712">
        <f t="shared" si="1"/>
        <v>100</v>
      </c>
      <c r="V14" s="711" t="s">
        <v>17</v>
      </c>
      <c r="W14" s="712">
        <f t="shared" si="2"/>
        <v>100</v>
      </c>
      <c r="X14" s="1486"/>
      <c r="Y14" s="3706" t="s">
        <v>2140</v>
      </c>
      <c r="Z14" s="1487" t="str">
        <f t="shared" si="7"/>
        <v>交通便捷度</v>
      </c>
      <c r="AA14" s="1484">
        <f t="shared" si="3"/>
        <v>1</v>
      </c>
      <c r="AB14" s="1484">
        <f t="shared" si="4"/>
        <v>1</v>
      </c>
      <c r="AC14" s="1484">
        <f t="shared" si="5"/>
        <v>1</v>
      </c>
    </row>
    <row r="15" spans="1:29" ht="15">
      <c r="A15" s="364"/>
      <c r="B15" s="602"/>
      <c r="C15" s="3271" t="s">
        <v>4012</v>
      </c>
      <c r="D15" s="407"/>
      <c r="E15" s="3271" t="s">
        <v>4012</v>
      </c>
      <c r="F15" s="408"/>
      <c r="G15" s="3271" t="s">
        <v>4012</v>
      </c>
      <c r="H15" s="409"/>
      <c r="I15" s="3271" t="s">
        <v>4012</v>
      </c>
      <c r="J15" s="407"/>
      <c r="K15" s="572"/>
      <c r="L15" s="2896"/>
      <c r="M15" s="2890"/>
      <c r="N15" s="2890"/>
      <c r="O15" s="2890"/>
      <c r="P15" s="3707"/>
      <c r="Q15" s="1483"/>
      <c r="R15" s="711"/>
      <c r="S15" s="712"/>
      <c r="T15" s="711"/>
      <c r="U15" s="712"/>
      <c r="V15" s="711"/>
      <c r="W15" s="712"/>
      <c r="X15" s="1486"/>
      <c r="Y15" s="3707"/>
      <c r="Z15" s="1487"/>
      <c r="AA15" s="1484">
        <v>1</v>
      </c>
      <c r="AB15" s="1484">
        <v>1</v>
      </c>
      <c r="AC15" s="1484">
        <v>1</v>
      </c>
    </row>
    <row r="16" spans="1:29" ht="42.75">
      <c r="A16" s="364"/>
      <c r="B16" s="587" t="s">
        <v>2268</v>
      </c>
      <c r="C16" s="203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707"/>
      <c r="Q16" s="1483" t="str">
        <f>B16</f>
        <v>公共配套设施</v>
      </c>
      <c r="R16" s="711" t="s">
        <v>17</v>
      </c>
      <c r="S16" s="712">
        <f>F16</f>
        <v>100</v>
      </c>
      <c r="T16" s="711" t="s">
        <v>17</v>
      </c>
      <c r="U16" s="712">
        <f>H16</f>
        <v>100</v>
      </c>
      <c r="V16" s="711" t="s">
        <v>17</v>
      </c>
      <c r="W16" s="712">
        <f>J16</f>
        <v>100</v>
      </c>
      <c r="X16" s="1486"/>
      <c r="Y16" s="3707"/>
      <c r="Z16" s="1487" t="str">
        <f>Q16</f>
        <v>公共配套设施</v>
      </c>
      <c r="AA16" s="1484">
        <f t="shared" si="3"/>
        <v>1</v>
      </c>
      <c r="AB16" s="1484">
        <f t="shared" si="4"/>
        <v>1</v>
      </c>
      <c r="AC16" s="1484">
        <f t="shared" si="5"/>
        <v>1</v>
      </c>
    </row>
    <row r="17" spans="1:29" ht="15">
      <c r="A17" s="364"/>
      <c r="B17" s="588"/>
      <c r="C17" s="3274" t="s">
        <v>4012</v>
      </c>
      <c r="D17" s="407"/>
      <c r="E17" s="3271" t="s">
        <v>4013</v>
      </c>
      <c r="F17" s="408"/>
      <c r="G17" s="3271" t="s">
        <v>4014</v>
      </c>
      <c r="H17" s="407"/>
      <c r="I17" s="3271" t="s">
        <v>4013</v>
      </c>
      <c r="J17" s="407"/>
      <c r="K17" s="572"/>
      <c r="L17" s="2896"/>
      <c r="M17" s="2890"/>
      <c r="N17" s="2890"/>
      <c r="O17" s="2890"/>
      <c r="P17" s="3707"/>
      <c r="Q17" s="1483"/>
      <c r="R17" s="711"/>
      <c r="S17" s="712"/>
      <c r="T17" s="711"/>
      <c r="U17" s="712"/>
      <c r="V17" s="711"/>
      <c r="W17" s="712"/>
      <c r="X17" s="1486"/>
      <c r="Y17" s="3707"/>
      <c r="Z17" s="1487"/>
      <c r="AA17" s="1484">
        <v>1</v>
      </c>
      <c r="AB17" s="1484">
        <v>1</v>
      </c>
      <c r="AC17" s="1484">
        <v>1</v>
      </c>
    </row>
    <row r="18" spans="1:29" ht="28.5">
      <c r="A18" s="364"/>
      <c r="B18" s="589" t="s">
        <v>2269</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707"/>
      <c r="Q18" s="1483" t="str">
        <f>B18</f>
        <v>基础设施水平</v>
      </c>
      <c r="R18" s="711" t="s">
        <v>17</v>
      </c>
      <c r="S18" s="712">
        <f>F18</f>
        <v>100</v>
      </c>
      <c r="T18" s="711" t="s">
        <v>17</v>
      </c>
      <c r="U18" s="712">
        <f>H18</f>
        <v>100</v>
      </c>
      <c r="V18" s="711" t="s">
        <v>17</v>
      </c>
      <c r="W18" s="712">
        <f>J18</f>
        <v>100</v>
      </c>
      <c r="X18" s="1486"/>
      <c r="Y18" s="3707"/>
      <c r="Z18" s="1487" t="str">
        <f>Q18</f>
        <v>基础设施水平</v>
      </c>
      <c r="AA18" s="1484">
        <f t="shared" ref="AA18" si="8">D18/F18</f>
        <v>1</v>
      </c>
      <c r="AB18" s="1484">
        <f t="shared" ref="AB18" si="9">D18/H18</f>
        <v>1</v>
      </c>
      <c r="AC18" s="1484">
        <f t="shared" ref="AC18" si="10">D18/J18</f>
        <v>1</v>
      </c>
    </row>
    <row r="19" spans="1:29" ht="15">
      <c r="A19" s="364"/>
      <c r="B19" s="589"/>
      <c r="C19" s="3274" t="s">
        <v>4015</v>
      </c>
      <c r="D19" s="409"/>
      <c r="E19" s="3274" t="s">
        <v>4015</v>
      </c>
      <c r="F19" s="412"/>
      <c r="G19" s="3274" t="s">
        <v>4015</v>
      </c>
      <c r="H19" s="407"/>
      <c r="I19" s="3271" t="s">
        <v>4015</v>
      </c>
      <c r="J19" s="407"/>
      <c r="K19" s="1241"/>
      <c r="L19" s="2896"/>
      <c r="M19" s="2890"/>
      <c r="N19" s="2890"/>
      <c r="O19" s="2890"/>
      <c r="P19" s="3707"/>
      <c r="Q19" s="1483"/>
      <c r="R19" s="711"/>
      <c r="S19" s="712"/>
      <c r="T19" s="711"/>
      <c r="U19" s="712"/>
      <c r="V19" s="711"/>
      <c r="W19" s="712"/>
      <c r="X19" s="1486"/>
      <c r="Y19" s="3707"/>
      <c r="Z19" s="1487"/>
      <c r="AA19" s="1484">
        <v>1</v>
      </c>
      <c r="AB19" s="1484">
        <v>1</v>
      </c>
      <c r="AC19" s="1484">
        <v>1</v>
      </c>
    </row>
    <row r="20" spans="1:29" ht="42.75">
      <c r="A20" s="364"/>
      <c r="B20" s="587" t="s">
        <v>2290</v>
      </c>
      <c r="C20" s="203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707"/>
      <c r="Q20" s="1483" t="str">
        <f>B20</f>
        <v>自然及人文环境</v>
      </c>
      <c r="R20" s="711" t="s">
        <v>17</v>
      </c>
      <c r="S20" s="712">
        <f>F20</f>
        <v>100</v>
      </c>
      <c r="T20" s="711" t="s">
        <v>17</v>
      </c>
      <c r="U20" s="712">
        <f>H20</f>
        <v>100</v>
      </c>
      <c r="V20" s="711" t="s">
        <v>17</v>
      </c>
      <c r="W20" s="712">
        <f>J20</f>
        <v>100</v>
      </c>
      <c r="X20" s="1486"/>
      <c r="Y20" s="3707"/>
      <c r="Z20" s="1487" t="str">
        <f>Q20</f>
        <v>自然及人文环境</v>
      </c>
      <c r="AA20" s="1484">
        <f t="shared" si="3"/>
        <v>1</v>
      </c>
      <c r="AB20" s="1484">
        <f t="shared" si="4"/>
        <v>1</v>
      </c>
      <c r="AC20" s="1484">
        <f t="shared" si="5"/>
        <v>1</v>
      </c>
    </row>
    <row r="21" spans="1:29" ht="15">
      <c r="A21" s="364"/>
      <c r="B21" s="588"/>
      <c r="C21" s="3271" t="s">
        <v>4012</v>
      </c>
      <c r="D21" s="407"/>
      <c r="E21" s="3271" t="s">
        <v>4013</v>
      </c>
      <c r="F21" s="408"/>
      <c r="G21" s="3271" t="s">
        <v>4013</v>
      </c>
      <c r="H21" s="407"/>
      <c r="I21" s="3271" t="s">
        <v>4013</v>
      </c>
      <c r="J21" s="407"/>
      <c r="K21" s="572"/>
      <c r="L21" s="2896"/>
      <c r="M21" s="2890"/>
      <c r="N21" s="2890"/>
      <c r="O21" s="2890"/>
      <c r="P21" s="3707"/>
      <c r="Q21" s="1483"/>
      <c r="R21" s="711"/>
      <c r="S21" s="712"/>
      <c r="T21" s="711"/>
      <c r="U21" s="712"/>
      <c r="V21" s="711"/>
      <c r="W21" s="712"/>
      <c r="X21" s="1486"/>
      <c r="Y21" s="3707"/>
      <c r="Z21" s="1487"/>
      <c r="AA21" s="1484">
        <v>1</v>
      </c>
      <c r="AB21" s="1484">
        <v>1</v>
      </c>
      <c r="AC21" s="1484">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707"/>
      <c r="Q22" s="1483" t="str">
        <f>B22</f>
        <v>楼层</v>
      </c>
      <c r="R22" s="711" t="s">
        <v>17</v>
      </c>
      <c r="S22" s="712">
        <f>F22</f>
        <v>100</v>
      </c>
      <c r="T22" s="711" t="s">
        <v>17</v>
      </c>
      <c r="U22" s="712">
        <f>H22</f>
        <v>100</v>
      </c>
      <c r="V22" s="711" t="s">
        <v>17</v>
      </c>
      <c r="W22" s="712">
        <f>J22</f>
        <v>100</v>
      </c>
      <c r="X22" s="1486"/>
      <c r="Y22" s="3707"/>
      <c r="Z22" s="1487" t="str">
        <f>Q22</f>
        <v>楼层</v>
      </c>
      <c r="AA22" s="1484">
        <f t="shared" si="3"/>
        <v>1</v>
      </c>
      <c r="AB22" s="1484">
        <f t="shared" si="4"/>
        <v>1</v>
      </c>
      <c r="AC22" s="1484">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707"/>
      <c r="Q23" s="1483">
        <f>B23</f>
        <v>111</v>
      </c>
      <c r="R23" s="711" t="s">
        <v>17</v>
      </c>
      <c r="S23" s="712">
        <f>F23</f>
        <v>100</v>
      </c>
      <c r="T23" s="711" t="s">
        <v>17</v>
      </c>
      <c r="U23" s="712">
        <f>H23</f>
        <v>100</v>
      </c>
      <c r="V23" s="711" t="s">
        <v>17</v>
      </c>
      <c r="W23" s="712">
        <f>J23</f>
        <v>100</v>
      </c>
      <c r="X23" s="1486"/>
      <c r="Y23" s="3707"/>
      <c r="Z23" s="1487">
        <f>Q23</f>
        <v>111</v>
      </c>
      <c r="AA23" s="1484">
        <f t="shared" si="3"/>
        <v>1</v>
      </c>
      <c r="AB23" s="1484">
        <f t="shared" si="4"/>
        <v>1</v>
      </c>
      <c r="AC23" s="1484">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707"/>
      <c r="Q24" s="1483">
        <f t="shared" ref="Q24:Q36" si="11">B24</f>
        <v>111</v>
      </c>
      <c r="R24" s="711" t="s">
        <v>17</v>
      </c>
      <c r="S24" s="712">
        <f>F24</f>
        <v>100</v>
      </c>
      <c r="T24" s="711" t="s">
        <v>17</v>
      </c>
      <c r="U24" s="712">
        <f>H24</f>
        <v>100</v>
      </c>
      <c r="V24" s="711" t="s">
        <v>17</v>
      </c>
      <c r="W24" s="712">
        <f>J24</f>
        <v>100</v>
      </c>
      <c r="X24" s="1486"/>
      <c r="Y24" s="3707"/>
      <c r="Z24" s="1487">
        <f>Q24</f>
        <v>111</v>
      </c>
      <c r="AA24" s="1484">
        <f t="shared" si="3"/>
        <v>1</v>
      </c>
      <c r="AB24" s="1484">
        <f t="shared" si="4"/>
        <v>1</v>
      </c>
      <c r="AC24" s="1484">
        <f t="shared" si="5"/>
        <v>1</v>
      </c>
    </row>
    <row r="25" spans="1:29" s="113" customFormat="1" ht="15.75" thickBot="1">
      <c r="A25" s="604"/>
      <c r="B25" s="591">
        <v>111</v>
      </c>
      <c r="C25" s="396"/>
      <c r="D25" s="605">
        <v>100</v>
      </c>
      <c r="E25" s="584"/>
      <c r="F25" s="606">
        <f>SUMIF(77:77,E25,78:78)-SUMIF(77:77,C25,78:78)+100</f>
        <v>100</v>
      </c>
      <c r="G25" s="584"/>
      <c r="H25" s="605">
        <f>SUMIF(77:77,G25,78:78)-SUMIF(77:77,C25,78:78)+100</f>
        <v>100</v>
      </c>
      <c r="I25" s="584"/>
      <c r="J25" s="605">
        <f>SUMIF(77:77,I25,78:78)-SUMIF(77:77,C25,78:78)+100</f>
        <v>100</v>
      </c>
      <c r="K25" s="570"/>
      <c r="L25" s="2891"/>
      <c r="M25" s="2892"/>
      <c r="N25" s="2892"/>
      <c r="O25" s="2892"/>
      <c r="P25" s="3707"/>
      <c r="Q25" s="1474">
        <f t="shared" si="11"/>
        <v>111</v>
      </c>
      <c r="R25" s="707" t="s">
        <v>17</v>
      </c>
      <c r="S25" s="708">
        <f>F25</f>
        <v>100</v>
      </c>
      <c r="T25" s="707" t="s">
        <v>17</v>
      </c>
      <c r="U25" s="708">
        <f>H25</f>
        <v>100</v>
      </c>
      <c r="V25" s="707" t="s">
        <v>17</v>
      </c>
      <c r="W25" s="708">
        <f>J25</f>
        <v>100</v>
      </c>
      <c r="X25" s="709"/>
      <c r="Y25" s="3707"/>
      <c r="Z25" s="55">
        <f>Q25</f>
        <v>111</v>
      </c>
      <c r="AA25" s="1484">
        <f>D25/F25</f>
        <v>1</v>
      </c>
      <c r="AB25" s="1484">
        <f>D25/H25</f>
        <v>1</v>
      </c>
      <c r="AC25" s="1484">
        <f>D25/J25</f>
        <v>1</v>
      </c>
    </row>
    <row r="26" spans="1:29" ht="28.5">
      <c r="A26" s="607" t="s">
        <v>2143</v>
      </c>
      <c r="B26" s="66" t="s">
        <v>2292</v>
      </c>
      <c r="C26" s="2104" t="str">
        <f>B1</f>
        <v>住宅</v>
      </c>
      <c r="D26" s="407">
        <v>100</v>
      </c>
      <c r="E26" s="3271" t="s">
        <v>4016</v>
      </c>
      <c r="F26" s="408">
        <f>SUMIF(79:79,E26,80:80)-SUMIF(79:79,C26,80:80)+100</f>
        <v>100</v>
      </c>
      <c r="G26" s="3271" t="s">
        <v>4016</v>
      </c>
      <c r="H26" s="407">
        <f>SUMIF(79:79,G26,80:80)-SUMIF(79:79,C26,80:80)+100</f>
        <v>100</v>
      </c>
      <c r="I26" s="3271" t="s">
        <v>4016</v>
      </c>
      <c r="J26" s="407">
        <f>SUMIF(79:79,I26,80:80)-SUMIF(79:79,C26,80:80)+100</f>
        <v>100</v>
      </c>
      <c r="K26" s="569"/>
      <c r="L26" s="2896"/>
      <c r="M26" s="2890"/>
      <c r="N26" s="2890"/>
      <c r="O26" s="2890"/>
      <c r="P26" s="3762" t="s">
        <v>2145</v>
      </c>
      <c r="Q26" s="1483" t="str">
        <f t="shared" si="11"/>
        <v>配套类型</v>
      </c>
      <c r="R26" s="711" t="s">
        <v>17</v>
      </c>
      <c r="S26" s="712">
        <f t="shared" ref="S26:S36" si="12">F26</f>
        <v>100</v>
      </c>
      <c r="T26" s="711" t="s">
        <v>17</v>
      </c>
      <c r="U26" s="712">
        <f t="shared" ref="U26:U36" si="13">H26</f>
        <v>100</v>
      </c>
      <c r="V26" s="711" t="s">
        <v>17</v>
      </c>
      <c r="W26" s="712">
        <f t="shared" ref="W26:W36" si="14">J26</f>
        <v>100</v>
      </c>
      <c r="X26" s="1486"/>
      <c r="Y26" s="3711" t="s">
        <v>2145</v>
      </c>
      <c r="Z26" s="1487" t="str">
        <f t="shared" ref="Z26:Z36" si="15">Q26</f>
        <v>配套类型</v>
      </c>
      <c r="AA26" s="1484">
        <f t="shared" si="3"/>
        <v>1</v>
      </c>
      <c r="AB26" s="1484">
        <f t="shared" si="4"/>
        <v>1</v>
      </c>
      <c r="AC26" s="1484">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711"/>
      <c r="Q27" s="713" t="str">
        <f t="shared" si="11"/>
        <v>项目停车位配比</v>
      </c>
      <c r="R27" s="714" t="s">
        <v>17</v>
      </c>
      <c r="S27" s="715">
        <f t="shared" si="12"/>
        <v>100</v>
      </c>
      <c r="T27" s="714" t="s">
        <v>17</v>
      </c>
      <c r="U27" s="715">
        <f t="shared" si="13"/>
        <v>100</v>
      </c>
      <c r="V27" s="714" t="s">
        <v>17</v>
      </c>
      <c r="W27" s="715">
        <f t="shared" si="14"/>
        <v>100</v>
      </c>
      <c r="X27" s="716"/>
      <c r="Y27" s="3711"/>
      <c r="Z27" s="717" t="str">
        <f t="shared" si="15"/>
        <v>项目停车位配比</v>
      </c>
      <c r="AA27" s="1484">
        <f t="shared" si="3"/>
        <v>1</v>
      </c>
      <c r="AB27" s="1484">
        <f t="shared" si="4"/>
        <v>1</v>
      </c>
      <c r="AC27" s="1484">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711"/>
      <c r="Q28" s="1483" t="str">
        <f t="shared" si="11"/>
        <v>公共部分装修</v>
      </c>
      <c r="R28" s="711" t="s">
        <v>17</v>
      </c>
      <c r="S28" s="712">
        <f t="shared" si="12"/>
        <v>100</v>
      </c>
      <c r="T28" s="711" t="s">
        <v>17</v>
      </c>
      <c r="U28" s="712">
        <f t="shared" si="13"/>
        <v>100</v>
      </c>
      <c r="V28" s="711" t="s">
        <v>17</v>
      </c>
      <c r="W28" s="712">
        <f t="shared" si="14"/>
        <v>100</v>
      </c>
      <c r="X28" s="1486"/>
      <c r="Y28" s="3711"/>
      <c r="Z28" s="1487" t="str">
        <f t="shared" si="15"/>
        <v>公共部分装修</v>
      </c>
      <c r="AA28" s="1484">
        <f t="shared" si="3"/>
        <v>1</v>
      </c>
      <c r="AB28" s="1484">
        <f t="shared" si="4"/>
        <v>1</v>
      </c>
      <c r="AC28" s="1484">
        <f t="shared" si="5"/>
        <v>1</v>
      </c>
    </row>
    <row r="29" spans="1:29" ht="15">
      <c r="A29" s="611"/>
      <c r="B29" s="3475" t="s">
        <v>2295</v>
      </c>
      <c r="C29" s="433">
        <v>0.75</v>
      </c>
      <c r="D29" s="394">
        <v>100</v>
      </c>
      <c r="E29" s="433">
        <v>0.75</v>
      </c>
      <c r="F29" s="420">
        <f>LOOKUP(E29,86:86,87:87)-LOOKUP(C29,86:86,87:87)+100</f>
        <v>100</v>
      </c>
      <c r="G29" s="433">
        <v>0.75</v>
      </c>
      <c r="H29" s="420">
        <f>LOOKUP(G29,86:86,87:87)-LOOKUP(C29,86:86,87:87)+100</f>
        <v>100</v>
      </c>
      <c r="I29" s="433">
        <v>0.75</v>
      </c>
      <c r="J29" s="394">
        <f>LOOKUP(I29,86:86,87:87)-LOOKUP(C29,86:86,87:87)+100</f>
        <v>100</v>
      </c>
      <c r="K29" s="569"/>
      <c r="L29" s="2896"/>
      <c r="M29" s="2890"/>
      <c r="N29" s="2890"/>
      <c r="O29" s="2890"/>
      <c r="P29" s="3711"/>
      <c r="Q29" s="1483" t="str">
        <f t="shared" si="11"/>
        <v>成新率</v>
      </c>
      <c r="R29" s="711" t="s">
        <v>17</v>
      </c>
      <c r="S29" s="712">
        <f t="shared" si="12"/>
        <v>100</v>
      </c>
      <c r="T29" s="711" t="s">
        <v>17</v>
      </c>
      <c r="U29" s="712">
        <f t="shared" si="13"/>
        <v>100</v>
      </c>
      <c r="V29" s="711" t="s">
        <v>17</v>
      </c>
      <c r="W29" s="712">
        <f t="shared" si="14"/>
        <v>100</v>
      </c>
      <c r="X29" s="1486"/>
      <c r="Y29" s="3711"/>
      <c r="Z29" s="1487" t="str">
        <f t="shared" si="15"/>
        <v>成新率</v>
      </c>
      <c r="AA29" s="1484">
        <f t="shared" si="3"/>
        <v>1</v>
      </c>
      <c r="AB29" s="1484">
        <f t="shared" si="4"/>
        <v>1</v>
      </c>
      <c r="AC29" s="1484">
        <f t="shared" si="5"/>
        <v>1</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711"/>
      <c r="Q30" s="1483" t="str">
        <f t="shared" si="11"/>
        <v>物业等级</v>
      </c>
      <c r="R30" s="711" t="s">
        <v>17</v>
      </c>
      <c r="S30" s="712">
        <f t="shared" si="12"/>
        <v>100</v>
      </c>
      <c r="T30" s="711" t="s">
        <v>17</v>
      </c>
      <c r="U30" s="712">
        <f t="shared" si="13"/>
        <v>100</v>
      </c>
      <c r="V30" s="711" t="s">
        <v>17</v>
      </c>
      <c r="W30" s="712">
        <f t="shared" si="14"/>
        <v>100</v>
      </c>
      <c r="X30" s="1486"/>
      <c r="Y30" s="3711"/>
      <c r="Z30" s="1487" t="str">
        <f t="shared" si="15"/>
        <v>物业等级</v>
      </c>
      <c r="AA30" s="1484">
        <f t="shared" si="3"/>
        <v>1</v>
      </c>
      <c r="AB30" s="1484">
        <f t="shared" si="4"/>
        <v>1</v>
      </c>
      <c r="AC30" s="1484">
        <f t="shared" si="5"/>
        <v>1</v>
      </c>
    </row>
    <row r="31" spans="1:29" s="113" customFormat="1" ht="15">
      <c r="A31" s="613"/>
      <c r="B31" s="609" t="s">
        <v>2297</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891"/>
      <c r="M31" s="2892"/>
      <c r="N31" s="2892"/>
      <c r="O31" s="2892"/>
      <c r="P31" s="3711"/>
      <c r="Q31" s="1474" t="str">
        <f t="shared" si="11"/>
        <v>停车位面积</v>
      </c>
      <c r="R31" s="707" t="s">
        <v>17</v>
      </c>
      <c r="S31" s="708">
        <f t="shared" si="12"/>
        <v>100</v>
      </c>
      <c r="T31" s="707" t="s">
        <v>17</v>
      </c>
      <c r="U31" s="708">
        <f t="shared" si="13"/>
        <v>100</v>
      </c>
      <c r="V31" s="707" t="s">
        <v>17</v>
      </c>
      <c r="W31" s="708">
        <f t="shared" si="14"/>
        <v>100</v>
      </c>
      <c r="X31" s="709"/>
      <c r="Y31" s="3711"/>
      <c r="Z31" s="55" t="str">
        <f t="shared" si="15"/>
        <v>停车位面积</v>
      </c>
      <c r="AA31" s="710">
        <f t="shared" si="3"/>
        <v>1</v>
      </c>
      <c r="AB31" s="710">
        <f t="shared" si="4"/>
        <v>1</v>
      </c>
      <c r="AC31" s="710">
        <f t="shared" si="5"/>
        <v>1</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711" t="s">
        <v>2145</v>
      </c>
      <c r="Q32" s="1483" t="str">
        <f t="shared" si="11"/>
        <v>车位类型</v>
      </c>
      <c r="R32" s="711" t="s">
        <v>17</v>
      </c>
      <c r="S32" s="712">
        <f t="shared" si="12"/>
        <v>100</v>
      </c>
      <c r="T32" s="711" t="s">
        <v>17</v>
      </c>
      <c r="U32" s="712">
        <f t="shared" si="13"/>
        <v>100</v>
      </c>
      <c r="V32" s="711" t="s">
        <v>17</v>
      </c>
      <c r="W32" s="712">
        <f t="shared" si="14"/>
        <v>100</v>
      </c>
      <c r="X32" s="1486"/>
      <c r="Y32" s="3711" t="s">
        <v>2145</v>
      </c>
      <c r="Z32" s="1487" t="str">
        <f t="shared" si="15"/>
        <v>车位类型</v>
      </c>
      <c r="AA32" s="1484">
        <f t="shared" si="3"/>
        <v>1</v>
      </c>
      <c r="AB32" s="1484">
        <f t="shared" si="4"/>
        <v>1</v>
      </c>
      <c r="AC32" s="1484">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711"/>
      <c r="Q33" s="1483" t="str">
        <f t="shared" si="11"/>
        <v>是否直接入户</v>
      </c>
      <c r="R33" s="711" t="s">
        <v>17</v>
      </c>
      <c r="S33" s="712">
        <f t="shared" si="12"/>
        <v>100</v>
      </c>
      <c r="T33" s="711" t="s">
        <v>17</v>
      </c>
      <c r="U33" s="712">
        <f t="shared" si="13"/>
        <v>100</v>
      </c>
      <c r="V33" s="711" t="s">
        <v>17</v>
      </c>
      <c r="W33" s="712">
        <f t="shared" si="14"/>
        <v>100</v>
      </c>
      <c r="X33" s="1486"/>
      <c r="Y33" s="3711"/>
      <c r="Z33" s="1487" t="str">
        <f t="shared" si="15"/>
        <v>是否直接入户</v>
      </c>
      <c r="AA33" s="1484">
        <f t="shared" si="3"/>
        <v>1</v>
      </c>
      <c r="AB33" s="1484">
        <f t="shared" si="4"/>
        <v>1</v>
      </c>
      <c r="AC33" s="1484">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711"/>
      <c r="Q34" s="1483">
        <f t="shared" si="11"/>
        <v>111</v>
      </c>
      <c r="R34" s="711" t="s">
        <v>17</v>
      </c>
      <c r="S34" s="712">
        <f t="shared" si="12"/>
        <v>100</v>
      </c>
      <c r="T34" s="711" t="s">
        <v>17</v>
      </c>
      <c r="U34" s="712">
        <f t="shared" si="13"/>
        <v>100</v>
      </c>
      <c r="V34" s="711" t="s">
        <v>17</v>
      </c>
      <c r="W34" s="712">
        <f t="shared" si="14"/>
        <v>100</v>
      </c>
      <c r="X34" s="1486"/>
      <c r="Y34" s="3711"/>
      <c r="Z34" s="1487">
        <f t="shared" si="15"/>
        <v>111</v>
      </c>
      <c r="AA34" s="1484">
        <f t="shared" si="3"/>
        <v>1</v>
      </c>
      <c r="AB34" s="1484">
        <f t="shared" si="4"/>
        <v>1</v>
      </c>
      <c r="AC34" s="1484">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711"/>
      <c r="Q35" s="713">
        <f t="shared" si="11"/>
        <v>111</v>
      </c>
      <c r="R35" s="714" t="s">
        <v>17</v>
      </c>
      <c r="S35" s="715">
        <f t="shared" si="12"/>
        <v>100</v>
      </c>
      <c r="T35" s="714" t="s">
        <v>17</v>
      </c>
      <c r="U35" s="715">
        <f t="shared" si="13"/>
        <v>100</v>
      </c>
      <c r="V35" s="714" t="s">
        <v>17</v>
      </c>
      <c r="W35" s="715">
        <f t="shared" si="14"/>
        <v>100</v>
      </c>
      <c r="X35" s="716"/>
      <c r="Y35" s="3711"/>
      <c r="Z35" s="717">
        <f t="shared" si="15"/>
        <v>111</v>
      </c>
      <c r="AA35" s="1484">
        <f t="shared" si="3"/>
        <v>1</v>
      </c>
      <c r="AB35" s="1484">
        <f t="shared" si="4"/>
        <v>1</v>
      </c>
      <c r="AC35" s="1484">
        <f t="shared" si="5"/>
        <v>1</v>
      </c>
    </row>
    <row r="36" spans="1:29" ht="15.75" thickBot="1">
      <c r="A36" s="614"/>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711"/>
      <c r="Q36" s="1483">
        <f t="shared" si="11"/>
        <v>111</v>
      </c>
      <c r="R36" s="711" t="s">
        <v>17</v>
      </c>
      <c r="S36" s="712">
        <f t="shared" si="12"/>
        <v>100</v>
      </c>
      <c r="T36" s="711" t="s">
        <v>17</v>
      </c>
      <c r="U36" s="712">
        <f t="shared" si="13"/>
        <v>100</v>
      </c>
      <c r="V36" s="711" t="s">
        <v>17</v>
      </c>
      <c r="W36" s="712">
        <f t="shared" si="14"/>
        <v>100</v>
      </c>
      <c r="X36" s="1486"/>
      <c r="Y36" s="3711"/>
      <c r="Z36" s="1487">
        <f t="shared" si="15"/>
        <v>111</v>
      </c>
      <c r="AA36" s="1484">
        <f t="shared" si="3"/>
        <v>1</v>
      </c>
      <c r="AB36" s="1484">
        <f t="shared" si="4"/>
        <v>1</v>
      </c>
      <c r="AC36" s="1484">
        <f t="shared" si="5"/>
        <v>1</v>
      </c>
    </row>
    <row r="37" spans="1:29" ht="15">
      <c r="A37" s="438" t="s">
        <v>2300</v>
      </c>
      <c r="B37" s="2105" t="s">
        <v>2301</v>
      </c>
      <c r="C37" s="1265" t="s">
        <v>1</v>
      </c>
      <c r="D37" s="1266"/>
      <c r="E37" s="1267">
        <v>200000</v>
      </c>
      <c r="F37" s="1268"/>
      <c r="G37" s="1269">
        <v>200000</v>
      </c>
      <c r="H37" s="1270"/>
      <c r="I37" s="1267">
        <v>230000</v>
      </c>
      <c r="J37" s="1270"/>
      <c r="K37" s="576"/>
      <c r="L37" s="2898"/>
      <c r="M37" s="2899"/>
      <c r="N37" s="2890"/>
      <c r="O37" s="2899"/>
      <c r="P37" s="3704" t="str">
        <f>A37</f>
        <v>成交单价</v>
      </c>
      <c r="Q37" s="3704"/>
      <c r="R37" s="3705">
        <f>E37</f>
        <v>200000</v>
      </c>
      <c r="S37" s="3705"/>
      <c r="T37" s="3705">
        <f>G37</f>
        <v>200000</v>
      </c>
      <c r="U37" s="3705"/>
      <c r="V37" s="3705">
        <f>I37</f>
        <v>230000</v>
      </c>
      <c r="W37" s="3705"/>
      <c r="X37" s="696"/>
      <c r="Y37" s="718"/>
      <c r="Z37" s="696"/>
      <c r="AA37" s="696"/>
      <c r="AB37" s="696"/>
      <c r="AC37" s="696"/>
    </row>
    <row r="38" spans="1:29" ht="15.75" thickBot="1">
      <c r="A38" s="445" t="s">
        <v>2302</v>
      </c>
      <c r="B38" s="446" t="str">
        <f>B37</f>
        <v>元/车位</v>
      </c>
      <c r="C38" s="1271">
        <f>R39</f>
        <v>210000</v>
      </c>
      <c r="D38" s="2484" t="s">
        <v>2638</v>
      </c>
      <c r="E38" s="1272">
        <f>R38</f>
        <v>200000</v>
      </c>
      <c r="F38" s="2485"/>
      <c r="G38" s="1271">
        <f>T38</f>
        <v>200000</v>
      </c>
      <c r="H38" s="2485"/>
      <c r="I38" s="1272">
        <f>V38</f>
        <v>230000</v>
      </c>
      <c r="J38" s="2485"/>
      <c r="K38" s="2487">
        <f>F38+H38+J38</f>
        <v>0</v>
      </c>
      <c r="L38" s="2898"/>
      <c r="M38" s="2899"/>
      <c r="N38" s="2899"/>
      <c r="O38" s="2899"/>
      <c r="P38" s="3704" t="str">
        <f>A38</f>
        <v>比较价值（元/平方米）</v>
      </c>
      <c r="Q38" s="3704"/>
      <c r="R38" s="3705">
        <f>IF(F1="售价",ROUND(PRODUCT(R37,AA7:AA36),0),ROUND(PRODUCT(R37,AA7:AA36),1))</f>
        <v>200000</v>
      </c>
      <c r="S38" s="3705"/>
      <c r="T38" s="3705">
        <f>IF(F1="售价",ROUND(PRODUCT(T37,AB7:AB36),0),ROUND(PRODUCT(T37,AB7:AB36),1))</f>
        <v>200000</v>
      </c>
      <c r="U38" s="3705"/>
      <c r="V38" s="3705">
        <f>IF(F1="售价",ROUND(PRODUCT(V37,AC7:AC36),0),ROUND(PRODUCT(V37,AC7:AC36),1))</f>
        <v>230000</v>
      </c>
      <c r="W38" s="3705"/>
      <c r="X38" s="696"/>
      <c r="Y38" s="696"/>
      <c r="Z38" s="696"/>
      <c r="AA38" s="696"/>
      <c r="AB38" s="696"/>
      <c r="AC38" s="696"/>
    </row>
    <row r="39" spans="1:29" ht="15.75" thickBot="1">
      <c r="A39" s="449" t="s">
        <v>2303</v>
      </c>
      <c r="B39" s="450"/>
      <c r="C39" s="1274">
        <f>R39</f>
        <v>210000</v>
      </c>
      <c r="D39" s="1274"/>
      <c r="E39" s="1274"/>
      <c r="F39" s="1274"/>
      <c r="G39" s="1274"/>
      <c r="H39" s="1274"/>
      <c r="I39" s="1274"/>
      <c r="J39" s="1274"/>
      <c r="K39" s="577"/>
      <c r="L39" s="2898"/>
      <c r="M39" s="2899"/>
      <c r="N39" s="2899"/>
      <c r="O39" s="2899"/>
      <c r="P39" s="3701" t="str">
        <f>A39</f>
        <v>估价对象XX用房的比较价值（楼面单价，元/平方米）</v>
      </c>
      <c r="Q39" s="3702"/>
      <c r="R39" s="3765">
        <f>IF(F1="售价",ROUND(IF(D38="简单平均",AVERAGE(R38:W38),R38*F38+T38*H38+V38*J38),0),ROUND(IF(D38="简单平均",AVERAGE(R38:V38),R38*F38+T38*H38+V38*J38),1))</f>
        <v>210000</v>
      </c>
      <c r="S39" s="3765"/>
      <c r="T39" s="3765"/>
      <c r="U39" s="3765"/>
      <c r="V39" s="3765"/>
      <c r="W39" s="3765"/>
      <c r="X39" s="696"/>
      <c r="Y39" s="696"/>
      <c r="Z39" s="696"/>
      <c r="AA39" s="696"/>
      <c r="AB39" s="696"/>
      <c r="AC39" s="696"/>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f>IF(E38&lt;G38,G38/E38-1,E38/G38-1)</f>
        <v>0</v>
      </c>
      <c r="F43" s="457" t="str">
        <f>IF(OR(E43&gt;=0.2,E43&lt;=-0.2),"超过20%","")</f>
        <v/>
      </c>
      <c r="G43" s="456">
        <f>IF(G38&lt;I38,I38/G38-1,G38/I38-1)</f>
        <v>0.14999999999999991</v>
      </c>
      <c r="H43" s="457" t="str">
        <f>IF(OR(G43&gt;=0.2,G43&lt;=-0.2),"超过20%","")</f>
        <v/>
      </c>
      <c r="I43" s="456">
        <f>IF(I38&lt;E38,E38/I38-1,I38/E38-1)</f>
        <v>0.14999999999999991</v>
      </c>
      <c r="J43" s="457" t="str">
        <f>IF(OR(I43&gt;=0.2,I43&lt;=-0.2),"超过20%","")</f>
        <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f>IF(E37&lt;G37,G37/E37-1,E37/G37-1)</f>
        <v>0</v>
      </c>
      <c r="F44" s="457" t="str">
        <f>IF(OR(E44&gt;=0.3,E44&lt;=-0.3),"超过30%","")</f>
        <v/>
      </c>
      <c r="G44" s="456">
        <f>IF(G37&lt;I37,I37/G37-1,G37/I37-1)</f>
        <v>0.14999999999999991</v>
      </c>
      <c r="H44" s="457" t="str">
        <f>IF(OR(G44&gt;=0.3,G44&lt;=-0.3),"超过30%","")</f>
        <v/>
      </c>
      <c r="I44" s="456">
        <f>IF(I37&lt;E37,E37/I37-1,I37/E37-1)</f>
        <v>0.14999999999999991</v>
      </c>
      <c r="J44" s="457" t="str">
        <f>IF(OR(I44&gt;=0.3,I44&lt;=-0.3),"超过30%","")</f>
        <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7" t="s">
        <v>2307</v>
      </c>
      <c r="B47" s="1036"/>
      <c r="C47" s="1049"/>
      <c r="D47" s="1049"/>
      <c r="E47" s="1049"/>
      <c r="F47" s="1278"/>
      <c r="G47" s="1278"/>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5" t="str">
        <f>YEAR(C7)&amp;"-"&amp;MONTH(C7)</f>
        <v>2022-12</v>
      </c>
      <c r="D48" s="1296">
        <f>EDATE(C48,-1)</f>
        <v>44866</v>
      </c>
      <c r="E48" s="1296">
        <f t="shared" ref="E48:O48" si="16">EDATE(D48,-1)</f>
        <v>44835</v>
      </c>
      <c r="F48" s="1296">
        <f t="shared" si="16"/>
        <v>44805</v>
      </c>
      <c r="G48" s="1296">
        <f t="shared" si="16"/>
        <v>44774</v>
      </c>
      <c r="H48" s="1296">
        <f t="shared" si="16"/>
        <v>44743</v>
      </c>
      <c r="I48" s="1296">
        <f t="shared" si="16"/>
        <v>44713</v>
      </c>
      <c r="J48" s="1296">
        <f t="shared" si="16"/>
        <v>44682</v>
      </c>
      <c r="K48" s="1296">
        <f t="shared" si="16"/>
        <v>44652</v>
      </c>
      <c r="L48" s="1296">
        <f t="shared" si="16"/>
        <v>44621</v>
      </c>
      <c r="M48" s="1296">
        <f t="shared" si="16"/>
        <v>44593</v>
      </c>
      <c r="N48" s="1296">
        <f t="shared" si="16"/>
        <v>44562</v>
      </c>
      <c r="O48" s="1296">
        <f t="shared" si="16"/>
        <v>44531</v>
      </c>
      <c r="P48" s="2933"/>
      <c r="Q48" s="2915"/>
      <c r="R48" s="2915"/>
      <c r="S48" s="2915"/>
      <c r="T48" s="2915"/>
      <c r="U48" s="2915"/>
      <c r="V48" s="2915"/>
      <c r="W48" s="2915"/>
      <c r="X48" s="2915"/>
      <c r="Y48" s="2915"/>
      <c r="Z48" s="2915"/>
      <c r="AA48" s="2915"/>
      <c r="AB48" s="2915"/>
      <c r="AC48" s="2915"/>
    </row>
    <row r="49" spans="1:29" s="113" customFormat="1" ht="15">
      <c r="A49" s="466"/>
      <c r="B49" s="467"/>
      <c r="C49" s="1288">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t="str">
        <f>C9</f>
        <v>车库</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0"/>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t="str">
        <f>C26</f>
        <v>住宅</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v>0</v>
      </c>
      <c r="D91" s="552">
        <v>30</v>
      </c>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v>100</v>
      </c>
      <c r="D92" s="493">
        <v>102</v>
      </c>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IF(C2="——",ROUND(C37*D3/10000,0),ROUND(C37*D3/10000,0)-D2)</f>
        <v>#DIV/0!</v>
      </c>
      <c r="C2" s="2014"/>
      <c r="D2" s="1016" t="e">
        <f ca="1">SUMIF(INDIRECT("'"&amp;F2&amp;"'"&amp;"!A:A"),"承租人权益价值",INDIRECT("'"&amp;F2&amp;"'"&amp;"!c:c"))</f>
        <v>#REF!</v>
      </c>
      <c r="E2" s="2015" t="s">
        <v>1908</v>
      </c>
      <c r="F2" s="2016"/>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87" t="s">
        <v>2226</v>
      </c>
      <c r="D4" s="3688"/>
      <c r="E4" s="3689" t="s">
        <v>2227</v>
      </c>
      <c r="F4" s="3690"/>
      <c r="G4" s="3687" t="s">
        <v>2228</v>
      </c>
      <c r="H4" s="3688"/>
      <c r="I4" s="3687" t="s">
        <v>2229</v>
      </c>
      <c r="J4" s="3688"/>
      <c r="K4" s="567" t="s">
        <v>2230</v>
      </c>
      <c r="L4" s="2889"/>
      <c r="M4" s="2890"/>
      <c r="N4" s="2890"/>
      <c r="O4" s="2890"/>
      <c r="P4" s="3691" t="s">
        <v>2231</v>
      </c>
      <c r="Q4" s="3692"/>
      <c r="R4" s="3674" t="s">
        <v>2227</v>
      </c>
      <c r="S4" s="3675"/>
      <c r="T4" s="3674" t="s">
        <v>2228</v>
      </c>
      <c r="U4" s="3675"/>
      <c r="V4" s="3699" t="s">
        <v>2229</v>
      </c>
      <c r="W4" s="3699"/>
      <c r="X4" s="1486"/>
      <c r="Y4" s="3674" t="s">
        <v>2231</v>
      </c>
      <c r="Z4" s="3675"/>
      <c r="AA4" s="3669" t="s">
        <v>2227</v>
      </c>
      <c r="AB4" s="3670" t="s">
        <v>2228</v>
      </c>
      <c r="AC4" s="3669" t="s">
        <v>2229</v>
      </c>
    </row>
    <row r="5" spans="1:29" ht="15">
      <c r="A5" s="364"/>
      <c r="B5" s="365"/>
      <c r="C5" s="3680" t="s">
        <v>2122</v>
      </c>
      <c r="D5" s="3681"/>
      <c r="E5" s="3678" t="s">
        <v>2123</v>
      </c>
      <c r="F5" s="3679"/>
      <c r="G5" s="3680" t="s">
        <v>2124</v>
      </c>
      <c r="H5" s="3681"/>
      <c r="I5" s="3680" t="s">
        <v>2125</v>
      </c>
      <c r="J5" s="3681"/>
      <c r="K5" s="567"/>
      <c r="L5" s="2889"/>
      <c r="M5" s="2890"/>
      <c r="N5" s="2890"/>
      <c r="O5" s="2890"/>
      <c r="P5" s="3693"/>
      <c r="Q5" s="3694"/>
      <c r="R5" s="3676"/>
      <c r="S5" s="3677"/>
      <c r="T5" s="3676"/>
      <c r="U5" s="3677"/>
      <c r="V5" s="3699"/>
      <c r="W5" s="3699"/>
      <c r="X5" s="1486"/>
      <c r="Y5" s="3676"/>
      <c r="Z5" s="3677"/>
      <c r="AA5" s="3670"/>
      <c r="AB5" s="3670"/>
      <c r="AC5" s="3670"/>
    </row>
    <row r="6" spans="1:29" ht="15.75" thickBot="1">
      <c r="A6" s="366"/>
      <c r="B6" s="367"/>
      <c r="C6" s="3682" t="s">
        <v>2126</v>
      </c>
      <c r="D6" s="3683"/>
      <c r="E6" s="3684" t="s">
        <v>2126</v>
      </c>
      <c r="F6" s="3685"/>
      <c r="G6" s="3682" t="s">
        <v>2126</v>
      </c>
      <c r="H6" s="3683"/>
      <c r="I6" s="3682" t="s">
        <v>2126</v>
      </c>
      <c r="J6" s="3683"/>
      <c r="K6" s="567" t="s">
        <v>2127</v>
      </c>
      <c r="L6" s="2889"/>
      <c r="M6" s="2890"/>
      <c r="N6" s="2890"/>
      <c r="O6" s="2890"/>
      <c r="P6" s="3695"/>
      <c r="Q6" s="3696"/>
      <c r="R6" s="3676"/>
      <c r="S6" s="3677"/>
      <c r="T6" s="3697"/>
      <c r="U6" s="3698"/>
      <c r="V6" s="3699"/>
      <c r="W6" s="3699"/>
      <c r="X6" s="1486"/>
      <c r="Y6" s="3697"/>
      <c r="Z6" s="3698"/>
      <c r="AA6" s="3671"/>
      <c r="AB6" s="3671"/>
      <c r="AC6" s="3671"/>
    </row>
    <row r="7" spans="1:29" s="113" customFormat="1" ht="15.75" thickBot="1">
      <c r="A7" s="368" t="s">
        <v>2128</v>
      </c>
      <c r="B7" s="369"/>
      <c r="C7" s="370">
        <f>'数据-取费表'!B2</f>
        <v>44901</v>
      </c>
      <c r="D7" s="371">
        <v>100</v>
      </c>
      <c r="E7" s="372"/>
      <c r="F7" s="373">
        <f>SUMIF(46:46,YEAR(E7)&amp;"-"&amp;MONTH(E7),47:47)</f>
        <v>0</v>
      </c>
      <c r="G7" s="2106"/>
      <c r="H7" s="371">
        <f>SUMIF(46:46,YEAR(G7)&amp;"-"&amp;MONTH(G7),47:47)</f>
        <v>0</v>
      </c>
      <c r="I7" s="372"/>
      <c r="J7" s="371">
        <f>SUMIF(46:46,YEAR(I7)&amp;"-"&amp;MONTH(I7),47:47)</f>
        <v>0</v>
      </c>
      <c r="K7" s="568"/>
      <c r="L7" s="2891"/>
      <c r="M7" s="2892"/>
      <c r="N7" s="2892"/>
      <c r="O7" s="2892"/>
      <c r="P7" s="3672" t="s">
        <v>2129</v>
      </c>
      <c r="Q7" s="3700"/>
      <c r="R7" s="707" t="s">
        <v>17</v>
      </c>
      <c r="S7" s="708">
        <f t="shared" ref="S7:S14" si="0">F7</f>
        <v>0</v>
      </c>
      <c r="T7" s="707" t="s">
        <v>17</v>
      </c>
      <c r="U7" s="708">
        <f t="shared" ref="U7:U14" si="1">H7</f>
        <v>0</v>
      </c>
      <c r="V7" s="707" t="s">
        <v>17</v>
      </c>
      <c r="W7" s="708">
        <f t="shared" ref="W7:W14" si="2">J7</f>
        <v>0</v>
      </c>
      <c r="X7" s="709"/>
      <c r="Y7" s="3672" t="s">
        <v>2129</v>
      </c>
      <c r="Z7" s="3673"/>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672" t="s">
        <v>2132</v>
      </c>
      <c r="Q8" s="3673"/>
      <c r="R8" s="707" t="s">
        <v>17</v>
      </c>
      <c r="S8" s="708">
        <f t="shared" si="0"/>
        <v>0</v>
      </c>
      <c r="T8" s="707" t="s">
        <v>17</v>
      </c>
      <c r="U8" s="708">
        <f t="shared" si="1"/>
        <v>0</v>
      </c>
      <c r="V8" s="707" t="s">
        <v>17</v>
      </c>
      <c r="W8" s="708">
        <f t="shared" si="2"/>
        <v>0</v>
      </c>
      <c r="X8" s="709"/>
      <c r="Y8" s="3672" t="s">
        <v>2132</v>
      </c>
      <c r="Z8" s="3673"/>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704" t="s">
        <v>2135</v>
      </c>
      <c r="Q9" s="1474" t="str">
        <f t="shared" ref="Q9:Q14" si="6">B9</f>
        <v>用途</v>
      </c>
      <c r="R9" s="707" t="s">
        <v>17</v>
      </c>
      <c r="S9" s="708">
        <f t="shared" si="0"/>
        <v>100</v>
      </c>
      <c r="T9" s="707" t="s">
        <v>17</v>
      </c>
      <c r="U9" s="708">
        <f t="shared" si="1"/>
        <v>100</v>
      </c>
      <c r="V9" s="707" t="s">
        <v>17</v>
      </c>
      <c r="W9" s="708">
        <f t="shared" si="2"/>
        <v>100</v>
      </c>
      <c r="X9" s="709"/>
      <c r="Y9" s="3642"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704"/>
      <c r="Q10" s="1474" t="str">
        <f t="shared" si="6"/>
        <v>土地使用年限（年）</v>
      </c>
      <c r="R10" s="707" t="s">
        <v>17</v>
      </c>
      <c r="S10" s="708">
        <f t="shared" si="0"/>
        <v>100</v>
      </c>
      <c r="T10" s="707" t="s">
        <v>17</v>
      </c>
      <c r="U10" s="708">
        <f t="shared" si="1"/>
        <v>100</v>
      </c>
      <c r="V10" s="707" t="s">
        <v>17</v>
      </c>
      <c r="W10" s="708">
        <f t="shared" si="2"/>
        <v>100</v>
      </c>
      <c r="X10" s="709"/>
      <c r="Y10" s="3642"/>
      <c r="Z10" s="55" t="str">
        <f t="shared" si="7"/>
        <v>土地使用年限（年）</v>
      </c>
      <c r="AA10" s="710">
        <f t="shared" si="3"/>
        <v>1</v>
      </c>
      <c r="AB10" s="710">
        <f t="shared" si="4"/>
        <v>1</v>
      </c>
      <c r="AC10" s="710">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704"/>
      <c r="Q11" s="1474">
        <f t="shared" si="6"/>
        <v>111</v>
      </c>
      <c r="R11" s="707" t="s">
        <v>17</v>
      </c>
      <c r="S11" s="708">
        <f t="shared" si="0"/>
        <v>100</v>
      </c>
      <c r="T11" s="707" t="s">
        <v>17</v>
      </c>
      <c r="U11" s="708">
        <f t="shared" si="1"/>
        <v>100</v>
      </c>
      <c r="V11" s="707" t="s">
        <v>17</v>
      </c>
      <c r="W11" s="708">
        <f t="shared" si="2"/>
        <v>100</v>
      </c>
      <c r="X11" s="709"/>
      <c r="Y11" s="3642"/>
      <c r="Z11" s="55">
        <f t="shared" si="7"/>
        <v>111</v>
      </c>
      <c r="AA11" s="710">
        <f t="shared" si="3"/>
        <v>1</v>
      </c>
      <c r="AB11" s="710">
        <f t="shared" si="4"/>
        <v>1</v>
      </c>
      <c r="AC11" s="710">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704"/>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710">
        <f>D12/J12</f>
        <v>1</v>
      </c>
    </row>
    <row r="13" spans="1:29" ht="15.75" thickBot="1">
      <c r="A13" s="387"/>
      <c r="B13" s="2025">
        <v>111</v>
      </c>
      <c r="C13" s="393"/>
      <c r="D13" s="394">
        <v>100</v>
      </c>
      <c r="E13" s="428"/>
      <c r="F13" s="384">
        <f>SUMIF(59:59,E13,60:60)-SUMIF(59:59,C13,60:60)+100</f>
        <v>100</v>
      </c>
      <c r="G13" s="2107"/>
      <c r="H13" s="397">
        <f>SUMIF(59:59,G13,60:60)-SUMIF(59:59,C13,60:60)+100</f>
        <v>100</v>
      </c>
      <c r="I13" s="428"/>
      <c r="J13" s="394">
        <f>SUMIF(59:59,I13,60:60)-SUMIF(59:59,C13,60:60)+100</f>
        <v>100</v>
      </c>
      <c r="K13" s="570"/>
      <c r="L13" s="2896"/>
      <c r="M13" s="2890"/>
      <c r="N13" s="2890"/>
      <c r="O13" s="2948"/>
      <c r="P13" s="3704"/>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710">
        <f t="shared" si="5"/>
        <v>1</v>
      </c>
    </row>
    <row r="14" spans="1:29" ht="85.5">
      <c r="A14" s="399" t="s">
        <v>2139</v>
      </c>
      <c r="B14" s="65" t="s">
        <v>2289</v>
      </c>
      <c r="C14" s="210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706" t="s">
        <v>2140</v>
      </c>
      <c r="Q14" s="1483" t="str">
        <f t="shared" si="6"/>
        <v>交通便捷度</v>
      </c>
      <c r="R14" s="711" t="s">
        <v>17</v>
      </c>
      <c r="S14" s="712">
        <f t="shared" si="0"/>
        <v>100</v>
      </c>
      <c r="T14" s="711" t="s">
        <v>17</v>
      </c>
      <c r="U14" s="712">
        <f t="shared" si="1"/>
        <v>100</v>
      </c>
      <c r="V14" s="711" t="s">
        <v>17</v>
      </c>
      <c r="W14" s="712">
        <f t="shared" si="2"/>
        <v>100</v>
      </c>
      <c r="X14" s="1486"/>
      <c r="Y14" s="3706" t="s">
        <v>2140</v>
      </c>
      <c r="Z14" s="1487" t="str">
        <f t="shared" si="7"/>
        <v>交通便捷度</v>
      </c>
      <c r="AA14" s="1484">
        <f t="shared" si="3"/>
        <v>1</v>
      </c>
      <c r="AB14" s="1484">
        <f t="shared" si="4"/>
        <v>1</v>
      </c>
      <c r="AC14" s="1484">
        <f t="shared" si="5"/>
        <v>1</v>
      </c>
    </row>
    <row r="15" spans="1:29" ht="15">
      <c r="A15" s="387"/>
      <c r="B15" s="405"/>
      <c r="C15" s="406"/>
      <c r="D15" s="407"/>
      <c r="E15" s="406"/>
      <c r="F15" s="408"/>
      <c r="G15" s="406"/>
      <c r="H15" s="409"/>
      <c r="I15" s="406"/>
      <c r="J15" s="407"/>
      <c r="K15" s="572"/>
      <c r="L15" s="2896"/>
      <c r="M15" s="2890"/>
      <c r="N15" s="2890"/>
      <c r="O15" s="2948"/>
      <c r="P15" s="3707"/>
      <c r="Q15" s="1483"/>
      <c r="R15" s="711"/>
      <c r="S15" s="712"/>
      <c r="T15" s="711"/>
      <c r="U15" s="712"/>
      <c r="V15" s="711"/>
      <c r="W15" s="712"/>
      <c r="X15" s="1486"/>
      <c r="Y15" s="3707"/>
      <c r="Z15" s="1487"/>
      <c r="AA15" s="1484">
        <v>1</v>
      </c>
      <c r="AB15" s="1484">
        <v>1</v>
      </c>
      <c r="AC15" s="1484">
        <v>1</v>
      </c>
    </row>
    <row r="16" spans="1:29" ht="42.75">
      <c r="A16" s="387"/>
      <c r="B16" s="410" t="s">
        <v>2268</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707"/>
      <c r="Q16" s="1483" t="str">
        <f>B16</f>
        <v>公共配套设施</v>
      </c>
      <c r="R16" s="711" t="s">
        <v>17</v>
      </c>
      <c r="S16" s="712">
        <f>F16</f>
        <v>100</v>
      </c>
      <c r="T16" s="711" t="s">
        <v>17</v>
      </c>
      <c r="U16" s="712">
        <f>H16</f>
        <v>100</v>
      </c>
      <c r="V16" s="711" t="s">
        <v>17</v>
      </c>
      <c r="W16" s="712">
        <f>J16</f>
        <v>100</v>
      </c>
      <c r="X16" s="1486"/>
      <c r="Y16" s="3707"/>
      <c r="Z16" s="1487" t="str">
        <f>Q16</f>
        <v>公共配套设施</v>
      </c>
      <c r="AA16" s="1484">
        <f t="shared" si="3"/>
        <v>1</v>
      </c>
      <c r="AB16" s="1484">
        <f t="shared" si="4"/>
        <v>1</v>
      </c>
      <c r="AC16" s="1484">
        <f t="shared" si="5"/>
        <v>1</v>
      </c>
    </row>
    <row r="17" spans="1:29" ht="15">
      <c r="A17" s="387"/>
      <c r="B17" s="415"/>
      <c r="C17" s="2033"/>
      <c r="D17" s="407"/>
      <c r="E17" s="406"/>
      <c r="F17" s="408"/>
      <c r="G17" s="406"/>
      <c r="H17" s="407"/>
      <c r="I17" s="406"/>
      <c r="J17" s="407"/>
      <c r="K17" s="572"/>
      <c r="L17" s="2896"/>
      <c r="M17" s="2890"/>
      <c r="N17" s="2890"/>
      <c r="O17" s="2948"/>
      <c r="P17" s="3707"/>
      <c r="Q17" s="1483"/>
      <c r="R17" s="711"/>
      <c r="S17" s="712"/>
      <c r="T17" s="711"/>
      <c r="U17" s="712"/>
      <c r="V17" s="711"/>
      <c r="W17" s="712"/>
      <c r="X17" s="1486"/>
      <c r="Y17" s="3707"/>
      <c r="Z17" s="1487"/>
      <c r="AA17" s="1484">
        <v>1</v>
      </c>
      <c r="AB17" s="1484">
        <v>1</v>
      </c>
      <c r="AC17" s="1484">
        <v>1</v>
      </c>
    </row>
    <row r="18" spans="1:29" ht="28.5">
      <c r="A18" s="387"/>
      <c r="B18" s="1242" t="s">
        <v>2269</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707"/>
      <c r="Q18" s="1483" t="str">
        <f>B18</f>
        <v>基础设施水平</v>
      </c>
      <c r="R18" s="711" t="s">
        <v>17</v>
      </c>
      <c r="S18" s="712">
        <f>F18</f>
        <v>100</v>
      </c>
      <c r="T18" s="711" t="s">
        <v>17</v>
      </c>
      <c r="U18" s="712">
        <f>H18</f>
        <v>100</v>
      </c>
      <c r="V18" s="711" t="s">
        <v>17</v>
      </c>
      <c r="W18" s="712">
        <f>J18</f>
        <v>100</v>
      </c>
      <c r="X18" s="1486"/>
      <c r="Y18" s="3707"/>
      <c r="Z18" s="1487" t="str">
        <f>Q18</f>
        <v>基础设施水平</v>
      </c>
      <c r="AA18" s="1484">
        <f t="shared" ref="AA18" si="8">D18/F18</f>
        <v>1</v>
      </c>
      <c r="AB18" s="1484">
        <f t="shared" ref="AB18" si="9">D18/H18</f>
        <v>1</v>
      </c>
      <c r="AC18" s="1484">
        <f t="shared" ref="AC18" si="10">D18/J18</f>
        <v>1</v>
      </c>
    </row>
    <row r="19" spans="1:29" ht="15">
      <c r="A19" s="387"/>
      <c r="B19" s="1242"/>
      <c r="C19" s="2033"/>
      <c r="D19" s="409"/>
      <c r="E19" s="2033"/>
      <c r="F19" s="412"/>
      <c r="G19" s="2033"/>
      <c r="H19" s="407"/>
      <c r="I19" s="406"/>
      <c r="J19" s="407"/>
      <c r="K19" s="1241"/>
      <c r="L19" s="2896"/>
      <c r="M19" s="2890"/>
      <c r="N19" s="2890"/>
      <c r="O19" s="2948"/>
      <c r="P19" s="3707"/>
      <c r="Q19" s="1483"/>
      <c r="R19" s="711"/>
      <c r="S19" s="712"/>
      <c r="T19" s="711"/>
      <c r="U19" s="712"/>
      <c r="V19" s="711"/>
      <c r="W19" s="712"/>
      <c r="X19" s="1486"/>
      <c r="Y19" s="3707"/>
      <c r="Z19" s="1487"/>
      <c r="AA19" s="1484">
        <v>1</v>
      </c>
      <c r="AB19" s="1484">
        <v>1</v>
      </c>
      <c r="AC19" s="1484">
        <v>1</v>
      </c>
    </row>
    <row r="20" spans="1:29" ht="57">
      <c r="A20" s="387"/>
      <c r="B20" s="410" t="s">
        <v>2290</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707"/>
      <c r="Q20" s="1483" t="str">
        <f>B20</f>
        <v>自然及人文环境</v>
      </c>
      <c r="R20" s="711" t="s">
        <v>17</v>
      </c>
      <c r="S20" s="712">
        <f>F20</f>
        <v>100</v>
      </c>
      <c r="T20" s="711" t="s">
        <v>17</v>
      </c>
      <c r="U20" s="712">
        <f>H20</f>
        <v>100</v>
      </c>
      <c r="V20" s="711" t="s">
        <v>17</v>
      </c>
      <c r="W20" s="712">
        <f>J20</f>
        <v>100</v>
      </c>
      <c r="X20" s="1486"/>
      <c r="Y20" s="3707"/>
      <c r="Z20" s="1487" t="str">
        <f>Q20</f>
        <v>自然及人文环境</v>
      </c>
      <c r="AA20" s="1484">
        <f t="shared" si="3"/>
        <v>1</v>
      </c>
      <c r="AB20" s="1484">
        <f t="shared" si="4"/>
        <v>1</v>
      </c>
      <c r="AC20" s="1484">
        <f t="shared" si="5"/>
        <v>1</v>
      </c>
    </row>
    <row r="21" spans="1:29" ht="15">
      <c r="A21" s="387"/>
      <c r="B21" s="415"/>
      <c r="C21" s="406"/>
      <c r="D21" s="407"/>
      <c r="E21" s="406"/>
      <c r="F21" s="408"/>
      <c r="G21" s="406"/>
      <c r="H21" s="407"/>
      <c r="I21" s="406"/>
      <c r="J21" s="407"/>
      <c r="K21" s="572"/>
      <c r="L21" s="2896"/>
      <c r="M21" s="2890"/>
      <c r="N21" s="2890"/>
      <c r="O21" s="2948"/>
      <c r="P21" s="3707"/>
      <c r="Q21" s="1483"/>
      <c r="R21" s="711"/>
      <c r="S21" s="712"/>
      <c r="T21" s="711"/>
      <c r="U21" s="712"/>
      <c r="V21" s="711"/>
      <c r="W21" s="712"/>
      <c r="X21" s="1486"/>
      <c r="Y21" s="3707"/>
      <c r="Z21" s="1487"/>
      <c r="AA21" s="1484">
        <v>1</v>
      </c>
      <c r="AB21" s="1484">
        <v>1</v>
      </c>
      <c r="AC21" s="1484">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707"/>
      <c r="Q22" s="1483" t="str">
        <f>B22</f>
        <v>楼层</v>
      </c>
      <c r="R22" s="711" t="s">
        <v>17</v>
      </c>
      <c r="S22" s="712">
        <f>F22</f>
        <v>100</v>
      </c>
      <c r="T22" s="711" t="s">
        <v>17</v>
      </c>
      <c r="U22" s="712">
        <f>H22</f>
        <v>100</v>
      </c>
      <c r="V22" s="711" t="s">
        <v>17</v>
      </c>
      <c r="W22" s="712">
        <f>J22</f>
        <v>100</v>
      </c>
      <c r="X22" s="1486"/>
      <c r="Y22" s="3707"/>
      <c r="Z22" s="1487" t="str">
        <f>Q22</f>
        <v>楼层</v>
      </c>
      <c r="AA22" s="1484">
        <f t="shared" si="3"/>
        <v>1</v>
      </c>
      <c r="AB22" s="1484">
        <f t="shared" si="4"/>
        <v>1</v>
      </c>
      <c r="AC22" s="1484">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707"/>
      <c r="Q23" s="1483">
        <f>B23</f>
        <v>111</v>
      </c>
      <c r="R23" s="711" t="s">
        <v>17</v>
      </c>
      <c r="S23" s="712">
        <f>F23</f>
        <v>100</v>
      </c>
      <c r="T23" s="711" t="s">
        <v>17</v>
      </c>
      <c r="U23" s="712">
        <f>H23</f>
        <v>100</v>
      </c>
      <c r="V23" s="711" t="s">
        <v>17</v>
      </c>
      <c r="W23" s="712">
        <f>J23</f>
        <v>100</v>
      </c>
      <c r="X23" s="1486"/>
      <c r="Y23" s="3707"/>
      <c r="Z23" s="1487">
        <f>Q23</f>
        <v>111</v>
      </c>
      <c r="AA23" s="1484">
        <f t="shared" si="3"/>
        <v>1</v>
      </c>
      <c r="AB23" s="1484">
        <f t="shared" si="4"/>
        <v>1</v>
      </c>
      <c r="AC23" s="1484">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707"/>
      <c r="Q24" s="1483">
        <f t="shared" ref="Q24:Q34" si="11">B24</f>
        <v>111</v>
      </c>
      <c r="R24" s="711" t="s">
        <v>17</v>
      </c>
      <c r="S24" s="712">
        <f>F24</f>
        <v>100</v>
      </c>
      <c r="T24" s="711" t="s">
        <v>17</v>
      </c>
      <c r="U24" s="712">
        <f>H24</f>
        <v>100</v>
      </c>
      <c r="V24" s="711" t="s">
        <v>17</v>
      </c>
      <c r="W24" s="712">
        <f>J24</f>
        <v>100</v>
      </c>
      <c r="X24" s="1486"/>
      <c r="Y24" s="3707"/>
      <c r="Z24" s="1487">
        <f>Q24</f>
        <v>111</v>
      </c>
      <c r="AA24" s="1484">
        <f t="shared" si="3"/>
        <v>1</v>
      </c>
      <c r="AB24" s="1484">
        <f t="shared" si="4"/>
        <v>1</v>
      </c>
      <c r="AC24" s="1484">
        <f t="shared" si="5"/>
        <v>1</v>
      </c>
    </row>
    <row r="25" spans="1:29" s="113" customFormat="1" ht="15.75" thickBot="1">
      <c r="A25" s="390"/>
      <c r="B25" s="2025">
        <v>111</v>
      </c>
      <c r="C25" s="2108"/>
      <c r="D25" s="620">
        <v>100</v>
      </c>
      <c r="E25" s="2108"/>
      <c r="F25" s="621">
        <f>SUMIF(75:75,E25,76:76)-SUMIF(75:75,C25,76:76)+100</f>
        <v>100</v>
      </c>
      <c r="G25" s="2108"/>
      <c r="H25" s="620">
        <f>SUMIF(75:75,G25,76:76)-SUMIF(75:75,C25,76:76)+100</f>
        <v>100</v>
      </c>
      <c r="I25" s="2108"/>
      <c r="J25" s="620">
        <f>SUMIF(75:75,I25,76:76)-SUMIF(75:75,C25,76:76)+100</f>
        <v>100</v>
      </c>
      <c r="K25" s="570"/>
      <c r="L25" s="2891"/>
      <c r="M25" s="2892"/>
      <c r="N25" s="2892"/>
      <c r="O25" s="2946"/>
      <c r="P25" s="3707"/>
      <c r="Q25" s="1474">
        <f t="shared" si="11"/>
        <v>111</v>
      </c>
      <c r="R25" s="707" t="s">
        <v>17</v>
      </c>
      <c r="S25" s="708">
        <f>F25</f>
        <v>100</v>
      </c>
      <c r="T25" s="707" t="s">
        <v>17</v>
      </c>
      <c r="U25" s="708">
        <f>H25</f>
        <v>100</v>
      </c>
      <c r="V25" s="707" t="s">
        <v>17</v>
      </c>
      <c r="W25" s="708">
        <f>J25</f>
        <v>100</v>
      </c>
      <c r="X25" s="709"/>
      <c r="Y25" s="3707"/>
      <c r="Z25" s="55">
        <f>Q25</f>
        <v>111</v>
      </c>
      <c r="AA25" s="1484">
        <f>D25/F25</f>
        <v>1</v>
      </c>
      <c r="AB25" s="1484">
        <f>D25/H25</f>
        <v>1</v>
      </c>
      <c r="AC25" s="1484">
        <f>D25/J25</f>
        <v>1</v>
      </c>
    </row>
    <row r="26" spans="1:29" ht="28.5">
      <c r="A26" s="425" t="s">
        <v>2143</v>
      </c>
      <c r="B26" s="67" t="s">
        <v>2294</v>
      </c>
      <c r="C26" s="2099"/>
      <c r="D26" s="426">
        <v>100</v>
      </c>
      <c r="E26" s="2099"/>
      <c r="F26" s="622">
        <f>SUMIF(77:77,E26,78:78)-SUMIF(77:77,C26,78:78)+100</f>
        <v>100</v>
      </c>
      <c r="G26" s="2099"/>
      <c r="H26" s="426">
        <f>SUMIF(77:77,G26,78:78)-SUMIF(77:77,C26,78:78)+100</f>
        <v>100</v>
      </c>
      <c r="I26" s="2099"/>
      <c r="J26" s="426">
        <f>SUMIF(77:77,I26,78:78)-SUMIF(77:77,C26,78:78)+100</f>
        <v>100</v>
      </c>
      <c r="K26" s="569"/>
      <c r="L26" s="2896"/>
      <c r="M26" s="2890"/>
      <c r="N26" s="2890"/>
      <c r="O26" s="2948"/>
      <c r="P26" s="3762" t="s">
        <v>2145</v>
      </c>
      <c r="Q26" s="1483" t="str">
        <f t="shared" si="11"/>
        <v>公共部分装修</v>
      </c>
      <c r="R26" s="711" t="s">
        <v>17</v>
      </c>
      <c r="S26" s="712">
        <f t="shared" ref="S26:S34" si="12">F26</f>
        <v>100</v>
      </c>
      <c r="T26" s="711" t="s">
        <v>17</v>
      </c>
      <c r="U26" s="712">
        <f t="shared" ref="U26:U34" si="13">H26</f>
        <v>100</v>
      </c>
      <c r="V26" s="711" t="s">
        <v>17</v>
      </c>
      <c r="W26" s="712">
        <f t="shared" ref="W26:W34" si="14">J26</f>
        <v>100</v>
      </c>
      <c r="X26" s="1486"/>
      <c r="Y26" s="3711" t="s">
        <v>2145</v>
      </c>
      <c r="Z26" s="1487" t="str">
        <f t="shared" ref="Z26:Z34" si="15">Q26</f>
        <v>公共部分装修</v>
      </c>
      <c r="AA26" s="1484">
        <f t="shared" si="3"/>
        <v>1</v>
      </c>
      <c r="AB26" s="1484">
        <f t="shared" si="4"/>
        <v>1</v>
      </c>
      <c r="AC26" s="1484">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711"/>
      <c r="Q27" s="713" t="str">
        <f t="shared" si="11"/>
        <v>成新率</v>
      </c>
      <c r="R27" s="714" t="s">
        <v>17</v>
      </c>
      <c r="S27" s="715" t="e">
        <f t="shared" si="12"/>
        <v>#N/A</v>
      </c>
      <c r="T27" s="714" t="s">
        <v>17</v>
      </c>
      <c r="U27" s="715" t="e">
        <f t="shared" si="13"/>
        <v>#N/A</v>
      </c>
      <c r="V27" s="714" t="s">
        <v>17</v>
      </c>
      <c r="W27" s="715" t="e">
        <f t="shared" si="14"/>
        <v>#N/A</v>
      </c>
      <c r="X27" s="716"/>
      <c r="Y27" s="3711"/>
      <c r="Z27" s="717" t="str">
        <f t="shared" si="15"/>
        <v>成新率</v>
      </c>
      <c r="AA27" s="1484" t="e">
        <f t="shared" si="3"/>
        <v>#N/A</v>
      </c>
      <c r="AB27" s="1484" t="e">
        <f t="shared" si="4"/>
        <v>#N/A</v>
      </c>
      <c r="AC27" s="1484"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711"/>
      <c r="Q28" s="1483" t="str">
        <f t="shared" si="11"/>
        <v>物业等级</v>
      </c>
      <c r="R28" s="711" t="s">
        <v>17</v>
      </c>
      <c r="S28" s="712">
        <f t="shared" si="12"/>
        <v>100</v>
      </c>
      <c r="T28" s="711" t="s">
        <v>17</v>
      </c>
      <c r="U28" s="712">
        <f t="shared" si="13"/>
        <v>100</v>
      </c>
      <c r="V28" s="711" t="s">
        <v>17</v>
      </c>
      <c r="W28" s="712">
        <f t="shared" si="14"/>
        <v>100</v>
      </c>
      <c r="X28" s="1486"/>
      <c r="Y28" s="3711"/>
      <c r="Z28" s="1487" t="str">
        <f t="shared" si="15"/>
        <v>物业等级</v>
      </c>
      <c r="AA28" s="1484">
        <f t="shared" si="3"/>
        <v>1</v>
      </c>
      <c r="AB28" s="1484">
        <f t="shared" si="4"/>
        <v>1</v>
      </c>
      <c r="AC28" s="1484">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711"/>
      <c r="Q29" s="1483" t="str">
        <f t="shared" si="11"/>
        <v>有无电梯</v>
      </c>
      <c r="R29" s="711" t="s">
        <v>17</v>
      </c>
      <c r="S29" s="712">
        <f t="shared" si="12"/>
        <v>100</v>
      </c>
      <c r="T29" s="711" t="s">
        <v>17</v>
      </c>
      <c r="U29" s="712">
        <f t="shared" si="13"/>
        <v>100</v>
      </c>
      <c r="V29" s="711" t="s">
        <v>17</v>
      </c>
      <c r="W29" s="712">
        <f t="shared" si="14"/>
        <v>100</v>
      </c>
      <c r="X29" s="1486"/>
      <c r="Y29" s="3711"/>
      <c r="Z29" s="1487" t="str">
        <f t="shared" si="15"/>
        <v>有无电梯</v>
      </c>
      <c r="AA29" s="1484">
        <f t="shared" si="3"/>
        <v>1</v>
      </c>
      <c r="AB29" s="1484">
        <f t="shared" si="4"/>
        <v>1</v>
      </c>
      <c r="AC29" s="1484">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711"/>
      <c r="Q30" s="1483" t="str">
        <f t="shared" si="11"/>
        <v>建筑面积</v>
      </c>
      <c r="R30" s="711" t="s">
        <v>17</v>
      </c>
      <c r="S30" s="712" t="e">
        <f t="shared" si="12"/>
        <v>#N/A</v>
      </c>
      <c r="T30" s="711" t="s">
        <v>17</v>
      </c>
      <c r="U30" s="712" t="e">
        <f t="shared" si="13"/>
        <v>#N/A</v>
      </c>
      <c r="V30" s="711" t="s">
        <v>17</v>
      </c>
      <c r="W30" s="712" t="e">
        <f t="shared" si="14"/>
        <v>#N/A</v>
      </c>
      <c r="X30" s="1486"/>
      <c r="Y30" s="3711"/>
      <c r="Z30" s="1487" t="str">
        <f t="shared" si="15"/>
        <v>建筑面积</v>
      </c>
      <c r="AA30" s="1484" t="e">
        <f t="shared" si="3"/>
        <v>#N/A</v>
      </c>
      <c r="AB30" s="1484" t="e">
        <f t="shared" si="4"/>
        <v>#N/A</v>
      </c>
      <c r="AC30" s="1484"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711"/>
      <c r="Q31" s="1474" t="str">
        <f t="shared" si="11"/>
        <v>是否封闭</v>
      </c>
      <c r="R31" s="707" t="s">
        <v>17</v>
      </c>
      <c r="S31" s="708">
        <f t="shared" si="12"/>
        <v>100</v>
      </c>
      <c r="T31" s="707" t="s">
        <v>17</v>
      </c>
      <c r="U31" s="708">
        <f t="shared" si="13"/>
        <v>100</v>
      </c>
      <c r="V31" s="707" t="s">
        <v>17</v>
      </c>
      <c r="W31" s="708">
        <f t="shared" si="14"/>
        <v>100</v>
      </c>
      <c r="X31" s="709"/>
      <c r="Y31" s="3711"/>
      <c r="Z31" s="55" t="str">
        <f t="shared" si="15"/>
        <v>是否封闭</v>
      </c>
      <c r="AA31" s="710">
        <f t="shared" si="3"/>
        <v>1</v>
      </c>
      <c r="AB31" s="710">
        <f t="shared" si="4"/>
        <v>1</v>
      </c>
      <c r="AC31" s="710">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711" t="s">
        <v>2145</v>
      </c>
      <c r="Q32" s="1483">
        <f t="shared" si="11"/>
        <v>111</v>
      </c>
      <c r="R32" s="711" t="s">
        <v>17</v>
      </c>
      <c r="S32" s="712">
        <f t="shared" si="12"/>
        <v>100</v>
      </c>
      <c r="T32" s="711" t="s">
        <v>17</v>
      </c>
      <c r="U32" s="712">
        <f t="shared" si="13"/>
        <v>100</v>
      </c>
      <c r="V32" s="711" t="s">
        <v>17</v>
      </c>
      <c r="W32" s="712">
        <f t="shared" si="14"/>
        <v>100</v>
      </c>
      <c r="X32" s="1486"/>
      <c r="Y32" s="3711" t="s">
        <v>2145</v>
      </c>
      <c r="Z32" s="1487">
        <f t="shared" si="15"/>
        <v>111</v>
      </c>
      <c r="AA32" s="1484">
        <f t="shared" si="3"/>
        <v>1</v>
      </c>
      <c r="AB32" s="1484">
        <f t="shared" si="4"/>
        <v>1</v>
      </c>
      <c r="AC32" s="1484">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711"/>
      <c r="Q33" s="1483">
        <f t="shared" si="11"/>
        <v>111</v>
      </c>
      <c r="R33" s="711" t="s">
        <v>17</v>
      </c>
      <c r="S33" s="712">
        <f t="shared" si="12"/>
        <v>100</v>
      </c>
      <c r="T33" s="711" t="s">
        <v>17</v>
      </c>
      <c r="U33" s="712">
        <f t="shared" si="13"/>
        <v>100</v>
      </c>
      <c r="V33" s="711" t="s">
        <v>17</v>
      </c>
      <c r="W33" s="712">
        <f t="shared" si="14"/>
        <v>100</v>
      </c>
      <c r="X33" s="1486"/>
      <c r="Y33" s="3711"/>
      <c r="Z33" s="1487">
        <f t="shared" si="15"/>
        <v>111</v>
      </c>
      <c r="AA33" s="1484">
        <f t="shared" si="3"/>
        <v>1</v>
      </c>
      <c r="AB33" s="1484">
        <f t="shared" si="4"/>
        <v>1</v>
      </c>
      <c r="AC33" s="1484">
        <f t="shared" si="5"/>
        <v>1</v>
      </c>
    </row>
    <row r="34" spans="1:30" ht="15.75" thickBot="1">
      <c r="A34" s="437"/>
      <c r="B34" s="2027">
        <v>111</v>
      </c>
      <c r="C34" s="396"/>
      <c r="D34" s="397">
        <v>100</v>
      </c>
      <c r="E34" s="2107"/>
      <c r="F34" s="398">
        <f>SUMIF(95:95,E34,96:96)-SUMIF(95:95,C34,96:96)+100</f>
        <v>100</v>
      </c>
      <c r="G34" s="2107"/>
      <c r="H34" s="397">
        <f>SUMIF(95:95,G34,96:96)-SUMIF(95:95,C34,96:96)+100</f>
        <v>100</v>
      </c>
      <c r="I34" s="2107"/>
      <c r="J34" s="397">
        <f>SUMIF(95:95,I34,96:96)-SUMIF(95:95,C34,96:96)+100</f>
        <v>100</v>
      </c>
      <c r="K34" s="570"/>
      <c r="L34" s="2896"/>
      <c r="M34" s="2890"/>
      <c r="N34" s="2890"/>
      <c r="O34" s="2948"/>
      <c r="P34" s="3711"/>
      <c r="Q34" s="1483">
        <f t="shared" si="11"/>
        <v>111</v>
      </c>
      <c r="R34" s="711" t="s">
        <v>17</v>
      </c>
      <c r="S34" s="712">
        <f t="shared" si="12"/>
        <v>100</v>
      </c>
      <c r="T34" s="711" t="s">
        <v>17</v>
      </c>
      <c r="U34" s="712">
        <f t="shared" si="13"/>
        <v>100</v>
      </c>
      <c r="V34" s="711" t="s">
        <v>17</v>
      </c>
      <c r="W34" s="712">
        <f t="shared" si="14"/>
        <v>100</v>
      </c>
      <c r="X34" s="1486"/>
      <c r="Y34" s="3711"/>
      <c r="Z34" s="1487">
        <f t="shared" si="15"/>
        <v>111</v>
      </c>
      <c r="AA34" s="1484">
        <f t="shared" si="3"/>
        <v>1</v>
      </c>
      <c r="AB34" s="1484">
        <f t="shared" si="4"/>
        <v>1</v>
      </c>
      <c r="AC34" s="1484">
        <f t="shared" si="5"/>
        <v>1</v>
      </c>
    </row>
    <row r="35" spans="1:30" ht="15">
      <c r="A35" s="438" t="s">
        <v>2157</v>
      </c>
      <c r="B35" s="439"/>
      <c r="C35" s="1265" t="s">
        <v>1</v>
      </c>
      <c r="D35" s="1266"/>
      <c r="E35" s="1267"/>
      <c r="F35" s="1268"/>
      <c r="G35" s="1269"/>
      <c r="H35" s="1270"/>
      <c r="I35" s="1267"/>
      <c r="J35" s="1270"/>
      <c r="K35" s="720"/>
      <c r="L35" s="2898"/>
      <c r="M35" s="2899"/>
      <c r="N35" s="2890"/>
      <c r="O35" s="2899"/>
      <c r="P35" s="3704" t="str">
        <f>A35</f>
        <v>成交单价（元/平方米）</v>
      </c>
      <c r="Q35" s="3704"/>
      <c r="R35" s="3705">
        <f>E35</f>
        <v>0</v>
      </c>
      <c r="S35" s="3705"/>
      <c r="T35" s="3705">
        <f>G35</f>
        <v>0</v>
      </c>
      <c r="U35" s="3705"/>
      <c r="V35" s="3705">
        <f>I35</f>
        <v>0</v>
      </c>
      <c r="W35" s="3705"/>
      <c r="X35" s="696"/>
      <c r="Y35" s="718"/>
      <c r="Z35" s="696"/>
      <c r="AA35" s="696"/>
      <c r="AB35" s="696"/>
      <c r="AC35" s="696"/>
    </row>
    <row r="36" spans="1:30" ht="15.75" thickBot="1">
      <c r="A36" s="445" t="s">
        <v>2249</v>
      </c>
      <c r="B36" s="446"/>
      <c r="C36" s="1271" t="e">
        <f>R37</f>
        <v>#DIV/0!</v>
      </c>
      <c r="D36" s="2484" t="s">
        <v>2638</v>
      </c>
      <c r="E36" s="1272" t="e">
        <f>R36</f>
        <v>#DIV/0!</v>
      </c>
      <c r="F36" s="2485"/>
      <c r="G36" s="1271" t="e">
        <f>T36</f>
        <v>#DIV/0!</v>
      </c>
      <c r="H36" s="2485"/>
      <c r="I36" s="1272" t="e">
        <f>V36</f>
        <v>#DIV/0!</v>
      </c>
      <c r="J36" s="2485"/>
      <c r="K36" s="2487">
        <f>F36+H36+J36</f>
        <v>0</v>
      </c>
      <c r="L36" s="2898"/>
      <c r="M36" s="2899"/>
      <c r="N36" s="2890"/>
      <c r="O36" s="2899"/>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6"/>
      <c r="Y36" s="696"/>
      <c r="Z36" s="696"/>
      <c r="AA36" s="696"/>
      <c r="AB36" s="696"/>
      <c r="AC36" s="696"/>
    </row>
    <row r="37" spans="1:30" ht="15.75" thickBot="1">
      <c r="A37" s="449" t="s">
        <v>2250</v>
      </c>
      <c r="B37" s="450"/>
      <c r="C37" s="1274" t="e">
        <f>R37</f>
        <v>#DIV/0!</v>
      </c>
      <c r="D37" s="1274"/>
      <c r="E37" s="1274"/>
      <c r="F37" s="1274"/>
      <c r="G37" s="1274"/>
      <c r="H37" s="1274"/>
      <c r="I37" s="1274"/>
      <c r="J37" s="1274"/>
      <c r="K37" s="721"/>
      <c r="L37" s="2898"/>
      <c r="M37" s="2899"/>
      <c r="N37" s="2899"/>
      <c r="O37" s="2899"/>
      <c r="P37" s="3701" t="str">
        <f>A37</f>
        <v>估价对象XX用房的比较价值（楼面单价，元/平方米）</v>
      </c>
      <c r="Q37" s="3702"/>
      <c r="R37" s="3765" t="e">
        <f>IF(F1="售价",ROUND(IF(D36="简单平均",AVERAGE(R36:W36),R36*F36+T36*H36+V36*J36),0),ROUND(IF(D36="简单平均",AVERAGE(R36:V36),R36*F36+T36*H36+V36*J36),1))</f>
        <v>#DIV/0!</v>
      </c>
      <c r="S37" s="3765"/>
      <c r="T37" s="3765"/>
      <c r="U37" s="3765"/>
      <c r="V37" s="3765"/>
      <c r="W37" s="3765"/>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5" t="str">
        <f>YEAR(C7)&amp;"-"&amp;MONTH(C7)</f>
        <v>2022-12</v>
      </c>
      <c r="D46" s="1296">
        <f>EDATE(C46,-1)</f>
        <v>44866</v>
      </c>
      <c r="E46" s="1296">
        <f t="shared" ref="E46:O46" si="16">EDATE(D46,-1)</f>
        <v>44835</v>
      </c>
      <c r="F46" s="1296">
        <f t="shared" si="16"/>
        <v>44805</v>
      </c>
      <c r="G46" s="1296">
        <f t="shared" si="16"/>
        <v>44774</v>
      </c>
      <c r="H46" s="1296">
        <f t="shared" si="16"/>
        <v>44743</v>
      </c>
      <c r="I46" s="1296">
        <f t="shared" si="16"/>
        <v>44713</v>
      </c>
      <c r="J46" s="1296">
        <f t="shared" si="16"/>
        <v>44682</v>
      </c>
      <c r="K46" s="1296">
        <f t="shared" si="16"/>
        <v>44652</v>
      </c>
      <c r="L46" s="1296">
        <f t="shared" si="16"/>
        <v>44621</v>
      </c>
      <c r="M46" s="1296">
        <f t="shared" si="16"/>
        <v>44593</v>
      </c>
      <c r="N46" s="1296">
        <f t="shared" si="16"/>
        <v>44562</v>
      </c>
      <c r="O46" s="1296">
        <f t="shared" si="16"/>
        <v>44531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4">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0"/>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687" t="s">
        <v>2226</v>
      </c>
      <c r="D4" s="3688"/>
      <c r="E4" s="3689" t="s">
        <v>2227</v>
      </c>
      <c r="F4" s="3690"/>
      <c r="G4" s="3687" t="s">
        <v>2228</v>
      </c>
      <c r="H4" s="3688"/>
      <c r="I4" s="3687" t="s">
        <v>2229</v>
      </c>
      <c r="J4" s="3688"/>
      <c r="K4" s="567" t="s">
        <v>2230</v>
      </c>
      <c r="L4" s="2889"/>
      <c r="M4" s="2890"/>
      <c r="N4" s="2890"/>
      <c r="O4" s="2890"/>
      <c r="P4" s="3691" t="s">
        <v>2231</v>
      </c>
      <c r="Q4" s="3692"/>
      <c r="R4" s="3674" t="s">
        <v>2227</v>
      </c>
      <c r="S4" s="3675"/>
      <c r="T4" s="3674" t="s">
        <v>2228</v>
      </c>
      <c r="U4" s="3675"/>
      <c r="V4" s="3699" t="s">
        <v>2229</v>
      </c>
      <c r="W4" s="3699"/>
      <c r="X4" s="1486"/>
      <c r="Y4" s="3674" t="s">
        <v>2231</v>
      </c>
      <c r="Z4" s="3675"/>
      <c r="AA4" s="3669" t="s">
        <v>2227</v>
      </c>
      <c r="AB4" s="3670" t="s">
        <v>2228</v>
      </c>
      <c r="AC4" s="3669" t="s">
        <v>2229</v>
      </c>
    </row>
    <row r="5" spans="1:30" ht="15">
      <c r="A5" s="364"/>
      <c r="B5" s="365"/>
      <c r="C5" s="3680" t="s">
        <v>2122</v>
      </c>
      <c r="D5" s="3681"/>
      <c r="E5" s="3678" t="s">
        <v>2123</v>
      </c>
      <c r="F5" s="3679"/>
      <c r="G5" s="3680" t="s">
        <v>2124</v>
      </c>
      <c r="H5" s="3681"/>
      <c r="I5" s="3680" t="s">
        <v>2125</v>
      </c>
      <c r="J5" s="3681"/>
      <c r="K5" s="567"/>
      <c r="L5" s="2889"/>
      <c r="M5" s="2890"/>
      <c r="N5" s="2890"/>
      <c r="O5" s="2890"/>
      <c r="P5" s="3693"/>
      <c r="Q5" s="3694"/>
      <c r="R5" s="3676"/>
      <c r="S5" s="3677"/>
      <c r="T5" s="3676"/>
      <c r="U5" s="3677"/>
      <c r="V5" s="3699"/>
      <c r="W5" s="3699"/>
      <c r="X5" s="1486"/>
      <c r="Y5" s="3676"/>
      <c r="Z5" s="3677"/>
      <c r="AA5" s="3670"/>
      <c r="AB5" s="3670"/>
      <c r="AC5" s="3670"/>
    </row>
    <row r="6" spans="1:30" ht="15.75" thickBot="1">
      <c r="A6" s="366"/>
      <c r="B6" s="367"/>
      <c r="C6" s="3682" t="s">
        <v>2126</v>
      </c>
      <c r="D6" s="3683"/>
      <c r="E6" s="3684" t="s">
        <v>2126</v>
      </c>
      <c r="F6" s="3685"/>
      <c r="G6" s="3682" t="s">
        <v>2126</v>
      </c>
      <c r="H6" s="3683"/>
      <c r="I6" s="3682" t="s">
        <v>2126</v>
      </c>
      <c r="J6" s="3683"/>
      <c r="K6" s="567" t="s">
        <v>2127</v>
      </c>
      <c r="L6" s="2889"/>
      <c r="M6" s="2890"/>
      <c r="N6" s="2890"/>
      <c r="O6" s="2890"/>
      <c r="P6" s="3695"/>
      <c r="Q6" s="3696"/>
      <c r="R6" s="3676"/>
      <c r="S6" s="3677"/>
      <c r="T6" s="3697"/>
      <c r="U6" s="3698"/>
      <c r="V6" s="3699"/>
      <c r="W6" s="3699"/>
      <c r="X6" s="1486"/>
      <c r="Y6" s="3697"/>
      <c r="Z6" s="3698"/>
      <c r="AA6" s="3671"/>
      <c r="AB6" s="3671"/>
      <c r="AC6" s="3671"/>
    </row>
    <row r="7" spans="1:30" s="113" customFormat="1" ht="15.75" thickBot="1">
      <c r="A7" s="368" t="s">
        <v>2128</v>
      </c>
      <c r="B7" s="369"/>
      <c r="C7" s="370">
        <f>'数据-取费表'!B2</f>
        <v>44901</v>
      </c>
      <c r="D7" s="371">
        <v>100</v>
      </c>
      <c r="E7" s="372"/>
      <c r="F7" s="373">
        <f>SUMIF(69:69,YEAR(E7)&amp;"-"&amp;INT((MONTH(E7)+2)/3),70:70)</f>
        <v>0</v>
      </c>
      <c r="G7" s="2106"/>
      <c r="H7" s="371">
        <f>SUMIF(69:69,YEAR(G7)&amp;"-"&amp;INT((MONTH(G7)+2)/3),70:70)</f>
        <v>0</v>
      </c>
      <c r="I7" s="2106"/>
      <c r="J7" s="371">
        <f>SUMIF(69:69,YEAR(I7)&amp;"-"&amp;INT((MONTH(I7)+2)/3),70:70)</f>
        <v>0</v>
      </c>
      <c r="K7" s="568"/>
      <c r="L7" s="2891"/>
      <c r="M7" s="2892"/>
      <c r="N7" s="2892"/>
      <c r="O7" s="2892"/>
      <c r="P7" s="3672" t="s">
        <v>2129</v>
      </c>
      <c r="Q7" s="3700"/>
      <c r="R7" s="707" t="s">
        <v>17</v>
      </c>
      <c r="S7" s="708">
        <f t="shared" ref="S7:S15" si="0">F7</f>
        <v>0</v>
      </c>
      <c r="T7" s="707" t="s">
        <v>17</v>
      </c>
      <c r="U7" s="708">
        <f t="shared" ref="U7:U15" si="1">H7</f>
        <v>0</v>
      </c>
      <c r="V7" s="707" t="s">
        <v>17</v>
      </c>
      <c r="W7" s="708">
        <f t="shared" ref="W7:W15" si="2">J7</f>
        <v>0</v>
      </c>
      <c r="X7" s="709"/>
      <c r="Y7" s="3672" t="s">
        <v>2129</v>
      </c>
      <c r="Z7" s="3673"/>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672" t="s">
        <v>2132</v>
      </c>
      <c r="Q8" s="3673"/>
      <c r="R8" s="707" t="s">
        <v>17</v>
      </c>
      <c r="S8" s="708">
        <f t="shared" si="0"/>
        <v>0</v>
      </c>
      <c r="T8" s="707" t="s">
        <v>17</v>
      </c>
      <c r="U8" s="708">
        <f t="shared" si="1"/>
        <v>0</v>
      </c>
      <c r="V8" s="707" t="s">
        <v>17</v>
      </c>
      <c r="W8" s="708">
        <f t="shared" si="2"/>
        <v>0</v>
      </c>
      <c r="X8" s="709"/>
      <c r="Y8" s="3672" t="s">
        <v>2132</v>
      </c>
      <c r="Z8" s="3673"/>
      <c r="AA8" s="710" t="e">
        <f t="shared" ref="AA8:AA45" si="3">D8/F8</f>
        <v>#DIV/0!</v>
      </c>
      <c r="AB8" s="710" t="e">
        <f t="shared" ref="AB8:AB45" si="4">D8/H8</f>
        <v>#DIV/0!</v>
      </c>
      <c r="AC8" s="710" t="e">
        <f t="shared" ref="AC8:AC45" si="5">D8/J8</f>
        <v>#DIV/0!</v>
      </c>
    </row>
    <row r="9" spans="1:30" s="113" customFormat="1">
      <c r="A9" s="375" t="s">
        <v>2133</v>
      </c>
      <c r="B9" s="67" t="s">
        <v>2134</v>
      </c>
      <c r="C9" s="2109"/>
      <c r="D9" s="131">
        <v>100</v>
      </c>
      <c r="E9" s="2109"/>
      <c r="F9" s="131">
        <f>SUMIF(74:74,E9,75:75)-SUMIF(74:74,C9,75:75)+100</f>
        <v>100</v>
      </c>
      <c r="G9" s="2109"/>
      <c r="H9" s="131">
        <f>SUMIF(74:74,G9,75:75)-SUMIF(74:74,C9,75:75)+100</f>
        <v>100</v>
      </c>
      <c r="I9" s="2109"/>
      <c r="J9" s="131">
        <f>SUMIF(74:74,I9,75:75)-SUMIF(74:74,C9,75:75)+100</f>
        <v>100</v>
      </c>
      <c r="K9" s="568"/>
      <c r="L9" s="2891"/>
      <c r="M9" s="2892"/>
      <c r="N9" s="2892"/>
      <c r="O9" s="2946"/>
      <c r="P9" s="3704"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117</v>
      </c>
      <c r="G10" s="422"/>
      <c r="H10" s="132">
        <f>ROUND(100/'数据-取费表'!G16,0)</f>
        <v>117</v>
      </c>
      <c r="I10" s="422"/>
      <c r="J10" s="132">
        <f>ROUND(100/'数据-取费表'!G16,0)</f>
        <v>117</v>
      </c>
      <c r="K10" s="627"/>
      <c r="L10" s="2893"/>
      <c r="M10" s="2894"/>
      <c r="N10" s="2894"/>
      <c r="O10" s="2947"/>
      <c r="P10" s="3704"/>
      <c r="Q10" s="1474" t="str">
        <f t="shared" si="6"/>
        <v>土地使用年限（年）</v>
      </c>
      <c r="R10" s="707" t="s">
        <v>17</v>
      </c>
      <c r="S10" s="708">
        <f t="shared" si="0"/>
        <v>117</v>
      </c>
      <c r="T10" s="707" t="s">
        <v>17</v>
      </c>
      <c r="U10" s="708">
        <f t="shared" si="1"/>
        <v>117</v>
      </c>
      <c r="V10" s="707" t="s">
        <v>17</v>
      </c>
      <c r="W10" s="708">
        <f t="shared" si="2"/>
        <v>117</v>
      </c>
      <c r="X10" s="709"/>
      <c r="Y10" s="3642"/>
      <c r="Z10" s="55" t="str">
        <f t="shared" si="7"/>
        <v>土地使用年限（年）</v>
      </c>
      <c r="AA10" s="710">
        <f t="shared" si="3"/>
        <v>0.85470085470085466</v>
      </c>
      <c r="AB10" s="710">
        <f t="shared" si="4"/>
        <v>0.85470085470085466</v>
      </c>
      <c r="AC10" s="710">
        <f t="shared" si="5"/>
        <v>0.85470085470085466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704"/>
      <c r="Q11" s="1474" t="str">
        <f t="shared" si="6"/>
        <v>容积率</v>
      </c>
      <c r="R11" s="707" t="s">
        <v>17</v>
      </c>
      <c r="S11" s="708" t="e">
        <f t="shared" si="0"/>
        <v>#N/A</v>
      </c>
      <c r="T11" s="707" t="s">
        <v>17</v>
      </c>
      <c r="U11" s="708" t="e">
        <f t="shared" si="1"/>
        <v>#N/A</v>
      </c>
      <c r="V11" s="707" t="s">
        <v>17</v>
      </c>
      <c r="W11" s="708" t="e">
        <f t="shared" si="2"/>
        <v>#N/A</v>
      </c>
      <c r="X11" s="709"/>
      <c r="Y11" s="3642"/>
      <c r="Z11" s="55" t="str">
        <f t="shared" si="7"/>
        <v>容积率</v>
      </c>
      <c r="AA11" s="710" t="e">
        <f t="shared" si="3"/>
        <v>#N/A</v>
      </c>
      <c r="AB11" s="710" t="e">
        <f t="shared" si="4"/>
        <v>#N/A</v>
      </c>
      <c r="AC11" s="710" t="e">
        <f t="shared" si="5"/>
        <v>#N/A</v>
      </c>
    </row>
    <row r="12" spans="1:30" s="113" customFormat="1" ht="15">
      <c r="A12" s="390"/>
      <c r="B12" s="2025"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704"/>
      <c r="Q12" s="1474" t="str">
        <f t="shared" si="6"/>
        <v>配建</v>
      </c>
      <c r="R12" s="707" t="s">
        <v>17</v>
      </c>
      <c r="S12" s="708">
        <f t="shared" si="0"/>
        <v>100</v>
      </c>
      <c r="T12" s="707" t="s">
        <v>17</v>
      </c>
      <c r="U12" s="708">
        <f t="shared" si="1"/>
        <v>100</v>
      </c>
      <c r="V12" s="707" t="s">
        <v>17</v>
      </c>
      <c r="W12" s="708">
        <f t="shared" si="2"/>
        <v>100</v>
      </c>
      <c r="X12" s="709"/>
      <c r="Y12" s="3642"/>
      <c r="Z12" s="55" t="str">
        <f t="shared" si="7"/>
        <v>配建</v>
      </c>
      <c r="AA12" s="710">
        <f>D12/F12</f>
        <v>1</v>
      </c>
      <c r="AB12" s="710">
        <f>D12/H12</f>
        <v>1</v>
      </c>
      <c r="AC12" s="710">
        <f>D12/J12</f>
        <v>1</v>
      </c>
    </row>
    <row r="13" spans="1:30" ht="15">
      <c r="A13" s="387"/>
      <c r="B13" s="2025">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704"/>
      <c r="Q13" s="1474">
        <f t="shared" si="6"/>
        <v>111</v>
      </c>
      <c r="R13" s="707" t="s">
        <v>17</v>
      </c>
      <c r="S13" s="708">
        <f t="shared" si="0"/>
        <v>100</v>
      </c>
      <c r="T13" s="707" t="s">
        <v>17</v>
      </c>
      <c r="U13" s="708">
        <f t="shared" si="1"/>
        <v>100</v>
      </c>
      <c r="V13" s="707" t="s">
        <v>17</v>
      </c>
      <c r="W13" s="708">
        <f t="shared" si="2"/>
        <v>100</v>
      </c>
      <c r="X13" s="709"/>
      <c r="Y13" s="3642"/>
      <c r="Z13" s="55">
        <f t="shared" si="7"/>
        <v>111</v>
      </c>
      <c r="AA13" s="710">
        <f>D13/F13</f>
        <v>1</v>
      </c>
      <c r="AB13" s="710">
        <f>D13/H13</f>
        <v>1</v>
      </c>
      <c r="AC13" s="710">
        <f>D13/J13</f>
        <v>1</v>
      </c>
    </row>
    <row r="14" spans="1:30" ht="15.75" thickBot="1">
      <c r="A14" s="395"/>
      <c r="B14" s="2027">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704"/>
      <c r="Q14" s="1474">
        <f t="shared" si="6"/>
        <v>111</v>
      </c>
      <c r="R14" s="707" t="s">
        <v>17</v>
      </c>
      <c r="S14" s="708">
        <f t="shared" si="0"/>
        <v>100</v>
      </c>
      <c r="T14" s="707" t="s">
        <v>17</v>
      </c>
      <c r="U14" s="708">
        <f t="shared" si="1"/>
        <v>100</v>
      </c>
      <c r="V14" s="707" t="s">
        <v>17</v>
      </c>
      <c r="W14" s="708">
        <f t="shared" si="2"/>
        <v>100</v>
      </c>
      <c r="X14" s="709"/>
      <c r="Y14" s="3642"/>
      <c r="Z14" s="55">
        <f t="shared" si="7"/>
        <v>111</v>
      </c>
      <c r="AA14" s="710">
        <f>D14/F14</f>
        <v>1</v>
      </c>
      <c r="AB14" s="710">
        <f>D14/H14</f>
        <v>1</v>
      </c>
      <c r="AC14" s="710">
        <f>D14/J14</f>
        <v>1</v>
      </c>
    </row>
    <row r="15" spans="1:30" ht="99.75">
      <c r="A15" s="399" t="s">
        <v>2139</v>
      </c>
      <c r="B15" s="65" t="s">
        <v>1702</v>
      </c>
      <c r="C15" s="2028"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706" t="s">
        <v>2140</v>
      </c>
      <c r="Q15" s="1483" t="str">
        <f t="shared" si="6"/>
        <v>居住社区成熟度</v>
      </c>
      <c r="R15" s="711" t="s">
        <v>17</v>
      </c>
      <c r="S15" s="712">
        <f t="shared" si="0"/>
        <v>100</v>
      </c>
      <c r="T15" s="711" t="s">
        <v>17</v>
      </c>
      <c r="U15" s="712">
        <f t="shared" si="1"/>
        <v>100</v>
      </c>
      <c r="V15" s="711" t="s">
        <v>17</v>
      </c>
      <c r="W15" s="712">
        <f t="shared" si="2"/>
        <v>100</v>
      </c>
      <c r="X15" s="1486"/>
      <c r="Y15" s="3706" t="s">
        <v>2140</v>
      </c>
      <c r="Z15" s="1487" t="str">
        <f t="shared" si="7"/>
        <v>居住社区成熟度</v>
      </c>
      <c r="AA15" s="1484">
        <f t="shared" si="3"/>
        <v>1</v>
      </c>
      <c r="AB15" s="1484">
        <f t="shared" si="4"/>
        <v>1</v>
      </c>
      <c r="AC15" s="1484">
        <f t="shared" si="5"/>
        <v>1</v>
      </c>
    </row>
    <row r="16" spans="1:30" ht="15">
      <c r="A16" s="387"/>
      <c r="B16" s="405"/>
      <c r="C16" s="406"/>
      <c r="D16" s="407"/>
      <c r="E16" s="2030"/>
      <c r="F16" s="407"/>
      <c r="G16" s="2030"/>
      <c r="H16" s="409"/>
      <c r="I16" s="2029"/>
      <c r="J16" s="407"/>
      <c r="K16" s="627"/>
      <c r="L16" s="2896"/>
      <c r="M16" s="2890"/>
      <c r="N16" s="2890"/>
      <c r="O16" s="2948"/>
      <c r="P16" s="3707"/>
      <c r="Q16" s="1483"/>
      <c r="R16" s="711"/>
      <c r="S16" s="712"/>
      <c r="T16" s="711"/>
      <c r="U16" s="712"/>
      <c r="V16" s="711"/>
      <c r="W16" s="712"/>
      <c r="X16" s="1486"/>
      <c r="Y16" s="3707"/>
      <c r="Z16" s="1487"/>
      <c r="AA16" s="1484">
        <v>1</v>
      </c>
      <c r="AB16" s="1484">
        <v>1</v>
      </c>
      <c r="AC16" s="1484">
        <v>1</v>
      </c>
    </row>
    <row r="17" spans="1:29" ht="71.25">
      <c r="A17" s="387"/>
      <c r="B17" s="410" t="s">
        <v>2233</v>
      </c>
      <c r="C17" s="2087"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707"/>
      <c r="Q17" s="1483" t="str">
        <f>B17</f>
        <v>商业繁华度</v>
      </c>
      <c r="R17" s="711" t="s">
        <v>17</v>
      </c>
      <c r="S17" s="712">
        <f>F17</f>
        <v>100</v>
      </c>
      <c r="T17" s="711" t="s">
        <v>17</v>
      </c>
      <c r="U17" s="712">
        <f>H17</f>
        <v>100</v>
      </c>
      <c r="V17" s="711" t="s">
        <v>17</v>
      </c>
      <c r="W17" s="712">
        <f>J17</f>
        <v>100</v>
      </c>
      <c r="X17" s="1486"/>
      <c r="Y17" s="3707"/>
      <c r="Z17" s="1487" t="str">
        <f>Q17</f>
        <v>商业繁华度</v>
      </c>
      <c r="AA17" s="1484">
        <f t="shared" si="3"/>
        <v>1</v>
      </c>
      <c r="AB17" s="1484">
        <f t="shared" si="4"/>
        <v>1</v>
      </c>
      <c r="AC17" s="1484">
        <f t="shared" si="5"/>
        <v>1</v>
      </c>
    </row>
    <row r="18" spans="1:29" ht="15">
      <c r="A18" s="387"/>
      <c r="B18" s="415"/>
      <c r="C18" s="2033"/>
      <c r="D18" s="409"/>
      <c r="E18" s="2035"/>
      <c r="F18" s="409"/>
      <c r="G18" s="2035"/>
      <c r="H18" s="407"/>
      <c r="I18" s="2034"/>
      <c r="J18" s="407"/>
      <c r="K18" s="627"/>
      <c r="L18" s="2896"/>
      <c r="M18" s="2890"/>
      <c r="N18" s="2890"/>
      <c r="O18" s="2948"/>
      <c r="P18" s="3707"/>
      <c r="Q18" s="1483"/>
      <c r="R18" s="711"/>
      <c r="S18" s="712"/>
      <c r="T18" s="711"/>
      <c r="U18" s="712"/>
      <c r="V18" s="711"/>
      <c r="W18" s="712"/>
      <c r="X18" s="1486"/>
      <c r="Y18" s="3707"/>
      <c r="Z18" s="1487"/>
      <c r="AA18" s="1484">
        <v>1</v>
      </c>
      <c r="AB18" s="1484">
        <v>1</v>
      </c>
      <c r="AC18" s="1484">
        <v>1</v>
      </c>
    </row>
    <row r="19" spans="1:29" ht="71.25">
      <c r="A19" s="387"/>
      <c r="B19" s="410" t="s">
        <v>2267</v>
      </c>
      <c r="C19" s="2087"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707"/>
      <c r="Q19" s="1483" t="str">
        <f>B19</f>
        <v>办公集聚程度</v>
      </c>
      <c r="R19" s="711" t="s">
        <v>17</v>
      </c>
      <c r="S19" s="712">
        <f>F19</f>
        <v>100</v>
      </c>
      <c r="T19" s="711" t="s">
        <v>17</v>
      </c>
      <c r="U19" s="712">
        <f>H19</f>
        <v>100</v>
      </c>
      <c r="V19" s="711" t="s">
        <v>17</v>
      </c>
      <c r="W19" s="712">
        <f>J19</f>
        <v>100</v>
      </c>
      <c r="X19" s="1486"/>
      <c r="Y19" s="3707"/>
      <c r="Z19" s="1487" t="str">
        <f>Q19</f>
        <v>办公集聚程度</v>
      </c>
      <c r="AA19" s="1484">
        <f t="shared" si="3"/>
        <v>1</v>
      </c>
      <c r="AB19" s="1484">
        <f t="shared" si="4"/>
        <v>1</v>
      </c>
      <c r="AC19" s="1484">
        <f t="shared" si="5"/>
        <v>1</v>
      </c>
    </row>
    <row r="20" spans="1:29" ht="15">
      <c r="A20" s="387"/>
      <c r="B20" s="415"/>
      <c r="C20" s="406"/>
      <c r="D20" s="407"/>
      <c r="E20" s="2030"/>
      <c r="F20" s="407"/>
      <c r="G20" s="2030"/>
      <c r="H20" s="407"/>
      <c r="I20" s="2029"/>
      <c r="J20" s="407"/>
      <c r="K20" s="627"/>
      <c r="L20" s="2896"/>
      <c r="M20" s="2890"/>
      <c r="N20" s="2890"/>
      <c r="O20" s="2948"/>
      <c r="P20" s="3707"/>
      <c r="Q20" s="1483"/>
      <c r="R20" s="711"/>
      <c r="S20" s="712"/>
      <c r="T20" s="711"/>
      <c r="U20" s="712"/>
      <c r="V20" s="711"/>
      <c r="W20" s="712"/>
      <c r="X20" s="1486"/>
      <c r="Y20" s="3707"/>
      <c r="Z20" s="1487"/>
      <c r="AA20" s="1484">
        <v>1</v>
      </c>
      <c r="AB20" s="1484">
        <v>1</v>
      </c>
      <c r="AC20" s="1484">
        <v>1</v>
      </c>
    </row>
    <row r="21" spans="1:29" ht="85.5">
      <c r="A21" s="387"/>
      <c r="B21" s="410" t="s">
        <v>2289</v>
      </c>
      <c r="C21" s="2032"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707"/>
      <c r="Q21" s="1483" t="str">
        <f>B21</f>
        <v>交通便捷度</v>
      </c>
      <c r="R21" s="711" t="s">
        <v>17</v>
      </c>
      <c r="S21" s="712">
        <f>F21</f>
        <v>100</v>
      </c>
      <c r="T21" s="711" t="s">
        <v>17</v>
      </c>
      <c r="U21" s="712">
        <f>H21</f>
        <v>100</v>
      </c>
      <c r="V21" s="711" t="s">
        <v>17</v>
      </c>
      <c r="W21" s="712">
        <f>J21</f>
        <v>100</v>
      </c>
      <c r="X21" s="1486"/>
      <c r="Y21" s="3707"/>
      <c r="Z21" s="1487" t="str">
        <f>Q21</f>
        <v>交通便捷度</v>
      </c>
      <c r="AA21" s="1484">
        <f t="shared" si="3"/>
        <v>1</v>
      </c>
      <c r="AB21" s="1484">
        <f t="shared" si="4"/>
        <v>1</v>
      </c>
      <c r="AC21" s="1484">
        <f t="shared" si="5"/>
        <v>1</v>
      </c>
    </row>
    <row r="22" spans="1:29" ht="15">
      <c r="A22" s="387"/>
      <c r="B22" s="1242"/>
      <c r="C22" s="406"/>
      <c r="D22" s="409"/>
      <c r="E22" s="2030"/>
      <c r="F22" s="407"/>
      <c r="G22" s="2030"/>
      <c r="H22" s="407"/>
      <c r="I22" s="2029"/>
      <c r="J22" s="407"/>
      <c r="K22" s="627"/>
      <c r="L22" s="2896"/>
      <c r="M22" s="2890"/>
      <c r="N22" s="2890"/>
      <c r="O22" s="2948"/>
      <c r="P22" s="3707"/>
      <c r="Q22" s="1483"/>
      <c r="R22" s="711"/>
      <c r="S22" s="712"/>
      <c r="T22" s="711"/>
      <c r="U22" s="712"/>
      <c r="V22" s="711"/>
      <c r="W22" s="712"/>
      <c r="X22" s="1486"/>
      <c r="Y22" s="3707"/>
      <c r="Z22" s="1487"/>
      <c r="AA22" s="1484">
        <v>1</v>
      </c>
      <c r="AB22" s="1484">
        <v>1</v>
      </c>
      <c r="AC22" s="1484">
        <v>1</v>
      </c>
    </row>
    <row r="23" spans="1:29" ht="15">
      <c r="A23" s="364"/>
      <c r="B23" s="410" t="s">
        <v>2328</v>
      </c>
      <c r="C23" s="1247">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707"/>
      <c r="Q23" s="1483" t="str">
        <f t="shared" ref="Q23:Q37" si="8">B23</f>
        <v>区域土地利用方向</v>
      </c>
      <c r="R23" s="711" t="s">
        <v>17</v>
      </c>
      <c r="S23" s="712">
        <f>F23</f>
        <v>100</v>
      </c>
      <c r="T23" s="711" t="s">
        <v>17</v>
      </c>
      <c r="U23" s="712">
        <f>H23</f>
        <v>100</v>
      </c>
      <c r="V23" s="711" t="s">
        <v>17</v>
      </c>
      <c r="W23" s="712">
        <f>J23</f>
        <v>100</v>
      </c>
      <c r="X23" s="1486"/>
      <c r="Y23" s="3707"/>
      <c r="Z23" s="1487" t="str">
        <f>Q23</f>
        <v>区域土地利用方向</v>
      </c>
      <c r="AA23" s="1484">
        <f t="shared" si="3"/>
        <v>1</v>
      </c>
      <c r="AB23" s="1484">
        <f t="shared" si="4"/>
        <v>1</v>
      </c>
      <c r="AC23" s="1484">
        <f t="shared" si="5"/>
        <v>1</v>
      </c>
    </row>
    <row r="24" spans="1:29" ht="15">
      <c r="A24" s="364"/>
      <c r="B24" s="415"/>
      <c r="C24" s="573"/>
      <c r="D24" s="407"/>
      <c r="E24" s="2030"/>
      <c r="F24" s="407"/>
      <c r="G24" s="2029"/>
      <c r="H24" s="407"/>
      <c r="I24" s="2029"/>
      <c r="J24" s="407"/>
      <c r="K24" s="748"/>
      <c r="L24" s="2896"/>
      <c r="M24" s="2890"/>
      <c r="N24" s="2890"/>
      <c r="O24" s="2948"/>
      <c r="P24" s="3707"/>
      <c r="Q24" s="1483"/>
      <c r="R24" s="711"/>
      <c r="S24" s="712"/>
      <c r="T24" s="711"/>
      <c r="U24" s="712"/>
      <c r="V24" s="711"/>
      <c r="W24" s="712"/>
      <c r="X24" s="1486"/>
      <c r="Y24" s="3707"/>
      <c r="Z24" s="1487"/>
      <c r="AA24" s="1484"/>
      <c r="AB24" s="1484"/>
      <c r="AC24" s="1484"/>
    </row>
    <row r="25" spans="1:29" ht="57">
      <c r="A25" s="364"/>
      <c r="B25" s="1242" t="s">
        <v>2329</v>
      </c>
      <c r="C25" s="2087"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707"/>
      <c r="Q25" s="1483" t="str">
        <f t="shared" si="8"/>
        <v>自然及人文环境状况</v>
      </c>
      <c r="R25" s="711" t="s">
        <v>17</v>
      </c>
      <c r="S25" s="712">
        <f>F25</f>
        <v>100</v>
      </c>
      <c r="T25" s="711" t="s">
        <v>17</v>
      </c>
      <c r="U25" s="712">
        <f>H25</f>
        <v>100</v>
      </c>
      <c r="V25" s="711" t="s">
        <v>17</v>
      </c>
      <c r="W25" s="712">
        <f>J25</f>
        <v>100</v>
      </c>
      <c r="X25" s="1486"/>
      <c r="Y25" s="3707"/>
      <c r="Z25" s="1487" t="str">
        <f>Q25</f>
        <v>自然及人文环境状况</v>
      </c>
      <c r="AA25" s="1484">
        <f t="shared" si="3"/>
        <v>1</v>
      </c>
      <c r="AB25" s="1484">
        <f t="shared" si="4"/>
        <v>1</v>
      </c>
      <c r="AC25" s="1484">
        <f t="shared" si="5"/>
        <v>1</v>
      </c>
    </row>
    <row r="26" spans="1:29" ht="15">
      <c r="A26" s="364"/>
      <c r="B26" s="415"/>
      <c r="C26" s="406"/>
      <c r="D26" s="407"/>
      <c r="E26" s="2036"/>
      <c r="F26" s="407"/>
      <c r="G26" s="2036"/>
      <c r="H26" s="407"/>
      <c r="I26" s="406"/>
      <c r="J26" s="407"/>
      <c r="K26" s="627"/>
      <c r="L26" s="2896"/>
      <c r="M26" s="2890"/>
      <c r="N26" s="2890"/>
      <c r="O26" s="2948"/>
      <c r="P26" s="3707"/>
      <c r="Q26" s="1483"/>
      <c r="R26" s="711"/>
      <c r="S26" s="712"/>
      <c r="T26" s="711"/>
      <c r="U26" s="712"/>
      <c r="V26" s="711"/>
      <c r="W26" s="712"/>
      <c r="X26" s="1486"/>
      <c r="Y26" s="3707"/>
      <c r="Z26" s="1487"/>
      <c r="AA26" s="1484">
        <v>1</v>
      </c>
      <c r="AB26" s="1484">
        <v>1</v>
      </c>
      <c r="AC26" s="1484">
        <v>1</v>
      </c>
    </row>
    <row r="27" spans="1:29" s="113" customFormat="1" ht="42.75">
      <c r="A27" s="604"/>
      <c r="B27" s="1242" t="s">
        <v>2234</v>
      </c>
      <c r="C27" s="2032"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707"/>
      <c r="Q27" s="1474" t="str">
        <f t="shared" si="8"/>
        <v>公共配套设施</v>
      </c>
      <c r="R27" s="707" t="s">
        <v>17</v>
      </c>
      <c r="S27" s="708">
        <f>F27</f>
        <v>100</v>
      </c>
      <c r="T27" s="707" t="s">
        <v>17</v>
      </c>
      <c r="U27" s="708">
        <f>H27</f>
        <v>100</v>
      </c>
      <c r="V27" s="707" t="s">
        <v>17</v>
      </c>
      <c r="W27" s="708">
        <f>J27</f>
        <v>100</v>
      </c>
      <c r="X27" s="709"/>
      <c r="Y27" s="3707"/>
      <c r="Z27" s="55" t="str">
        <f>Q27</f>
        <v>公共配套设施</v>
      </c>
      <c r="AA27" s="1484">
        <f>D27/F27</f>
        <v>1</v>
      </c>
      <c r="AB27" s="1484">
        <f>D27/H27</f>
        <v>1</v>
      </c>
      <c r="AC27" s="1484">
        <f>D27/J27</f>
        <v>1</v>
      </c>
    </row>
    <row r="28" spans="1:29" s="113" customFormat="1" ht="15">
      <c r="A28" s="604"/>
      <c r="B28" s="415"/>
      <c r="C28" s="2110"/>
      <c r="D28" s="407"/>
      <c r="E28" s="2036"/>
      <c r="F28" s="407"/>
      <c r="G28" s="2036"/>
      <c r="H28" s="407"/>
      <c r="I28" s="406"/>
      <c r="J28" s="407"/>
      <c r="K28" s="627"/>
      <c r="L28" s="2891"/>
      <c r="M28" s="2892"/>
      <c r="N28" s="2892"/>
      <c r="O28" s="2946"/>
      <c r="P28" s="3707"/>
      <c r="Q28" s="1474"/>
      <c r="R28" s="707"/>
      <c r="S28" s="708"/>
      <c r="T28" s="707"/>
      <c r="U28" s="708"/>
      <c r="V28" s="707"/>
      <c r="W28" s="708"/>
      <c r="X28" s="709"/>
      <c r="Y28" s="3707"/>
      <c r="Z28" s="55"/>
      <c r="AA28" s="1484">
        <v>1</v>
      </c>
      <c r="AB28" s="1484">
        <v>1</v>
      </c>
      <c r="AC28" s="1484">
        <v>1</v>
      </c>
    </row>
    <row r="29" spans="1:29" s="113" customFormat="1" ht="28.5">
      <c r="A29" s="604"/>
      <c r="B29" s="1242" t="s">
        <v>2235</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707"/>
      <c r="Q29" s="1474" t="str">
        <f t="shared" ref="Q29" si="9">B29</f>
        <v>基础设施水平</v>
      </c>
      <c r="R29" s="707" t="s">
        <v>17</v>
      </c>
      <c r="S29" s="708">
        <f>F29</f>
        <v>100</v>
      </c>
      <c r="T29" s="707" t="s">
        <v>17</v>
      </c>
      <c r="U29" s="708">
        <f>H29</f>
        <v>100</v>
      </c>
      <c r="V29" s="707" t="s">
        <v>17</v>
      </c>
      <c r="W29" s="708">
        <f>J29</f>
        <v>100</v>
      </c>
      <c r="X29" s="709"/>
      <c r="Y29" s="3707"/>
      <c r="Z29" s="55" t="str">
        <f>Q29</f>
        <v>基础设施水平</v>
      </c>
      <c r="AA29" s="1484">
        <f>D29/F29</f>
        <v>1</v>
      </c>
      <c r="AB29" s="1484">
        <f>D29/H29</f>
        <v>1</v>
      </c>
      <c r="AC29" s="1484">
        <f>D29/J29</f>
        <v>1</v>
      </c>
    </row>
    <row r="30" spans="1:29" s="113" customFormat="1" ht="15">
      <c r="A30" s="604"/>
      <c r="B30" s="415"/>
      <c r="C30" s="2110"/>
      <c r="D30" s="407"/>
      <c r="E30" s="2111"/>
      <c r="F30" s="407"/>
      <c r="G30" s="2111"/>
      <c r="H30" s="407"/>
      <c r="I30" s="2111"/>
      <c r="J30" s="407"/>
      <c r="K30" s="627"/>
      <c r="L30" s="2891"/>
      <c r="M30" s="2892"/>
      <c r="N30" s="2892"/>
      <c r="O30" s="2946"/>
      <c r="P30" s="3707"/>
      <c r="Q30" s="1474"/>
      <c r="R30" s="707"/>
      <c r="S30" s="708"/>
      <c r="T30" s="707"/>
      <c r="U30" s="708"/>
      <c r="V30" s="707"/>
      <c r="W30" s="708"/>
      <c r="X30" s="709"/>
      <c r="Y30" s="3707"/>
      <c r="Z30" s="55"/>
      <c r="AA30" s="1484">
        <v>1</v>
      </c>
      <c r="AB30" s="1484">
        <v>1</v>
      </c>
      <c r="AC30" s="1484">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8"/>
      <c r="L31" s="2896"/>
      <c r="M31" s="2890"/>
      <c r="N31" s="2890"/>
      <c r="O31" s="2948"/>
      <c r="P31" s="3707"/>
      <c r="Q31" s="1483" t="str">
        <f t="shared" si="8"/>
        <v>临街状况</v>
      </c>
      <c r="R31" s="711" t="s">
        <v>17</v>
      </c>
      <c r="S31" s="712">
        <f t="shared" ref="S31:S45" si="10">F31</f>
        <v>100</v>
      </c>
      <c r="T31" s="711" t="s">
        <v>17</v>
      </c>
      <c r="U31" s="712">
        <f t="shared" ref="U31:U45" si="11">H31</f>
        <v>100</v>
      </c>
      <c r="V31" s="711" t="s">
        <v>17</v>
      </c>
      <c r="W31" s="712">
        <f t="shared" ref="W31:W45" si="12">J31</f>
        <v>100</v>
      </c>
      <c r="X31" s="1486"/>
      <c r="Y31" s="3707"/>
      <c r="Z31" s="1487" t="str">
        <f t="shared" ref="Z31:Z45" si="13">Q31</f>
        <v>临街状况</v>
      </c>
      <c r="AA31" s="1484">
        <f t="shared" si="3"/>
        <v>1</v>
      </c>
      <c r="AB31" s="1484">
        <f t="shared" si="4"/>
        <v>1</v>
      </c>
      <c r="AC31" s="1484">
        <f t="shared" si="5"/>
        <v>1</v>
      </c>
    </row>
    <row r="32" spans="1:29" ht="27">
      <c r="A32" s="387"/>
      <c r="B32" s="1242"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707"/>
      <c r="Q32" s="1483" t="str">
        <f t="shared" si="8"/>
        <v>毗邻道路的类型与等级</v>
      </c>
      <c r="R32" s="711" t="s">
        <v>17</v>
      </c>
      <c r="S32" s="712">
        <f t="shared" si="10"/>
        <v>100</v>
      </c>
      <c r="T32" s="711" t="s">
        <v>17</v>
      </c>
      <c r="U32" s="712">
        <f t="shared" si="11"/>
        <v>100</v>
      </c>
      <c r="V32" s="711" t="s">
        <v>17</v>
      </c>
      <c r="W32" s="712">
        <f t="shared" si="12"/>
        <v>100</v>
      </c>
      <c r="X32" s="1486"/>
      <c r="Y32" s="3707"/>
      <c r="Z32" s="1487" t="str">
        <f t="shared" si="13"/>
        <v>毗邻道路的类型与等级</v>
      </c>
      <c r="AA32" s="1484">
        <f t="shared" si="3"/>
        <v>1</v>
      </c>
      <c r="AB32" s="1484">
        <f t="shared" si="4"/>
        <v>1</v>
      </c>
      <c r="AC32" s="1484">
        <f t="shared" si="5"/>
        <v>1</v>
      </c>
    </row>
    <row r="33" spans="1:29" ht="15">
      <c r="A33" s="387"/>
      <c r="B33" s="415"/>
      <c r="C33" s="406"/>
      <c r="D33" s="407"/>
      <c r="E33" s="2036"/>
      <c r="F33" s="407"/>
      <c r="G33" s="2036"/>
      <c r="H33" s="407"/>
      <c r="I33" s="406"/>
      <c r="J33" s="407"/>
      <c r="K33" s="570"/>
      <c r="L33" s="2896"/>
      <c r="M33" s="2890"/>
      <c r="N33" s="2890"/>
      <c r="O33" s="2948"/>
      <c r="P33" s="3707"/>
      <c r="Q33" s="1483"/>
      <c r="R33" s="711"/>
      <c r="S33" s="712"/>
      <c r="T33" s="711"/>
      <c r="U33" s="712"/>
      <c r="V33" s="711"/>
      <c r="W33" s="712"/>
      <c r="X33" s="1486"/>
      <c r="Y33" s="3707"/>
      <c r="Z33" s="1487"/>
      <c r="AA33" s="1484">
        <v>1</v>
      </c>
      <c r="AB33" s="1484">
        <v>1</v>
      </c>
      <c r="AC33" s="1484">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707"/>
      <c r="Q34" s="1483" t="str">
        <f t="shared" si="8"/>
        <v>土地级别</v>
      </c>
      <c r="R34" s="711" t="s">
        <v>17</v>
      </c>
      <c r="S34" s="712">
        <f t="shared" si="10"/>
        <v>100</v>
      </c>
      <c r="T34" s="711" t="s">
        <v>17</v>
      </c>
      <c r="U34" s="712">
        <f t="shared" si="11"/>
        <v>100</v>
      </c>
      <c r="V34" s="711" t="s">
        <v>17</v>
      </c>
      <c r="W34" s="712">
        <f t="shared" si="12"/>
        <v>100</v>
      </c>
      <c r="X34" s="1486"/>
      <c r="Y34" s="3707"/>
      <c r="Z34" s="1487" t="str">
        <f t="shared" si="13"/>
        <v>土地级别</v>
      </c>
      <c r="AA34" s="1484">
        <f t="shared" si="3"/>
        <v>1</v>
      </c>
      <c r="AB34" s="1484">
        <f t="shared" si="4"/>
        <v>1</v>
      </c>
      <c r="AC34" s="1484">
        <f t="shared" si="5"/>
        <v>1</v>
      </c>
    </row>
    <row r="35" spans="1:29" ht="15">
      <c r="A35" s="364"/>
      <c r="B35" s="1244">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707"/>
      <c r="Q35" s="1483">
        <f t="shared" si="8"/>
        <v>111</v>
      </c>
      <c r="R35" s="711" t="s">
        <v>17</v>
      </c>
      <c r="S35" s="712">
        <f t="shared" si="10"/>
        <v>100</v>
      </c>
      <c r="T35" s="711" t="s">
        <v>17</v>
      </c>
      <c r="U35" s="712">
        <f t="shared" si="11"/>
        <v>100</v>
      </c>
      <c r="V35" s="711" t="s">
        <v>17</v>
      </c>
      <c r="W35" s="712">
        <f t="shared" si="12"/>
        <v>100</v>
      </c>
      <c r="X35" s="1486"/>
      <c r="Y35" s="3707"/>
      <c r="Z35" s="1487">
        <f t="shared" si="13"/>
        <v>111</v>
      </c>
      <c r="AA35" s="1484">
        <f t="shared" si="3"/>
        <v>1</v>
      </c>
      <c r="AB35" s="1484">
        <f t="shared" si="4"/>
        <v>1</v>
      </c>
      <c r="AC35" s="1484">
        <f t="shared" si="5"/>
        <v>1</v>
      </c>
    </row>
    <row r="36" spans="1:29" ht="15">
      <c r="A36" s="630"/>
      <c r="B36" s="1245">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762" t="s">
        <v>2145</v>
      </c>
      <c r="Q36" s="1483">
        <f t="shared" si="8"/>
        <v>111</v>
      </c>
      <c r="R36" s="711" t="s">
        <v>17</v>
      </c>
      <c r="S36" s="712">
        <f t="shared" si="10"/>
        <v>100</v>
      </c>
      <c r="T36" s="711" t="s">
        <v>17</v>
      </c>
      <c r="U36" s="712">
        <f t="shared" si="11"/>
        <v>100</v>
      </c>
      <c r="V36" s="711" t="s">
        <v>17</v>
      </c>
      <c r="W36" s="712">
        <f t="shared" si="12"/>
        <v>100</v>
      </c>
      <c r="X36" s="1486"/>
      <c r="Y36" s="3711" t="s">
        <v>2145</v>
      </c>
      <c r="Z36" s="1487">
        <f t="shared" si="13"/>
        <v>111</v>
      </c>
      <c r="AA36" s="1484">
        <f t="shared" si="3"/>
        <v>1</v>
      </c>
      <c r="AB36" s="1484">
        <f t="shared" si="4"/>
        <v>1</v>
      </c>
      <c r="AC36" s="1484">
        <f t="shared" si="5"/>
        <v>1</v>
      </c>
    </row>
    <row r="37" spans="1:29" s="430" customFormat="1" ht="15.75" thickBot="1">
      <c r="A37" s="631"/>
      <c r="B37" s="1246">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711"/>
      <c r="Q37" s="1483">
        <f t="shared" si="8"/>
        <v>111</v>
      </c>
      <c r="R37" s="714" t="s">
        <v>17</v>
      </c>
      <c r="S37" s="715">
        <f t="shared" si="10"/>
        <v>100</v>
      </c>
      <c r="T37" s="714" t="s">
        <v>17</v>
      </c>
      <c r="U37" s="715">
        <f t="shared" si="11"/>
        <v>100</v>
      </c>
      <c r="V37" s="714" t="s">
        <v>17</v>
      </c>
      <c r="W37" s="715">
        <f t="shared" si="12"/>
        <v>100</v>
      </c>
      <c r="X37" s="716"/>
      <c r="Y37" s="3711"/>
      <c r="Z37" s="717">
        <f t="shared" si="13"/>
        <v>111</v>
      </c>
      <c r="AA37" s="1484">
        <f t="shared" si="3"/>
        <v>1</v>
      </c>
      <c r="AB37" s="1484">
        <f t="shared" si="4"/>
        <v>1</v>
      </c>
      <c r="AC37" s="1484">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711"/>
      <c r="Q38" s="1483" t="str">
        <f>B38</f>
        <v>宗地面积</v>
      </c>
      <c r="R38" s="711" t="s">
        <v>17</v>
      </c>
      <c r="S38" s="712" t="e">
        <f t="shared" si="10"/>
        <v>#N/A</v>
      </c>
      <c r="T38" s="711" t="s">
        <v>17</v>
      </c>
      <c r="U38" s="712" t="e">
        <f t="shared" si="11"/>
        <v>#N/A</v>
      </c>
      <c r="V38" s="711" t="s">
        <v>17</v>
      </c>
      <c r="W38" s="712" t="e">
        <f t="shared" si="12"/>
        <v>#N/A</v>
      </c>
      <c r="X38" s="1486"/>
      <c r="Y38" s="3711"/>
      <c r="Z38" s="1487" t="str">
        <f t="shared" si="13"/>
        <v>宗地面积</v>
      </c>
      <c r="AA38" s="1484" t="e">
        <f t="shared" si="3"/>
        <v>#N/A</v>
      </c>
      <c r="AB38" s="1484" t="e">
        <f t="shared" si="4"/>
        <v>#N/A</v>
      </c>
      <c r="AC38" s="1484" t="e">
        <f t="shared" si="5"/>
        <v>#N/A</v>
      </c>
    </row>
    <row r="39" spans="1:29" ht="15">
      <c r="A39" s="431"/>
      <c r="B39" s="381" t="s">
        <v>2332</v>
      </c>
      <c r="C39" s="2038"/>
      <c r="D39" s="394">
        <v>100</v>
      </c>
      <c r="E39" s="2038"/>
      <c r="F39" s="394">
        <f>SUMIF(118:118,E39,119:119)-SUMIF(118:118,C39,119:119)+100</f>
        <v>100</v>
      </c>
      <c r="G39" s="2038"/>
      <c r="H39" s="394">
        <f>SUMIF(118:118,G39,119:119)-SUMIF(118:118,C39,119:119)+100</f>
        <v>100</v>
      </c>
      <c r="I39" s="2038"/>
      <c r="J39" s="394">
        <f>SUMIF(118:118,I39,119:119)-SUMIF(118:118,C39,119:119)+100</f>
        <v>100</v>
      </c>
      <c r="K39" s="569"/>
      <c r="L39" s="2896"/>
      <c r="M39" s="2890"/>
      <c r="N39" s="2890"/>
      <c r="O39" s="2948"/>
      <c r="P39" s="3711"/>
      <c r="Q39" s="1483" t="str">
        <f t="shared" ref="Q39:Q45" si="14">B39</f>
        <v>宗地形状</v>
      </c>
      <c r="R39" s="711" t="s">
        <v>17</v>
      </c>
      <c r="S39" s="712">
        <f t="shared" si="10"/>
        <v>100</v>
      </c>
      <c r="T39" s="711" t="s">
        <v>17</v>
      </c>
      <c r="U39" s="712">
        <f t="shared" si="11"/>
        <v>100</v>
      </c>
      <c r="V39" s="711" t="s">
        <v>17</v>
      </c>
      <c r="W39" s="712">
        <f t="shared" si="12"/>
        <v>100</v>
      </c>
      <c r="X39" s="1486"/>
      <c r="Y39" s="3711"/>
      <c r="Z39" s="1487" t="str">
        <f t="shared" si="13"/>
        <v>宗地形状</v>
      </c>
      <c r="AA39" s="1484">
        <f t="shared" si="3"/>
        <v>1</v>
      </c>
      <c r="AB39" s="1484">
        <f t="shared" si="4"/>
        <v>1</v>
      </c>
      <c r="AC39" s="1484">
        <f t="shared" si="5"/>
        <v>1</v>
      </c>
    </row>
    <row r="40" spans="1:29" ht="15">
      <c r="A40" s="431"/>
      <c r="B40" s="381" t="s">
        <v>2333</v>
      </c>
      <c r="C40" s="2038"/>
      <c r="D40" s="394">
        <v>100</v>
      </c>
      <c r="E40" s="2038"/>
      <c r="F40" s="394">
        <f>SUMIF(120:120,E40,121:121)-SUMIF(120:120,C40,121:121)+100</f>
        <v>100</v>
      </c>
      <c r="G40" s="2038"/>
      <c r="H40" s="394">
        <f>SUMIF(120:120,G40,121:121)-SUMIF(120:120,C40,121:121)+100</f>
        <v>100</v>
      </c>
      <c r="I40" s="2038"/>
      <c r="J40" s="394">
        <f>SUMIF(120:120,I40,121:121)-SUMIF(120:120,C40,121:121)+100</f>
        <v>100</v>
      </c>
      <c r="K40" s="569"/>
      <c r="L40" s="2896"/>
      <c r="M40" s="2890"/>
      <c r="N40" s="2890"/>
      <c r="O40" s="2948"/>
      <c r="P40" s="3711"/>
      <c r="Q40" s="1483" t="str">
        <f t="shared" si="14"/>
        <v>临街宽度及深度</v>
      </c>
      <c r="R40" s="711" t="s">
        <v>17</v>
      </c>
      <c r="S40" s="712">
        <f t="shared" si="10"/>
        <v>100</v>
      </c>
      <c r="T40" s="711" t="s">
        <v>17</v>
      </c>
      <c r="U40" s="712">
        <f t="shared" si="11"/>
        <v>100</v>
      </c>
      <c r="V40" s="711" t="s">
        <v>17</v>
      </c>
      <c r="W40" s="712">
        <f t="shared" si="12"/>
        <v>100</v>
      </c>
      <c r="X40" s="1486"/>
      <c r="Y40" s="3711"/>
      <c r="Z40" s="1487" t="str">
        <f t="shared" si="13"/>
        <v>临街宽度及深度</v>
      </c>
      <c r="AA40" s="1484">
        <f t="shared" si="3"/>
        <v>1</v>
      </c>
      <c r="AB40" s="1484">
        <f t="shared" si="4"/>
        <v>1</v>
      </c>
      <c r="AC40" s="1484">
        <f t="shared" si="5"/>
        <v>1</v>
      </c>
    </row>
    <row r="41" spans="1:29" s="113" customFormat="1" ht="15">
      <c r="A41" s="432"/>
      <c r="B41" s="381" t="s">
        <v>2334</v>
      </c>
      <c r="C41" s="2112"/>
      <c r="D41" s="132">
        <v>100</v>
      </c>
      <c r="E41" s="2112"/>
      <c r="F41" s="394">
        <f>SUMIF(122:122,E41,123:123)-SUMIF(122:122,C41,123:123)+100</f>
        <v>100</v>
      </c>
      <c r="G41" s="2112"/>
      <c r="H41" s="394">
        <f>SUMIF(122:122,G41,123:123)-SUMIF(122:122,C41,123:123)+100</f>
        <v>100</v>
      </c>
      <c r="I41" s="2112"/>
      <c r="J41" s="394">
        <f>SUMIF(122:122,I41,123:123)-SUMIF(122:122,C41,123:123)+100</f>
        <v>100</v>
      </c>
      <c r="K41" s="569"/>
      <c r="L41" s="2891"/>
      <c r="M41" s="2892"/>
      <c r="N41" s="2892"/>
      <c r="O41" s="2946"/>
      <c r="P41" s="3711"/>
      <c r="Q41" s="1483" t="str">
        <f t="shared" si="14"/>
        <v>宗地开发程度</v>
      </c>
      <c r="R41" s="707" t="s">
        <v>17</v>
      </c>
      <c r="S41" s="708">
        <f t="shared" si="10"/>
        <v>100</v>
      </c>
      <c r="T41" s="707" t="s">
        <v>17</v>
      </c>
      <c r="U41" s="708">
        <f t="shared" si="11"/>
        <v>100</v>
      </c>
      <c r="V41" s="707" t="s">
        <v>17</v>
      </c>
      <c r="W41" s="708">
        <f t="shared" si="12"/>
        <v>100</v>
      </c>
      <c r="X41" s="709"/>
      <c r="Y41" s="3711"/>
      <c r="Z41" s="55" t="str">
        <f t="shared" si="13"/>
        <v>宗地开发程度</v>
      </c>
      <c r="AA41" s="710">
        <f t="shared" si="3"/>
        <v>1</v>
      </c>
      <c r="AB41" s="710">
        <f t="shared" si="4"/>
        <v>1</v>
      </c>
      <c r="AC41" s="710">
        <f t="shared" si="5"/>
        <v>1</v>
      </c>
    </row>
    <row r="42" spans="1:29" ht="15">
      <c r="A42" s="431"/>
      <c r="B42" s="381" t="s">
        <v>2335</v>
      </c>
      <c r="C42" s="2038"/>
      <c r="D42" s="394">
        <v>100</v>
      </c>
      <c r="E42" s="2038"/>
      <c r="F42" s="394">
        <f>SUMIF(124:124,E42,125:125)-SUMIF(124:124,C42,125:125)+100</f>
        <v>100</v>
      </c>
      <c r="G42" s="2038"/>
      <c r="H42" s="394">
        <f>SUMIF(124:124,G42,125:125)-SUMIF(124:124,C42,125:125)+100</f>
        <v>100</v>
      </c>
      <c r="I42" s="2038"/>
      <c r="J42" s="394">
        <f>SUMIF(124:124,I42,125:125)-SUMIF(124:124,C42,125:125)+100</f>
        <v>100</v>
      </c>
      <c r="K42" s="569"/>
      <c r="L42" s="2896"/>
      <c r="M42" s="2890"/>
      <c r="N42" s="2890"/>
      <c r="O42" s="2948"/>
      <c r="P42" s="3711" t="s">
        <v>2145</v>
      </c>
      <c r="Q42" s="1483" t="str">
        <f t="shared" si="14"/>
        <v>工程地质条件</v>
      </c>
      <c r="R42" s="711" t="s">
        <v>17</v>
      </c>
      <c r="S42" s="712">
        <f t="shared" si="10"/>
        <v>100</v>
      </c>
      <c r="T42" s="711" t="s">
        <v>17</v>
      </c>
      <c r="U42" s="712">
        <f t="shared" si="11"/>
        <v>100</v>
      </c>
      <c r="V42" s="711" t="s">
        <v>17</v>
      </c>
      <c r="W42" s="712">
        <f t="shared" si="12"/>
        <v>100</v>
      </c>
      <c r="X42" s="1486"/>
      <c r="Y42" s="3711" t="s">
        <v>2145</v>
      </c>
      <c r="Z42" s="1487" t="str">
        <f t="shared" si="13"/>
        <v>工程地质条件</v>
      </c>
      <c r="AA42" s="1484">
        <f t="shared" si="3"/>
        <v>1</v>
      </c>
      <c r="AB42" s="1484">
        <f t="shared" si="4"/>
        <v>1</v>
      </c>
      <c r="AC42" s="1484">
        <f t="shared" si="5"/>
        <v>1</v>
      </c>
    </row>
    <row r="43" spans="1:29" ht="15">
      <c r="A43" s="431"/>
      <c r="B43" s="1245">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711"/>
      <c r="Q43" s="1483">
        <f t="shared" si="14"/>
        <v>111</v>
      </c>
      <c r="R43" s="711" t="s">
        <v>17</v>
      </c>
      <c r="S43" s="712">
        <f t="shared" si="10"/>
        <v>100</v>
      </c>
      <c r="T43" s="711" t="s">
        <v>17</v>
      </c>
      <c r="U43" s="712">
        <f t="shared" si="11"/>
        <v>100</v>
      </c>
      <c r="V43" s="711" t="s">
        <v>17</v>
      </c>
      <c r="W43" s="712">
        <f t="shared" si="12"/>
        <v>100</v>
      </c>
      <c r="X43" s="1486"/>
      <c r="Y43" s="3711"/>
      <c r="Z43" s="1487">
        <f t="shared" si="13"/>
        <v>111</v>
      </c>
      <c r="AA43" s="1484">
        <f t="shared" si="3"/>
        <v>1</v>
      </c>
      <c r="AB43" s="1484">
        <f t="shared" si="4"/>
        <v>1</v>
      </c>
      <c r="AC43" s="1484">
        <f t="shared" si="5"/>
        <v>1</v>
      </c>
    </row>
    <row r="44" spans="1:29" ht="15">
      <c r="A44" s="431"/>
      <c r="B44" s="1245">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711"/>
      <c r="Q44" s="1483">
        <f t="shared" si="14"/>
        <v>111</v>
      </c>
      <c r="R44" s="711" t="s">
        <v>17</v>
      </c>
      <c r="S44" s="712">
        <f t="shared" si="10"/>
        <v>100</v>
      </c>
      <c r="T44" s="711" t="s">
        <v>17</v>
      </c>
      <c r="U44" s="712">
        <f t="shared" si="11"/>
        <v>100</v>
      </c>
      <c r="V44" s="711" t="s">
        <v>17</v>
      </c>
      <c r="W44" s="712">
        <f t="shared" si="12"/>
        <v>100</v>
      </c>
      <c r="X44" s="1486"/>
      <c r="Y44" s="3711"/>
      <c r="Z44" s="1487">
        <f t="shared" si="13"/>
        <v>111</v>
      </c>
      <c r="AA44" s="1484">
        <f t="shared" si="3"/>
        <v>1</v>
      </c>
      <c r="AB44" s="1484">
        <f t="shared" si="4"/>
        <v>1</v>
      </c>
      <c r="AC44" s="1484">
        <f t="shared" si="5"/>
        <v>1</v>
      </c>
    </row>
    <row r="45" spans="1:29" s="430" customFormat="1" ht="15.75" thickBot="1">
      <c r="A45" s="427"/>
      <c r="B45" s="1245">
        <v>111</v>
      </c>
      <c r="C45" s="2113"/>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711"/>
      <c r="Q45" s="1483">
        <f t="shared" si="14"/>
        <v>111</v>
      </c>
      <c r="R45" s="714" t="s">
        <v>17</v>
      </c>
      <c r="S45" s="715">
        <f t="shared" si="10"/>
        <v>100</v>
      </c>
      <c r="T45" s="714" t="s">
        <v>17</v>
      </c>
      <c r="U45" s="715">
        <f t="shared" si="11"/>
        <v>100</v>
      </c>
      <c r="V45" s="714" t="s">
        <v>17</v>
      </c>
      <c r="W45" s="715">
        <f t="shared" si="12"/>
        <v>100</v>
      </c>
      <c r="X45" s="716"/>
      <c r="Y45" s="3711"/>
      <c r="Z45" s="717">
        <f t="shared" si="13"/>
        <v>111</v>
      </c>
      <c r="AA45" s="1484">
        <f t="shared" si="3"/>
        <v>1</v>
      </c>
      <c r="AB45" s="1484">
        <f t="shared" si="4"/>
        <v>1</v>
      </c>
      <c r="AC45" s="1484">
        <f t="shared" si="5"/>
        <v>1</v>
      </c>
    </row>
    <row r="46" spans="1:29" ht="15">
      <c r="A46" s="438" t="s">
        <v>2300</v>
      </c>
      <c r="B46" s="2114" t="s">
        <v>2336</v>
      </c>
      <c r="C46" s="637" t="s">
        <v>1</v>
      </c>
      <c r="D46" s="440"/>
      <c r="E46" s="441"/>
      <c r="F46" s="442"/>
      <c r="G46" s="443"/>
      <c r="H46" s="444"/>
      <c r="I46" s="441"/>
      <c r="J46" s="444"/>
      <c r="K46" s="720"/>
      <c r="L46" s="2898"/>
      <c r="M46" s="2899"/>
      <c r="N46" s="2890"/>
      <c r="O46" s="2899"/>
      <c r="P46" s="3704" t="str">
        <f>A46</f>
        <v>成交单价</v>
      </c>
      <c r="Q46" s="3704"/>
      <c r="R46" s="3699">
        <f>E46</f>
        <v>0</v>
      </c>
      <c r="S46" s="3699"/>
      <c r="T46" s="3699">
        <f>G46</f>
        <v>0</v>
      </c>
      <c r="U46" s="3699"/>
      <c r="V46" s="3699">
        <f>I46</f>
        <v>0</v>
      </c>
      <c r="W46" s="3699"/>
      <c r="X46" s="696"/>
      <c r="Y46" s="718"/>
      <c r="Z46" s="696"/>
      <c r="AA46" s="696"/>
      <c r="AB46" s="696"/>
      <c r="AC46" s="696"/>
    </row>
    <row r="47" spans="1:29" ht="15.75" thickBot="1">
      <c r="A47" s="445" t="s">
        <v>2249</v>
      </c>
      <c r="B47" s="638"/>
      <c r="C47" s="448" t="e">
        <f>R48</f>
        <v>#DIV/0!</v>
      </c>
      <c r="D47" s="2484" t="s">
        <v>2638</v>
      </c>
      <c r="E47" s="448" t="e">
        <f>R47</f>
        <v>#DIV/0!</v>
      </c>
      <c r="F47" s="2485"/>
      <c r="G47" s="447" t="e">
        <f>T47</f>
        <v>#DIV/0!</v>
      </c>
      <c r="H47" s="2485"/>
      <c r="I47" s="448" t="e">
        <f>V47</f>
        <v>#DIV/0!</v>
      </c>
      <c r="J47" s="2485"/>
      <c r="K47" s="2487">
        <f>F47+H47+J47</f>
        <v>0</v>
      </c>
      <c r="L47" s="2898"/>
      <c r="M47" s="2899"/>
      <c r="N47" s="2899"/>
      <c r="O47" s="2899"/>
      <c r="P47" s="3704" t="str">
        <f>A47</f>
        <v>比较价值（元/平方米）</v>
      </c>
      <c r="Q47" s="3704"/>
      <c r="R47" s="3766" t="e">
        <f>ROUND(PRODUCT(R46,AA7:AA45),0)</f>
        <v>#DIV/0!</v>
      </c>
      <c r="S47" s="3766"/>
      <c r="T47" s="3766" t="e">
        <f>ROUND(PRODUCT(T46,AB7:AB45),0)</f>
        <v>#DIV/0!</v>
      </c>
      <c r="U47" s="3766"/>
      <c r="V47" s="3766" t="e">
        <f>ROUND(PRODUCT(V46,AC7:AC45),0)</f>
        <v>#DIV/0!</v>
      </c>
      <c r="W47" s="3766"/>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701" t="str">
        <f>A48</f>
        <v>估价对象XX用房的比较价值（楼面单价，元/平方米）</v>
      </c>
      <c r="Q48" s="3702"/>
      <c r="R48" s="3767" t="e">
        <f>ROUND(IF(D47="简单平均",AVERAGE(R47:W47),R47*F47+T47*H47+V47*J47),0)</f>
        <v>#DIV/0!</v>
      </c>
      <c r="S48" s="3767"/>
      <c r="T48" s="3767"/>
      <c r="U48" s="3767"/>
      <c r="V48" s="3767"/>
      <c r="W48" s="3767"/>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5" t="s">
        <v>2340</v>
      </c>
      <c r="D55" s="2116" t="s">
        <v>2341</v>
      </c>
      <c r="E55" s="641" t="s">
        <v>2342</v>
      </c>
      <c r="F55" s="999" t="s">
        <v>2343</v>
      </c>
      <c r="G55" s="3687" t="s">
        <v>2344</v>
      </c>
      <c r="H55" s="3768"/>
      <c r="I55" s="140" t="s">
        <v>2345</v>
      </c>
      <c r="J55" s="2117">
        <f>项目基本情况!F35</f>
        <v>0</v>
      </c>
      <c r="K55" s="2118"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30117.4</v>
      </c>
      <c r="F56" s="995" t="e">
        <f t="shared" ref="F56:F64" si="15">ROUND(B56*E56/10000,0)</f>
        <v>#DIV/0!</v>
      </c>
      <c r="G56" s="3686"/>
      <c r="H56" s="3704"/>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6">IF($C$55="北京市系数",I57,J57)</f>
        <v>0</v>
      </c>
      <c r="D57" s="1054">
        <v>0.25</v>
      </c>
      <c r="E57" s="649"/>
      <c r="F57" s="995" t="e">
        <f t="shared" si="15"/>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7">ROUND($C$48*C58*D58,0)</f>
        <v>#DIV/0!</v>
      </c>
      <c r="C58" s="176">
        <f t="shared" si="16"/>
        <v>0</v>
      </c>
      <c r="D58" s="1054">
        <v>0.25</v>
      </c>
      <c r="E58" s="649"/>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7"/>
        <v>#DIV/0!</v>
      </c>
      <c r="C59" s="176">
        <f t="shared" si="16"/>
        <v>0</v>
      </c>
      <c r="D59" s="1054">
        <v>0.25</v>
      </c>
      <c r="E59" s="649"/>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7"/>
        <v>#DIV/0!</v>
      </c>
      <c r="C60" s="176">
        <f t="shared" si="16"/>
        <v>0</v>
      </c>
      <c r="D60" s="1054">
        <v>0.25</v>
      </c>
      <c r="E60" s="223">
        <f>'数据-汇总表'!E11</f>
        <v>0</v>
      </c>
      <c r="F60" s="995" t="e">
        <f t="shared" si="15"/>
        <v>#DIV/0!</v>
      </c>
      <c r="G60" s="2119"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7"/>
        <v>#DIV/0!</v>
      </c>
      <c r="C62" s="176">
        <f t="shared" si="16"/>
        <v>0</v>
      </c>
      <c r="D62" s="1054">
        <v>0.25</v>
      </c>
      <c r="E62" s="223">
        <f>'数据-汇总表'!E13</f>
        <v>1943.05</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7"/>
        <v>#DIV/0!</v>
      </c>
      <c r="C63" s="176">
        <f t="shared" si="16"/>
        <v>0</v>
      </c>
      <c r="D63" s="1054">
        <v>0.25</v>
      </c>
      <c r="E63" s="223">
        <f>'数据-汇总表'!E14</f>
        <v>0</v>
      </c>
      <c r="F63" s="995" t="e">
        <f t="shared" si="15"/>
        <v>#DIV/0!</v>
      </c>
      <c r="G63" s="2119"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7"/>
        <v>#DIV/0!</v>
      </c>
      <c r="C64" s="176">
        <f t="shared" si="16"/>
        <v>0</v>
      </c>
      <c r="D64" s="1054">
        <v>0.25</v>
      </c>
      <c r="E64" s="223">
        <f>'数据-汇总表'!E15</f>
        <v>0</v>
      </c>
      <c r="F64" s="995" t="e">
        <f t="shared" si="15"/>
        <v>#DIV/0!</v>
      </c>
      <c r="G64" s="2120"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32060.45</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2022-12-1</v>
      </c>
      <c r="D67" s="698">
        <f>EDATE(C67,-3)</f>
        <v>44805</v>
      </c>
      <c r="E67" s="698">
        <f>EDATE(D67,-3)</f>
        <v>44713</v>
      </c>
      <c r="F67" s="698">
        <f t="shared" ref="F67:O67" si="18">EDATE(E67,-3)</f>
        <v>44621</v>
      </c>
      <c r="G67" s="698">
        <f t="shared" si="18"/>
        <v>44531</v>
      </c>
      <c r="H67" s="698">
        <f t="shared" si="18"/>
        <v>44440</v>
      </c>
      <c r="I67" s="698">
        <f t="shared" si="18"/>
        <v>44348</v>
      </c>
      <c r="J67" s="698">
        <f t="shared" si="18"/>
        <v>44256</v>
      </c>
      <c r="K67" s="698">
        <f t="shared" si="18"/>
        <v>44166</v>
      </c>
      <c r="L67" s="698">
        <f t="shared" si="18"/>
        <v>44075</v>
      </c>
      <c r="M67" s="698">
        <f t="shared" si="18"/>
        <v>43983</v>
      </c>
      <c r="N67" s="698">
        <f t="shared" si="18"/>
        <v>43891</v>
      </c>
      <c r="O67" s="698">
        <f t="shared" si="18"/>
        <v>43800</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1" t="s">
        <v>2361</v>
      </c>
      <c r="B69" s="1218"/>
      <c r="C69" s="1293" t="str">
        <f>YEAR(C67)&amp;"-"&amp;ROUNDUP(MONTH(C67)/3,0)</f>
        <v>2022-4</v>
      </c>
      <c r="D69" s="1293" t="str">
        <f>YEAR(D67)&amp;"-"&amp;ROUNDUP(MONTH(D67)/3,0)</f>
        <v>2022-3</v>
      </c>
      <c r="E69" s="1293" t="str">
        <f t="shared" ref="E69:O69" si="19">YEAR(E67)&amp;"-"&amp;ROUNDUP(MONTH(E67)/3,0)</f>
        <v>2022-2</v>
      </c>
      <c r="F69" s="1293" t="str">
        <f t="shared" si="19"/>
        <v>2022-1</v>
      </c>
      <c r="G69" s="1293" t="str">
        <f t="shared" si="19"/>
        <v>2021-4</v>
      </c>
      <c r="H69" s="1293" t="str">
        <f t="shared" si="19"/>
        <v>2021-3</v>
      </c>
      <c r="I69" s="1293" t="str">
        <f t="shared" si="19"/>
        <v>2021-2</v>
      </c>
      <c r="J69" s="1293" t="str">
        <f t="shared" si="19"/>
        <v>2021-1</v>
      </c>
      <c r="K69" s="1293" t="str">
        <f t="shared" si="19"/>
        <v>2020-4</v>
      </c>
      <c r="L69" s="1293" t="str">
        <f t="shared" si="19"/>
        <v>2020-3</v>
      </c>
      <c r="M69" s="1293" t="str">
        <f t="shared" si="19"/>
        <v>2020-2</v>
      </c>
      <c r="N69" s="1293" t="str">
        <f t="shared" si="19"/>
        <v>2020-1</v>
      </c>
      <c r="O69" s="1293"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2"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89"/>
      <c r="N70" s="552"/>
      <c r="O70" s="1290"/>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8"/>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3"/>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3"/>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87" t="s">
        <v>2226</v>
      </c>
      <c r="D4" s="3688"/>
      <c r="E4" s="3689" t="s">
        <v>2227</v>
      </c>
      <c r="F4" s="3690"/>
      <c r="G4" s="3687" t="s">
        <v>2228</v>
      </c>
      <c r="H4" s="3688"/>
      <c r="I4" s="3687" t="s">
        <v>2229</v>
      </c>
      <c r="J4" s="3688"/>
      <c r="K4" s="567" t="s">
        <v>2230</v>
      </c>
      <c r="L4" s="2889"/>
      <c r="M4" s="2890"/>
      <c r="N4" s="2890"/>
      <c r="O4" s="2890"/>
      <c r="P4" s="3691" t="s">
        <v>2231</v>
      </c>
      <c r="Q4" s="3692"/>
      <c r="R4" s="3674" t="s">
        <v>2227</v>
      </c>
      <c r="S4" s="3675"/>
      <c r="T4" s="3674" t="s">
        <v>2228</v>
      </c>
      <c r="U4" s="3675"/>
      <c r="V4" s="3699" t="s">
        <v>2229</v>
      </c>
      <c r="W4" s="3699"/>
      <c r="X4" s="1486"/>
      <c r="Y4" s="3674" t="s">
        <v>2231</v>
      </c>
      <c r="Z4" s="3675"/>
      <c r="AA4" s="3669" t="s">
        <v>2227</v>
      </c>
      <c r="AB4" s="3670" t="s">
        <v>2228</v>
      </c>
      <c r="AC4" s="3669" t="s">
        <v>2229</v>
      </c>
    </row>
    <row r="5" spans="1:29" ht="15">
      <c r="A5" s="364"/>
      <c r="B5" s="365"/>
      <c r="C5" s="3680" t="s">
        <v>2122</v>
      </c>
      <c r="D5" s="3681"/>
      <c r="E5" s="3678" t="s">
        <v>2123</v>
      </c>
      <c r="F5" s="3679"/>
      <c r="G5" s="3680" t="s">
        <v>2124</v>
      </c>
      <c r="H5" s="3681"/>
      <c r="I5" s="3680" t="s">
        <v>2125</v>
      </c>
      <c r="J5" s="3681"/>
      <c r="K5" s="567"/>
      <c r="L5" s="2889"/>
      <c r="M5" s="2890"/>
      <c r="N5" s="2890"/>
      <c r="O5" s="2890"/>
      <c r="P5" s="3693"/>
      <c r="Q5" s="3694"/>
      <c r="R5" s="3676"/>
      <c r="S5" s="3677"/>
      <c r="T5" s="3676"/>
      <c r="U5" s="3677"/>
      <c r="V5" s="3699"/>
      <c r="W5" s="3699"/>
      <c r="X5" s="1486"/>
      <c r="Y5" s="3676"/>
      <c r="Z5" s="3677"/>
      <c r="AA5" s="3670"/>
      <c r="AB5" s="3670"/>
      <c r="AC5" s="3670"/>
    </row>
    <row r="6" spans="1:29" ht="15.75" thickBot="1">
      <c r="A6" s="366"/>
      <c r="B6" s="367"/>
      <c r="C6" s="3769" t="s">
        <v>2376</v>
      </c>
      <c r="D6" s="3770"/>
      <c r="E6" s="3771" t="s">
        <v>2376</v>
      </c>
      <c r="F6" s="3772"/>
      <c r="G6" s="3769" t="s">
        <v>2376</v>
      </c>
      <c r="H6" s="3770"/>
      <c r="I6" s="3769" t="s">
        <v>2376</v>
      </c>
      <c r="J6" s="3770"/>
      <c r="K6" s="567" t="s">
        <v>2127</v>
      </c>
      <c r="L6" s="2889"/>
      <c r="M6" s="2890"/>
      <c r="N6" s="2890"/>
      <c r="O6" s="2890"/>
      <c r="P6" s="3695"/>
      <c r="Q6" s="3696"/>
      <c r="R6" s="3676"/>
      <c r="S6" s="3677"/>
      <c r="T6" s="3697"/>
      <c r="U6" s="3698"/>
      <c r="V6" s="3699"/>
      <c r="W6" s="3699"/>
      <c r="X6" s="1486"/>
      <c r="Y6" s="3697"/>
      <c r="Z6" s="3698"/>
      <c r="AA6" s="3671"/>
      <c r="AB6" s="3671"/>
      <c r="AC6" s="3671"/>
    </row>
    <row r="7" spans="1:29" s="113" customFormat="1" ht="15.75" thickBot="1">
      <c r="A7" s="368" t="s">
        <v>2128</v>
      </c>
      <c r="B7" s="369"/>
      <c r="C7" s="370">
        <f>'数据-取费表'!B2</f>
        <v>44901</v>
      </c>
      <c r="D7" s="371">
        <v>100</v>
      </c>
      <c r="E7" s="372"/>
      <c r="F7" s="373">
        <f>SUMIF(65:65,YEAR(E7)&amp;"-"&amp;INT((MONTH(E7)+2)/3),66:66)</f>
        <v>0</v>
      </c>
      <c r="G7" s="2106"/>
      <c r="H7" s="371">
        <f>SUMIF(65:65,YEAR(G7)&amp;"-"&amp;INT((MONTH(G7)+2)/3),66:66)</f>
        <v>0</v>
      </c>
      <c r="I7" s="2106"/>
      <c r="J7" s="371">
        <f>SUMIF(65:65,YEAR(I7)&amp;"-"&amp;INT((MONTH(I7)+2)/3),66:66)</f>
        <v>0</v>
      </c>
      <c r="K7" s="568"/>
      <c r="L7" s="2891"/>
      <c r="M7" s="2892"/>
      <c r="N7" s="2892"/>
      <c r="O7" s="2892"/>
      <c r="P7" s="3672" t="s">
        <v>2129</v>
      </c>
      <c r="Q7" s="3700"/>
      <c r="R7" s="707" t="s">
        <v>17</v>
      </c>
      <c r="S7" s="708">
        <f t="shared" ref="S7:S15" si="0">F7</f>
        <v>0</v>
      </c>
      <c r="T7" s="707" t="s">
        <v>17</v>
      </c>
      <c r="U7" s="708">
        <f t="shared" ref="U7:U15" si="1">H7</f>
        <v>0</v>
      </c>
      <c r="V7" s="707" t="s">
        <v>17</v>
      </c>
      <c r="W7" s="708">
        <f t="shared" ref="W7:W15" si="2">J7</f>
        <v>0</v>
      </c>
      <c r="X7" s="709"/>
      <c r="Y7" s="3672" t="s">
        <v>2129</v>
      </c>
      <c r="Z7" s="3673"/>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672" t="s">
        <v>2132</v>
      </c>
      <c r="Q8" s="3673"/>
      <c r="R8" s="707" t="s">
        <v>17</v>
      </c>
      <c r="S8" s="708">
        <f t="shared" si="0"/>
        <v>0</v>
      </c>
      <c r="T8" s="707" t="s">
        <v>17</v>
      </c>
      <c r="U8" s="708">
        <f t="shared" si="1"/>
        <v>0</v>
      </c>
      <c r="V8" s="707" t="s">
        <v>17</v>
      </c>
      <c r="W8" s="708">
        <f t="shared" si="2"/>
        <v>0</v>
      </c>
      <c r="X8" s="709"/>
      <c r="Y8" s="3672" t="s">
        <v>2132</v>
      </c>
      <c r="Z8" s="3673"/>
      <c r="AA8" s="710" t="e">
        <f t="shared" ref="AA8:AA40" si="3">D8/F8</f>
        <v>#DIV/0!</v>
      </c>
      <c r="AB8" s="710" t="e">
        <f t="shared" ref="AB8:AB40" si="4">D8/H8</f>
        <v>#DIV/0!</v>
      </c>
      <c r="AC8" s="710" t="e">
        <f t="shared" ref="AC8:AC40" si="5">D8/J8</f>
        <v>#DIV/0!</v>
      </c>
    </row>
    <row r="9" spans="1:29" s="113" customFormat="1">
      <c r="A9" s="375" t="s">
        <v>2133</v>
      </c>
      <c r="B9" s="67" t="s">
        <v>2134</v>
      </c>
      <c r="C9" s="2109"/>
      <c r="D9" s="131">
        <v>100</v>
      </c>
      <c r="E9" s="2109"/>
      <c r="F9" s="131">
        <f>SUMIF(70:70,E9,71:71)-SUMIF(70:70,C9,71:71)+100</f>
        <v>100</v>
      </c>
      <c r="G9" s="2109"/>
      <c r="H9" s="131">
        <f>SUMIF(70:70,G9,71:71)-SUMIF(70:70,C9,71:71)+100</f>
        <v>100</v>
      </c>
      <c r="I9" s="2109"/>
      <c r="J9" s="131">
        <f>SUMIF(70:70,I9,71:71)-SUMIF(70:70,C9,71:71)+100</f>
        <v>100</v>
      </c>
      <c r="K9" s="568"/>
      <c r="L9" s="2891"/>
      <c r="M9" s="2892"/>
      <c r="N9" s="2892"/>
      <c r="O9" s="2946"/>
      <c r="P9" s="3704" t="s">
        <v>2135</v>
      </c>
      <c r="Q9" s="1474" t="str">
        <f t="shared" ref="Q9:Q15" si="6">B9</f>
        <v>用途</v>
      </c>
      <c r="R9" s="707" t="s">
        <v>17</v>
      </c>
      <c r="S9" s="708">
        <f t="shared" si="0"/>
        <v>100</v>
      </c>
      <c r="T9" s="707" t="s">
        <v>17</v>
      </c>
      <c r="U9" s="708">
        <f t="shared" si="1"/>
        <v>100</v>
      </c>
      <c r="V9" s="707" t="s">
        <v>17</v>
      </c>
      <c r="W9" s="708">
        <f t="shared" si="2"/>
        <v>100</v>
      </c>
      <c r="X9" s="709"/>
      <c r="Y9" s="3642"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117</v>
      </c>
      <c r="G10" s="391"/>
      <c r="H10" s="132">
        <f>ROUND(100/'数据-取费表'!G16,0)</f>
        <v>117</v>
      </c>
      <c r="I10" s="391"/>
      <c r="J10" s="132">
        <f>ROUND(100/'数据-取费表'!G16,0)</f>
        <v>117</v>
      </c>
      <c r="K10" s="627"/>
      <c r="L10" s="2893"/>
      <c r="M10" s="2894"/>
      <c r="N10" s="2894"/>
      <c r="O10" s="2947"/>
      <c r="P10" s="3704"/>
      <c r="Q10" s="1474" t="str">
        <f t="shared" si="6"/>
        <v>土地使用年限（年）</v>
      </c>
      <c r="R10" s="707" t="s">
        <v>17</v>
      </c>
      <c r="S10" s="708">
        <f t="shared" si="0"/>
        <v>117</v>
      </c>
      <c r="T10" s="707" t="s">
        <v>17</v>
      </c>
      <c r="U10" s="708">
        <f t="shared" si="1"/>
        <v>117</v>
      </c>
      <c r="V10" s="707" t="s">
        <v>17</v>
      </c>
      <c r="W10" s="708">
        <f t="shared" si="2"/>
        <v>117</v>
      </c>
      <c r="X10" s="709"/>
      <c r="Y10" s="3642"/>
      <c r="Z10" s="55" t="str">
        <f t="shared" si="7"/>
        <v>土地使用年限（年）</v>
      </c>
      <c r="AA10" s="710">
        <f t="shared" si="3"/>
        <v>0.85470085470085466</v>
      </c>
      <c r="AB10" s="710">
        <f t="shared" si="4"/>
        <v>0.85470085470085466</v>
      </c>
      <c r="AC10" s="710">
        <f t="shared" si="5"/>
        <v>0.85470085470085466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704"/>
      <c r="Q11" s="1474" t="str">
        <f t="shared" si="6"/>
        <v>容积率</v>
      </c>
      <c r="R11" s="707" t="s">
        <v>17</v>
      </c>
      <c r="S11" s="708" t="e">
        <f t="shared" si="0"/>
        <v>#N/A</v>
      </c>
      <c r="T11" s="707" t="s">
        <v>17</v>
      </c>
      <c r="U11" s="708" t="e">
        <f t="shared" si="1"/>
        <v>#N/A</v>
      </c>
      <c r="V11" s="707" t="s">
        <v>17</v>
      </c>
      <c r="W11" s="708" t="e">
        <f t="shared" si="2"/>
        <v>#N/A</v>
      </c>
      <c r="X11" s="709"/>
      <c r="Y11" s="3642"/>
      <c r="Z11" s="55" t="str">
        <f t="shared" si="7"/>
        <v>容积率</v>
      </c>
      <c r="AA11" s="710" t="e">
        <f t="shared" si="3"/>
        <v>#N/A</v>
      </c>
      <c r="AB11" s="710" t="e">
        <f t="shared" si="4"/>
        <v>#N/A</v>
      </c>
      <c r="AC11" s="710" t="e">
        <f t="shared" si="5"/>
        <v>#N/A</v>
      </c>
    </row>
    <row r="12" spans="1:29" s="113" customFormat="1" ht="15">
      <c r="A12" s="390"/>
      <c r="B12" s="2025">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704"/>
      <c r="Q12" s="1474">
        <f t="shared" si="6"/>
        <v>111</v>
      </c>
      <c r="R12" s="707" t="s">
        <v>17</v>
      </c>
      <c r="S12" s="708">
        <f t="shared" si="0"/>
        <v>100</v>
      </c>
      <c r="T12" s="707" t="s">
        <v>17</v>
      </c>
      <c r="U12" s="708">
        <f t="shared" si="1"/>
        <v>100</v>
      </c>
      <c r="V12" s="707" t="s">
        <v>17</v>
      </c>
      <c r="W12" s="708">
        <f t="shared" si="2"/>
        <v>100</v>
      </c>
      <c r="X12" s="709"/>
      <c r="Y12" s="3642"/>
      <c r="Z12" s="55">
        <f t="shared" si="7"/>
        <v>111</v>
      </c>
      <c r="AA12" s="710">
        <f>D12/F12</f>
        <v>1</v>
      </c>
      <c r="AB12" s="710">
        <f>D12/H12</f>
        <v>1</v>
      </c>
      <c r="AC12" s="710">
        <f>D12/J12</f>
        <v>1</v>
      </c>
    </row>
    <row r="13" spans="1:29" ht="15">
      <c r="A13" s="387"/>
      <c r="B13" s="2025">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704"/>
      <c r="Q13" s="1474">
        <f t="shared" si="6"/>
        <v>111</v>
      </c>
      <c r="R13" s="707" t="s">
        <v>17</v>
      </c>
      <c r="S13" s="708">
        <f t="shared" si="0"/>
        <v>100</v>
      </c>
      <c r="T13" s="707" t="s">
        <v>17</v>
      </c>
      <c r="U13" s="708">
        <f t="shared" si="1"/>
        <v>100</v>
      </c>
      <c r="V13" s="707" t="s">
        <v>17</v>
      </c>
      <c r="W13" s="708">
        <f t="shared" si="2"/>
        <v>100</v>
      </c>
      <c r="X13" s="709"/>
      <c r="Y13" s="3642"/>
      <c r="Z13" s="55">
        <f t="shared" si="7"/>
        <v>111</v>
      </c>
      <c r="AA13" s="710">
        <f t="shared" si="3"/>
        <v>1</v>
      </c>
      <c r="AB13" s="710">
        <f t="shared" si="4"/>
        <v>1</v>
      </c>
      <c r="AC13" s="710">
        <f t="shared" si="5"/>
        <v>1</v>
      </c>
    </row>
    <row r="14" spans="1:29" ht="15.75" thickBot="1">
      <c r="A14" s="395"/>
      <c r="B14" s="2027">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704"/>
      <c r="Q14" s="1474">
        <f t="shared" si="6"/>
        <v>111</v>
      </c>
      <c r="R14" s="707" t="s">
        <v>17</v>
      </c>
      <c r="S14" s="708">
        <f t="shared" si="0"/>
        <v>100</v>
      </c>
      <c r="T14" s="707" t="s">
        <v>17</v>
      </c>
      <c r="U14" s="708">
        <f t="shared" si="1"/>
        <v>100</v>
      </c>
      <c r="V14" s="707" t="s">
        <v>17</v>
      </c>
      <c r="W14" s="708">
        <f t="shared" si="2"/>
        <v>100</v>
      </c>
      <c r="X14" s="709"/>
      <c r="Y14" s="3642"/>
      <c r="Z14" s="55">
        <f t="shared" si="7"/>
        <v>111</v>
      </c>
      <c r="AA14" s="710">
        <f t="shared" si="3"/>
        <v>1</v>
      </c>
      <c r="AB14" s="710">
        <f t="shared" si="4"/>
        <v>1</v>
      </c>
      <c r="AC14" s="710">
        <f t="shared" si="5"/>
        <v>1</v>
      </c>
    </row>
    <row r="15" spans="1:29" ht="57">
      <c r="A15" s="399" t="s">
        <v>2139</v>
      </c>
      <c r="B15" s="585" t="s">
        <v>2377</v>
      </c>
      <c r="C15" s="210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706" t="s">
        <v>2140</v>
      </c>
      <c r="Q15" s="1483" t="str">
        <f t="shared" si="6"/>
        <v>产业集聚程度</v>
      </c>
      <c r="R15" s="711" t="s">
        <v>17</v>
      </c>
      <c r="S15" s="712">
        <f t="shared" si="0"/>
        <v>100</v>
      </c>
      <c r="T15" s="711" t="s">
        <v>17</v>
      </c>
      <c r="U15" s="712">
        <f t="shared" si="1"/>
        <v>100</v>
      </c>
      <c r="V15" s="711" t="s">
        <v>17</v>
      </c>
      <c r="W15" s="712">
        <f t="shared" si="2"/>
        <v>100</v>
      </c>
      <c r="X15" s="1486"/>
      <c r="Y15" s="3706" t="s">
        <v>2140</v>
      </c>
      <c r="Z15" s="1487" t="str">
        <f t="shared" si="7"/>
        <v>产业集聚程度</v>
      </c>
      <c r="AA15" s="1484">
        <f t="shared" si="3"/>
        <v>1</v>
      </c>
      <c r="AB15" s="1484">
        <f t="shared" si="4"/>
        <v>1</v>
      </c>
      <c r="AC15" s="1484">
        <f t="shared" si="5"/>
        <v>1</v>
      </c>
    </row>
    <row r="16" spans="1:29" ht="15">
      <c r="A16" s="387"/>
      <c r="B16" s="586"/>
      <c r="C16" s="406"/>
      <c r="D16" s="407"/>
      <c r="E16" s="2036"/>
      <c r="F16" s="407"/>
      <c r="G16" s="2036"/>
      <c r="H16" s="409"/>
      <c r="I16" s="2036"/>
      <c r="J16" s="407"/>
      <c r="K16" s="627"/>
      <c r="L16" s="2896"/>
      <c r="M16" s="2890"/>
      <c r="N16" s="2890"/>
      <c r="O16" s="2948"/>
      <c r="P16" s="3707"/>
      <c r="Q16" s="1483"/>
      <c r="R16" s="711"/>
      <c r="S16" s="712"/>
      <c r="T16" s="711"/>
      <c r="U16" s="712"/>
      <c r="V16" s="711"/>
      <c r="W16" s="712"/>
      <c r="X16" s="1486"/>
      <c r="Y16" s="3707"/>
      <c r="Z16" s="1487"/>
      <c r="AA16" s="1484">
        <v>1</v>
      </c>
      <c r="AB16" s="1484">
        <v>1</v>
      </c>
      <c r="AC16" s="1484">
        <v>1</v>
      </c>
    </row>
    <row r="17" spans="1:29" ht="85.5">
      <c r="A17" s="387"/>
      <c r="B17" s="587" t="s">
        <v>2289</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707"/>
      <c r="Q17" s="1483" t="str">
        <f>B17</f>
        <v>交通便捷度</v>
      </c>
      <c r="R17" s="711" t="s">
        <v>17</v>
      </c>
      <c r="S17" s="712">
        <f>F17</f>
        <v>100</v>
      </c>
      <c r="T17" s="711" t="s">
        <v>17</v>
      </c>
      <c r="U17" s="712">
        <f>H17</f>
        <v>100</v>
      </c>
      <c r="V17" s="711" t="s">
        <v>17</v>
      </c>
      <c r="W17" s="712">
        <f>J17</f>
        <v>100</v>
      </c>
      <c r="X17" s="1486"/>
      <c r="Y17" s="3707"/>
      <c r="Z17" s="1487" t="str">
        <f>Q17</f>
        <v>交通便捷度</v>
      </c>
      <c r="AA17" s="1484">
        <f t="shared" si="3"/>
        <v>1</v>
      </c>
      <c r="AB17" s="1484">
        <f t="shared" si="4"/>
        <v>1</v>
      </c>
      <c r="AC17" s="1484">
        <f t="shared" si="5"/>
        <v>1</v>
      </c>
    </row>
    <row r="18" spans="1:29" ht="15">
      <c r="A18" s="387"/>
      <c r="B18" s="588"/>
      <c r="C18" s="406"/>
      <c r="D18" s="407"/>
      <c r="E18" s="2030"/>
      <c r="F18" s="407"/>
      <c r="G18" s="2030"/>
      <c r="H18" s="407"/>
      <c r="I18" s="2029"/>
      <c r="J18" s="407"/>
      <c r="K18" s="627"/>
      <c r="L18" s="2896"/>
      <c r="M18" s="2890"/>
      <c r="N18" s="2890"/>
      <c r="O18" s="2948"/>
      <c r="P18" s="3707"/>
      <c r="Q18" s="1483"/>
      <c r="R18" s="711"/>
      <c r="S18" s="712"/>
      <c r="T18" s="711"/>
      <c r="U18" s="712"/>
      <c r="V18" s="711"/>
      <c r="W18" s="712"/>
      <c r="X18" s="1486"/>
      <c r="Y18" s="3707"/>
      <c r="Z18" s="1487"/>
      <c r="AA18" s="1484">
        <v>1</v>
      </c>
      <c r="AB18" s="1484">
        <v>1</v>
      </c>
      <c r="AC18" s="1484">
        <v>1</v>
      </c>
    </row>
    <row r="19" spans="1:29" ht="15">
      <c r="A19" s="387"/>
      <c r="B19" s="587" t="s">
        <v>2328</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707"/>
      <c r="Q19" s="1483" t="str">
        <f t="shared" ref="Q19:Q33" si="8">B19</f>
        <v>区域土地利用方向</v>
      </c>
      <c r="R19" s="711" t="s">
        <v>17</v>
      </c>
      <c r="S19" s="712">
        <f>F19</f>
        <v>100</v>
      </c>
      <c r="T19" s="711" t="s">
        <v>17</v>
      </c>
      <c r="U19" s="712">
        <f>H19</f>
        <v>100</v>
      </c>
      <c r="V19" s="711" t="s">
        <v>17</v>
      </c>
      <c r="W19" s="712">
        <f>J19</f>
        <v>100</v>
      </c>
      <c r="X19" s="1486"/>
      <c r="Y19" s="3707"/>
      <c r="Z19" s="1487" t="str">
        <f>Q19</f>
        <v>区域土地利用方向</v>
      </c>
      <c r="AA19" s="1484">
        <f t="shared" si="3"/>
        <v>1</v>
      </c>
      <c r="AB19" s="1484">
        <f t="shared" si="4"/>
        <v>1</v>
      </c>
      <c r="AC19" s="1484">
        <f t="shared" si="5"/>
        <v>1</v>
      </c>
    </row>
    <row r="20" spans="1:29" ht="15">
      <c r="A20" s="364"/>
      <c r="B20" s="588"/>
      <c r="C20" s="406"/>
      <c r="D20" s="407"/>
      <c r="E20" s="2030"/>
      <c r="F20" s="407"/>
      <c r="G20" s="2030"/>
      <c r="H20" s="407"/>
      <c r="I20" s="2030"/>
      <c r="J20" s="407"/>
      <c r="K20" s="748"/>
      <c r="L20" s="2896"/>
      <c r="M20" s="2890"/>
      <c r="N20" s="2890"/>
      <c r="O20" s="2948"/>
      <c r="P20" s="3707"/>
      <c r="Q20" s="1483"/>
      <c r="R20" s="711"/>
      <c r="S20" s="712"/>
      <c r="T20" s="711"/>
      <c r="U20" s="712"/>
      <c r="V20" s="711"/>
      <c r="W20" s="712"/>
      <c r="X20" s="1486"/>
      <c r="Y20" s="3707"/>
      <c r="Z20" s="1487"/>
      <c r="AA20" s="1484"/>
      <c r="AB20" s="1484"/>
      <c r="AC20" s="1484"/>
    </row>
    <row r="21" spans="1:29" ht="71.25">
      <c r="A21" s="364"/>
      <c r="B21" s="587" t="s">
        <v>2378</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707"/>
      <c r="Q21" s="1483" t="str">
        <f t="shared" si="8"/>
        <v>环境状况</v>
      </c>
      <c r="R21" s="711" t="s">
        <v>17</v>
      </c>
      <c r="S21" s="712">
        <f>F21</f>
        <v>100</v>
      </c>
      <c r="T21" s="711" t="s">
        <v>17</v>
      </c>
      <c r="U21" s="712">
        <f>H21</f>
        <v>100</v>
      </c>
      <c r="V21" s="711" t="s">
        <v>17</v>
      </c>
      <c r="W21" s="712">
        <f>J21</f>
        <v>100</v>
      </c>
      <c r="X21" s="1486"/>
      <c r="Y21" s="3707"/>
      <c r="Z21" s="1487" t="str">
        <f>Q21</f>
        <v>环境状况</v>
      </c>
      <c r="AA21" s="1484">
        <f t="shared" si="3"/>
        <v>1</v>
      </c>
      <c r="AB21" s="1484">
        <f t="shared" si="4"/>
        <v>1</v>
      </c>
      <c r="AC21" s="1484">
        <f t="shared" si="5"/>
        <v>1</v>
      </c>
    </row>
    <row r="22" spans="1:29" ht="15">
      <c r="A22" s="364"/>
      <c r="B22" s="588"/>
      <c r="C22" s="406"/>
      <c r="D22" s="407"/>
      <c r="E22" s="2036"/>
      <c r="F22" s="407"/>
      <c r="G22" s="2036"/>
      <c r="H22" s="407"/>
      <c r="I22" s="406"/>
      <c r="J22" s="407"/>
      <c r="K22" s="627"/>
      <c r="L22" s="2896"/>
      <c r="M22" s="2890"/>
      <c r="N22" s="2890"/>
      <c r="O22" s="2948"/>
      <c r="P22" s="3707"/>
      <c r="Q22" s="1483"/>
      <c r="R22" s="711"/>
      <c r="S22" s="712"/>
      <c r="T22" s="711"/>
      <c r="U22" s="712"/>
      <c r="V22" s="711"/>
      <c r="W22" s="712"/>
      <c r="X22" s="1486"/>
      <c r="Y22" s="3707"/>
      <c r="Z22" s="1487"/>
      <c r="AA22" s="1484">
        <v>1</v>
      </c>
      <c r="AB22" s="1484">
        <v>1</v>
      </c>
      <c r="AC22" s="1484">
        <v>1</v>
      </c>
    </row>
    <row r="23" spans="1:29" s="113" customFormat="1" ht="42.75">
      <c r="A23" s="604"/>
      <c r="B23" s="589" t="s">
        <v>2234</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707"/>
      <c r="Q23" s="1474" t="str">
        <f t="shared" si="8"/>
        <v>公共配套设施</v>
      </c>
      <c r="R23" s="707" t="s">
        <v>17</v>
      </c>
      <c r="S23" s="708">
        <f>F23</f>
        <v>100</v>
      </c>
      <c r="T23" s="707" t="s">
        <v>17</v>
      </c>
      <c r="U23" s="708">
        <f>H23</f>
        <v>100</v>
      </c>
      <c r="V23" s="707" t="s">
        <v>17</v>
      </c>
      <c r="W23" s="708">
        <f>J23</f>
        <v>100</v>
      </c>
      <c r="X23" s="709"/>
      <c r="Y23" s="3707"/>
      <c r="Z23" s="55" t="str">
        <f>Q23</f>
        <v>公共配套设施</v>
      </c>
      <c r="AA23" s="1484">
        <f>D23/F23</f>
        <v>1</v>
      </c>
      <c r="AB23" s="1484">
        <f>D23/H23</f>
        <v>1</v>
      </c>
      <c r="AC23" s="1484">
        <f>D23/J23</f>
        <v>1</v>
      </c>
    </row>
    <row r="24" spans="1:29" s="113" customFormat="1" ht="15">
      <c r="A24" s="604"/>
      <c r="B24" s="588"/>
      <c r="C24" s="2110"/>
      <c r="D24" s="407"/>
      <c r="E24" s="2036"/>
      <c r="F24" s="407"/>
      <c r="G24" s="2036"/>
      <c r="H24" s="407"/>
      <c r="I24" s="406"/>
      <c r="J24" s="407"/>
      <c r="K24" s="627"/>
      <c r="L24" s="2891"/>
      <c r="M24" s="2892"/>
      <c r="N24" s="2892"/>
      <c r="O24" s="2946"/>
      <c r="P24" s="3707"/>
      <c r="Q24" s="1474"/>
      <c r="R24" s="707"/>
      <c r="S24" s="708"/>
      <c r="T24" s="707"/>
      <c r="U24" s="708"/>
      <c r="V24" s="707"/>
      <c r="W24" s="708"/>
      <c r="X24" s="709"/>
      <c r="Y24" s="3707"/>
      <c r="Z24" s="55"/>
      <c r="AA24" s="710">
        <v>1</v>
      </c>
      <c r="AB24" s="710">
        <v>1</v>
      </c>
      <c r="AC24" s="710">
        <v>1</v>
      </c>
    </row>
    <row r="25" spans="1:29" s="113" customFormat="1" ht="28.5">
      <c r="A25" s="604"/>
      <c r="B25" s="589" t="s">
        <v>2235</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707"/>
      <c r="Q25" s="1474" t="str">
        <f t="shared" ref="Q25" si="9">B25</f>
        <v>基础设施水平</v>
      </c>
      <c r="R25" s="707" t="s">
        <v>17</v>
      </c>
      <c r="S25" s="708">
        <f>F25</f>
        <v>100</v>
      </c>
      <c r="T25" s="707" t="s">
        <v>17</v>
      </c>
      <c r="U25" s="708">
        <f>H25</f>
        <v>100</v>
      </c>
      <c r="V25" s="707" t="s">
        <v>17</v>
      </c>
      <c r="W25" s="708">
        <f>J25</f>
        <v>100</v>
      </c>
      <c r="X25" s="709"/>
      <c r="Y25" s="3707"/>
      <c r="Z25" s="55" t="str">
        <f>Q25</f>
        <v>基础设施水平</v>
      </c>
      <c r="AA25" s="1484">
        <f>D25/F25</f>
        <v>1</v>
      </c>
      <c r="AB25" s="1484">
        <f>D25/H25</f>
        <v>1</v>
      </c>
      <c r="AC25" s="1484">
        <f>D25/J25</f>
        <v>1</v>
      </c>
    </row>
    <row r="26" spans="1:29" s="113" customFormat="1" ht="15">
      <c r="A26" s="604"/>
      <c r="B26" s="588"/>
      <c r="C26" s="2110"/>
      <c r="D26" s="407"/>
      <c r="E26" s="2111"/>
      <c r="F26" s="407"/>
      <c r="G26" s="2111"/>
      <c r="H26" s="407"/>
      <c r="I26" s="2111"/>
      <c r="J26" s="407"/>
      <c r="K26" s="627"/>
      <c r="L26" s="2891"/>
      <c r="M26" s="2892"/>
      <c r="N26" s="2892"/>
      <c r="O26" s="2946"/>
      <c r="P26" s="3707"/>
      <c r="Q26" s="1474"/>
      <c r="R26" s="707"/>
      <c r="S26" s="708"/>
      <c r="T26" s="707"/>
      <c r="U26" s="708"/>
      <c r="V26" s="707"/>
      <c r="W26" s="708"/>
      <c r="X26" s="709"/>
      <c r="Y26" s="3707"/>
      <c r="Z26" s="55"/>
      <c r="AA26" s="710">
        <v>1</v>
      </c>
      <c r="AB26" s="710">
        <v>1</v>
      </c>
      <c r="AC26" s="710">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8"/>
      <c r="L27" s="2896"/>
      <c r="M27" s="2890"/>
      <c r="N27" s="2890"/>
      <c r="O27" s="2948"/>
      <c r="P27" s="3707"/>
      <c r="Q27" s="1483" t="str">
        <f t="shared" si="8"/>
        <v>临街状况</v>
      </c>
      <c r="R27" s="711" t="s">
        <v>17</v>
      </c>
      <c r="S27" s="712">
        <f t="shared" ref="S27:S40" si="10">F27</f>
        <v>100</v>
      </c>
      <c r="T27" s="711" t="s">
        <v>17</v>
      </c>
      <c r="U27" s="712">
        <f t="shared" ref="U27:U40" si="11">H27</f>
        <v>100</v>
      </c>
      <c r="V27" s="711" t="s">
        <v>17</v>
      </c>
      <c r="W27" s="712">
        <f t="shared" ref="W27:W40" si="12">J27</f>
        <v>100</v>
      </c>
      <c r="X27" s="1486"/>
      <c r="Y27" s="3707"/>
      <c r="Z27" s="1487" t="str">
        <f t="shared" ref="Z27:Z40" si="13">Q27</f>
        <v>临街状况</v>
      </c>
      <c r="AA27" s="1484">
        <f t="shared" si="3"/>
        <v>1</v>
      </c>
      <c r="AB27" s="1484">
        <f t="shared" si="4"/>
        <v>1</v>
      </c>
      <c r="AC27" s="1484">
        <f t="shared" si="5"/>
        <v>1</v>
      </c>
    </row>
    <row r="28" spans="1:29" ht="27">
      <c r="A28" s="387"/>
      <c r="B28" s="589" t="s">
        <v>2271</v>
      </c>
      <c r="C28" s="2123">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707"/>
      <c r="Q28" s="1483" t="str">
        <f t="shared" si="8"/>
        <v>毗邻道路的类型与等级</v>
      </c>
      <c r="R28" s="711" t="s">
        <v>17</v>
      </c>
      <c r="S28" s="712">
        <f t="shared" si="10"/>
        <v>100</v>
      </c>
      <c r="T28" s="711" t="s">
        <v>17</v>
      </c>
      <c r="U28" s="712">
        <f t="shared" si="11"/>
        <v>100</v>
      </c>
      <c r="V28" s="711" t="s">
        <v>17</v>
      </c>
      <c r="W28" s="712">
        <f t="shared" si="12"/>
        <v>100</v>
      </c>
      <c r="X28" s="1486"/>
      <c r="Y28" s="3707"/>
      <c r="Z28" s="1487" t="str">
        <f t="shared" si="13"/>
        <v>毗邻道路的类型与等级</v>
      </c>
      <c r="AA28" s="1484">
        <f t="shared" si="3"/>
        <v>1</v>
      </c>
      <c r="AB28" s="1484">
        <f t="shared" si="4"/>
        <v>1</v>
      </c>
      <c r="AC28" s="1484">
        <f t="shared" si="5"/>
        <v>1</v>
      </c>
    </row>
    <row r="29" spans="1:29" ht="15">
      <c r="A29" s="387"/>
      <c r="B29" s="588"/>
      <c r="C29" s="406"/>
      <c r="D29" s="407"/>
      <c r="E29" s="2036"/>
      <c r="F29" s="407"/>
      <c r="G29" s="2036"/>
      <c r="H29" s="407"/>
      <c r="I29" s="2036"/>
      <c r="J29" s="407"/>
      <c r="K29" s="570"/>
      <c r="L29" s="2896"/>
      <c r="M29" s="2890"/>
      <c r="N29" s="2890"/>
      <c r="O29" s="2948"/>
      <c r="P29" s="3707"/>
      <c r="Q29" s="1483"/>
      <c r="R29" s="711"/>
      <c r="S29" s="712"/>
      <c r="T29" s="711"/>
      <c r="U29" s="712"/>
      <c r="V29" s="711"/>
      <c r="W29" s="712"/>
      <c r="X29" s="1486"/>
      <c r="Y29" s="3707"/>
      <c r="Z29" s="1487"/>
      <c r="AA29" s="1484">
        <v>1</v>
      </c>
      <c r="AB29" s="1484">
        <v>1</v>
      </c>
      <c r="AC29" s="1484">
        <v>1</v>
      </c>
    </row>
    <row r="30" spans="1:29" ht="15">
      <c r="A30" s="387"/>
      <c r="B30" s="609" t="s">
        <v>2330</v>
      </c>
      <c r="C30" s="124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707"/>
      <c r="Q30" s="1483" t="str">
        <f t="shared" si="8"/>
        <v>土地级别</v>
      </c>
      <c r="R30" s="711" t="s">
        <v>17</v>
      </c>
      <c r="S30" s="712">
        <f t="shared" si="10"/>
        <v>100</v>
      </c>
      <c r="T30" s="711" t="s">
        <v>17</v>
      </c>
      <c r="U30" s="712">
        <f t="shared" si="11"/>
        <v>100</v>
      </c>
      <c r="V30" s="711" t="s">
        <v>17</v>
      </c>
      <c r="W30" s="712">
        <f t="shared" si="12"/>
        <v>100</v>
      </c>
      <c r="X30" s="1486"/>
      <c r="Y30" s="3707"/>
      <c r="Z30" s="1487" t="str">
        <f t="shared" si="13"/>
        <v>土地级别</v>
      </c>
      <c r="AA30" s="1484">
        <f t="shared" si="3"/>
        <v>1</v>
      </c>
      <c r="AB30" s="1484">
        <f t="shared" si="4"/>
        <v>1</v>
      </c>
      <c r="AC30" s="1484">
        <f t="shared" si="5"/>
        <v>1</v>
      </c>
    </row>
    <row r="31" spans="1:29" ht="15">
      <c r="A31" s="364"/>
      <c r="B31" s="2098">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707"/>
      <c r="Q31" s="1483">
        <f t="shared" si="8"/>
        <v>111</v>
      </c>
      <c r="R31" s="711" t="s">
        <v>17</v>
      </c>
      <c r="S31" s="712">
        <f t="shared" si="10"/>
        <v>100</v>
      </c>
      <c r="T31" s="711" t="s">
        <v>17</v>
      </c>
      <c r="U31" s="712">
        <f t="shared" si="11"/>
        <v>100</v>
      </c>
      <c r="V31" s="711" t="s">
        <v>17</v>
      </c>
      <c r="W31" s="712">
        <f t="shared" si="12"/>
        <v>100</v>
      </c>
      <c r="X31" s="1486"/>
      <c r="Y31" s="3707"/>
      <c r="Z31" s="1487">
        <f t="shared" si="13"/>
        <v>111</v>
      </c>
      <c r="AA31" s="1484">
        <f t="shared" si="3"/>
        <v>1</v>
      </c>
      <c r="AB31" s="1484">
        <f t="shared" si="4"/>
        <v>1</v>
      </c>
      <c r="AC31" s="1484">
        <f t="shared" si="5"/>
        <v>1</v>
      </c>
    </row>
    <row r="32" spans="1:29" ht="15">
      <c r="A32" s="630"/>
      <c r="B32" s="2124">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762" t="s">
        <v>2145</v>
      </c>
      <c r="Q32" s="1483">
        <f t="shared" si="8"/>
        <v>111</v>
      </c>
      <c r="R32" s="711" t="s">
        <v>17</v>
      </c>
      <c r="S32" s="712">
        <f t="shared" si="10"/>
        <v>100</v>
      </c>
      <c r="T32" s="711" t="s">
        <v>17</v>
      </c>
      <c r="U32" s="712">
        <f t="shared" si="11"/>
        <v>100</v>
      </c>
      <c r="V32" s="711" t="s">
        <v>17</v>
      </c>
      <c r="W32" s="712">
        <f t="shared" si="12"/>
        <v>100</v>
      </c>
      <c r="X32" s="1486"/>
      <c r="Y32" s="3711" t="s">
        <v>2145</v>
      </c>
      <c r="Z32" s="1487">
        <f t="shared" si="13"/>
        <v>111</v>
      </c>
      <c r="AA32" s="1484">
        <f t="shared" si="3"/>
        <v>1</v>
      </c>
      <c r="AB32" s="1484">
        <f t="shared" si="4"/>
        <v>1</v>
      </c>
      <c r="AC32" s="1484">
        <f t="shared" si="5"/>
        <v>1</v>
      </c>
    </row>
    <row r="33" spans="1:31" s="430" customFormat="1" ht="15.75" thickBot="1">
      <c r="A33" s="631"/>
      <c r="B33" s="2125">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711"/>
      <c r="Q33" s="1483">
        <f t="shared" si="8"/>
        <v>111</v>
      </c>
      <c r="R33" s="714" t="s">
        <v>17</v>
      </c>
      <c r="S33" s="715">
        <f t="shared" si="10"/>
        <v>100</v>
      </c>
      <c r="T33" s="714" t="s">
        <v>17</v>
      </c>
      <c r="U33" s="715">
        <f t="shared" si="11"/>
        <v>100</v>
      </c>
      <c r="V33" s="714" t="s">
        <v>17</v>
      </c>
      <c r="W33" s="715">
        <f t="shared" si="12"/>
        <v>100</v>
      </c>
      <c r="X33" s="716"/>
      <c r="Y33" s="3711"/>
      <c r="Z33" s="717">
        <f t="shared" si="13"/>
        <v>111</v>
      </c>
      <c r="AA33" s="1484">
        <f t="shared" si="3"/>
        <v>1</v>
      </c>
      <c r="AB33" s="1484">
        <f t="shared" si="4"/>
        <v>1</v>
      </c>
      <c r="AC33" s="1484">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711"/>
      <c r="Q34" s="1483" t="str">
        <f>B34</f>
        <v>宗地面积</v>
      </c>
      <c r="R34" s="711" t="s">
        <v>17</v>
      </c>
      <c r="S34" s="712" t="e">
        <f t="shared" si="10"/>
        <v>#N/A</v>
      </c>
      <c r="T34" s="711" t="s">
        <v>17</v>
      </c>
      <c r="U34" s="712" t="e">
        <f t="shared" si="11"/>
        <v>#N/A</v>
      </c>
      <c r="V34" s="711" t="s">
        <v>17</v>
      </c>
      <c r="W34" s="712" t="e">
        <f t="shared" si="12"/>
        <v>#N/A</v>
      </c>
      <c r="X34" s="1486"/>
      <c r="Y34" s="3711"/>
      <c r="Z34" s="1487" t="str">
        <f t="shared" si="13"/>
        <v>宗地面积</v>
      </c>
      <c r="AA34" s="1484" t="e">
        <f t="shared" si="3"/>
        <v>#N/A</v>
      </c>
      <c r="AB34" s="1484" t="e">
        <f t="shared" si="4"/>
        <v>#N/A</v>
      </c>
      <c r="AC34" s="1484" t="e">
        <f t="shared" si="5"/>
        <v>#N/A</v>
      </c>
    </row>
    <row r="35" spans="1:31" ht="15">
      <c r="A35" s="431"/>
      <c r="B35" s="381" t="s">
        <v>2332</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6"/>
      <c r="M35" s="2890"/>
      <c r="N35" s="2890"/>
      <c r="O35" s="2948"/>
      <c r="P35" s="3711"/>
      <c r="Q35" s="1483" t="str">
        <f t="shared" ref="Q35:Q40" si="14">B35</f>
        <v>宗地形状</v>
      </c>
      <c r="R35" s="711" t="s">
        <v>17</v>
      </c>
      <c r="S35" s="712">
        <f t="shared" si="10"/>
        <v>100</v>
      </c>
      <c r="T35" s="711" t="s">
        <v>17</v>
      </c>
      <c r="U35" s="712">
        <f t="shared" si="11"/>
        <v>100</v>
      </c>
      <c r="V35" s="711" t="s">
        <v>17</v>
      </c>
      <c r="W35" s="712">
        <f t="shared" si="12"/>
        <v>100</v>
      </c>
      <c r="X35" s="1486"/>
      <c r="Y35" s="3711"/>
      <c r="Z35" s="1487" t="str">
        <f t="shared" si="13"/>
        <v>宗地形状</v>
      </c>
      <c r="AA35" s="1484">
        <f t="shared" si="3"/>
        <v>1</v>
      </c>
      <c r="AB35" s="1484">
        <f t="shared" si="4"/>
        <v>1</v>
      </c>
      <c r="AC35" s="1484">
        <f t="shared" si="5"/>
        <v>1</v>
      </c>
    </row>
    <row r="36" spans="1:31" s="113" customFormat="1" ht="15">
      <c r="A36" s="432"/>
      <c r="B36" s="381" t="s">
        <v>2334</v>
      </c>
      <c r="C36" s="2112"/>
      <c r="D36" s="132">
        <v>100</v>
      </c>
      <c r="E36" s="2112"/>
      <c r="F36" s="394">
        <f>SUMIF(112:112,E36,113:113)-SUMIF(112:112,C36,113:113)+100</f>
        <v>100</v>
      </c>
      <c r="G36" s="2112"/>
      <c r="H36" s="394">
        <f>SUMIF(112:112,G36,113:113)-SUMIF(112:112,C36,113:113)+100</f>
        <v>100</v>
      </c>
      <c r="I36" s="2112"/>
      <c r="J36" s="394">
        <f>SUMIF(112:112,I36,113:113)-SUMIF(112:112,C36,113:113)+100</f>
        <v>100</v>
      </c>
      <c r="K36" s="569"/>
      <c r="L36" s="2891"/>
      <c r="M36" s="2892"/>
      <c r="N36" s="2892"/>
      <c r="O36" s="2946"/>
      <c r="P36" s="3711"/>
      <c r="Q36" s="1483" t="str">
        <f t="shared" si="14"/>
        <v>宗地开发程度</v>
      </c>
      <c r="R36" s="707" t="s">
        <v>17</v>
      </c>
      <c r="S36" s="708">
        <f t="shared" si="10"/>
        <v>100</v>
      </c>
      <c r="T36" s="707" t="s">
        <v>17</v>
      </c>
      <c r="U36" s="708">
        <f t="shared" si="11"/>
        <v>100</v>
      </c>
      <c r="V36" s="707" t="s">
        <v>17</v>
      </c>
      <c r="W36" s="708">
        <f t="shared" si="12"/>
        <v>100</v>
      </c>
      <c r="X36" s="709"/>
      <c r="Y36" s="3711"/>
      <c r="Z36" s="55" t="str">
        <f t="shared" si="13"/>
        <v>宗地开发程度</v>
      </c>
      <c r="AA36" s="710">
        <f t="shared" si="3"/>
        <v>1</v>
      </c>
      <c r="AB36" s="710">
        <f t="shared" si="4"/>
        <v>1</v>
      </c>
      <c r="AC36" s="710">
        <f t="shared" si="5"/>
        <v>1</v>
      </c>
    </row>
    <row r="37" spans="1:31" ht="15">
      <c r="A37" s="431"/>
      <c r="B37" s="381" t="s">
        <v>2335</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6"/>
      <c r="M37" s="2890"/>
      <c r="N37" s="2890"/>
      <c r="O37" s="2948"/>
      <c r="P37" s="3711" t="s">
        <v>2145</v>
      </c>
      <c r="Q37" s="1483" t="str">
        <f t="shared" si="14"/>
        <v>工程地质条件</v>
      </c>
      <c r="R37" s="711" t="s">
        <v>17</v>
      </c>
      <c r="S37" s="712">
        <f t="shared" si="10"/>
        <v>100</v>
      </c>
      <c r="T37" s="711" t="s">
        <v>17</v>
      </c>
      <c r="U37" s="712">
        <f t="shared" si="11"/>
        <v>100</v>
      </c>
      <c r="V37" s="711" t="s">
        <v>17</v>
      </c>
      <c r="W37" s="712">
        <f t="shared" si="12"/>
        <v>100</v>
      </c>
      <c r="X37" s="1486"/>
      <c r="Y37" s="3711" t="s">
        <v>2145</v>
      </c>
      <c r="Z37" s="1487" t="str">
        <f t="shared" si="13"/>
        <v>工程地质条件</v>
      </c>
      <c r="AA37" s="1484">
        <f t="shared" si="3"/>
        <v>1</v>
      </c>
      <c r="AB37" s="1484">
        <f t="shared" si="4"/>
        <v>1</v>
      </c>
      <c r="AC37" s="1484">
        <f t="shared" si="5"/>
        <v>1</v>
      </c>
    </row>
    <row r="38" spans="1:31" ht="15">
      <c r="A38" s="431"/>
      <c r="B38" s="1245">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711"/>
      <c r="Q38" s="1483">
        <f t="shared" si="14"/>
        <v>111</v>
      </c>
      <c r="R38" s="711" t="s">
        <v>17</v>
      </c>
      <c r="S38" s="712">
        <f t="shared" si="10"/>
        <v>100</v>
      </c>
      <c r="T38" s="711" t="s">
        <v>17</v>
      </c>
      <c r="U38" s="712">
        <f t="shared" si="11"/>
        <v>100</v>
      </c>
      <c r="V38" s="711" t="s">
        <v>17</v>
      </c>
      <c r="W38" s="712">
        <f t="shared" si="12"/>
        <v>100</v>
      </c>
      <c r="X38" s="1486"/>
      <c r="Y38" s="3711"/>
      <c r="Z38" s="1487">
        <f t="shared" si="13"/>
        <v>111</v>
      </c>
      <c r="AA38" s="1484">
        <f t="shared" si="3"/>
        <v>1</v>
      </c>
      <c r="AB38" s="1484">
        <f t="shared" si="4"/>
        <v>1</v>
      </c>
      <c r="AC38" s="1484">
        <f t="shared" si="5"/>
        <v>1</v>
      </c>
    </row>
    <row r="39" spans="1:31" ht="15">
      <c r="A39" s="431"/>
      <c r="B39" s="1245">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711"/>
      <c r="Q39" s="1483">
        <f t="shared" si="14"/>
        <v>111</v>
      </c>
      <c r="R39" s="711" t="s">
        <v>17</v>
      </c>
      <c r="S39" s="712">
        <f t="shared" si="10"/>
        <v>100</v>
      </c>
      <c r="T39" s="711" t="s">
        <v>17</v>
      </c>
      <c r="U39" s="712">
        <f t="shared" si="11"/>
        <v>100</v>
      </c>
      <c r="V39" s="711" t="s">
        <v>17</v>
      </c>
      <c r="W39" s="712">
        <f t="shared" si="12"/>
        <v>100</v>
      </c>
      <c r="X39" s="1486"/>
      <c r="Y39" s="3711"/>
      <c r="Z39" s="1487">
        <f t="shared" si="13"/>
        <v>111</v>
      </c>
      <c r="AA39" s="1484">
        <f t="shared" si="3"/>
        <v>1</v>
      </c>
      <c r="AB39" s="1484">
        <f t="shared" si="4"/>
        <v>1</v>
      </c>
      <c r="AC39" s="1484">
        <f t="shared" si="5"/>
        <v>1</v>
      </c>
    </row>
    <row r="40" spans="1:31" s="430" customFormat="1" ht="15.75" thickBot="1">
      <c r="A40" s="427"/>
      <c r="B40" s="1245">
        <v>111</v>
      </c>
      <c r="C40" s="2113"/>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711"/>
      <c r="Q40" s="1483">
        <f t="shared" si="14"/>
        <v>111</v>
      </c>
      <c r="R40" s="714" t="s">
        <v>17</v>
      </c>
      <c r="S40" s="715">
        <f t="shared" si="10"/>
        <v>100</v>
      </c>
      <c r="T40" s="714" t="s">
        <v>17</v>
      </c>
      <c r="U40" s="715">
        <f t="shared" si="11"/>
        <v>100</v>
      </c>
      <c r="V40" s="714" t="s">
        <v>17</v>
      </c>
      <c r="W40" s="715">
        <f t="shared" si="12"/>
        <v>100</v>
      </c>
      <c r="X40" s="716"/>
      <c r="Y40" s="3711"/>
      <c r="Z40" s="717">
        <f t="shared" si="13"/>
        <v>111</v>
      </c>
      <c r="AA40" s="1484">
        <f t="shared" si="3"/>
        <v>1</v>
      </c>
      <c r="AB40" s="1484">
        <f t="shared" si="4"/>
        <v>1</v>
      </c>
      <c r="AC40" s="1484">
        <f t="shared" si="5"/>
        <v>1</v>
      </c>
    </row>
    <row r="41" spans="1:31" ht="15">
      <c r="A41" s="438" t="s">
        <v>2300</v>
      </c>
      <c r="B41" s="2114" t="s">
        <v>2379</v>
      </c>
      <c r="C41" s="637" t="s">
        <v>1</v>
      </c>
      <c r="D41" s="440"/>
      <c r="E41" s="441"/>
      <c r="F41" s="442"/>
      <c r="G41" s="443"/>
      <c r="H41" s="444"/>
      <c r="I41" s="441"/>
      <c r="J41" s="444"/>
      <c r="K41" s="720"/>
      <c r="L41" s="2898"/>
      <c r="M41" s="2890"/>
      <c r="N41" s="2890"/>
      <c r="O41" s="2899"/>
      <c r="P41" s="3704" t="str">
        <f>A41</f>
        <v>成交单价</v>
      </c>
      <c r="Q41" s="3704"/>
      <c r="R41" s="3699">
        <f>E41</f>
        <v>0</v>
      </c>
      <c r="S41" s="3699"/>
      <c r="T41" s="3699">
        <f>G41</f>
        <v>0</v>
      </c>
      <c r="U41" s="3699"/>
      <c r="V41" s="3699">
        <f>I41</f>
        <v>0</v>
      </c>
      <c r="W41" s="3699"/>
      <c r="X41" s="696"/>
      <c r="Y41" s="718"/>
      <c r="Z41" s="696"/>
      <c r="AA41" s="696"/>
      <c r="AB41" s="696"/>
      <c r="AC41" s="696"/>
    </row>
    <row r="42" spans="1:31" ht="15.75" thickBot="1">
      <c r="A42" s="445" t="s">
        <v>2249</v>
      </c>
      <c r="B42" s="638"/>
      <c r="C42" s="448" t="e">
        <f>R43</f>
        <v>#DIV/0!</v>
      </c>
      <c r="D42" s="2484" t="s">
        <v>2638</v>
      </c>
      <c r="E42" s="448" t="e">
        <f>R42</f>
        <v>#DIV/0!</v>
      </c>
      <c r="F42" s="2485"/>
      <c r="G42" s="447" t="e">
        <f>T42</f>
        <v>#DIV/0!</v>
      </c>
      <c r="H42" s="2485"/>
      <c r="I42" s="448" t="e">
        <f>V42</f>
        <v>#DIV/0!</v>
      </c>
      <c r="J42" s="2485"/>
      <c r="K42" s="2487">
        <f>F42+H42+J42</f>
        <v>0</v>
      </c>
      <c r="L42" s="2898"/>
      <c r="M42" s="2890"/>
      <c r="N42" s="2890"/>
      <c r="O42" s="2899"/>
      <c r="P42" s="3704" t="str">
        <f>A42</f>
        <v>比较价值（元/平方米）</v>
      </c>
      <c r="Q42" s="3704"/>
      <c r="R42" s="3766" t="e">
        <f>ROUND(PRODUCT(R41,AA7:AA40),0)</f>
        <v>#DIV/0!</v>
      </c>
      <c r="S42" s="3766"/>
      <c r="T42" s="3766" t="e">
        <f>ROUND(PRODUCT(T41,AB7:AB40),0)</f>
        <v>#DIV/0!</v>
      </c>
      <c r="U42" s="3766"/>
      <c r="V42" s="3766" t="e">
        <f>ROUND(PRODUCT(V41,AC7:AC40),0)</f>
        <v>#DIV/0!</v>
      </c>
      <c r="W42" s="3766"/>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701" t="str">
        <f>A43</f>
        <v>估价对象XX用房的比较价值（楼面单价，元/平方米）</v>
      </c>
      <c r="Q43" s="3702"/>
      <c r="R43" s="3767" t="e">
        <f>ROUND(IF(D42="简单平均",AVERAGE(R42:W42),R42*F42+T42*H42+V42*J42),0)</f>
        <v>#DIV/0!</v>
      </c>
      <c r="S43" s="3767"/>
      <c r="T43" s="3767"/>
      <c r="U43" s="3767"/>
      <c r="V43" s="3767"/>
      <c r="W43" s="3767"/>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5" t="s">
        <v>2340</v>
      </c>
      <c r="D50" s="2116" t="s">
        <v>2341</v>
      </c>
      <c r="E50" s="641" t="s">
        <v>2342</v>
      </c>
      <c r="F50" s="642" t="s">
        <v>2343</v>
      </c>
      <c r="G50" s="3687" t="s">
        <v>2344</v>
      </c>
      <c r="H50" s="3768"/>
      <c r="I50" s="1487" t="s">
        <v>2380</v>
      </c>
      <c r="J50" s="1487">
        <f>项目基本情况!F35</f>
        <v>0</v>
      </c>
      <c r="K50" s="2118"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30117.4</v>
      </c>
      <c r="F51" s="646" t="e">
        <f t="shared" ref="F51:F60" si="15">ROUND(B51*E51/10000,0)</f>
        <v>#DIV/0!</v>
      </c>
      <c r="G51" s="3686"/>
      <c r="H51" s="3704"/>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6">IF($C$50="北京市系数",I52,J52)</f>
        <v>0</v>
      </c>
      <c r="D52" s="1054">
        <v>0.25</v>
      </c>
      <c r="E52" s="649"/>
      <c r="F52" s="646" t="e">
        <f t="shared" si="15"/>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7">ROUND($C$43*C53*D53,0)</f>
        <v>#DIV/0!</v>
      </c>
      <c r="C53" s="176">
        <f t="shared" si="16"/>
        <v>0</v>
      </c>
      <c r="D53" s="1054">
        <v>0.25</v>
      </c>
      <c r="E53" s="649"/>
      <c r="F53" s="646"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7"/>
        <v>#DIV/0!</v>
      </c>
      <c r="C54" s="176">
        <f t="shared" si="16"/>
        <v>0</v>
      </c>
      <c r="D54" s="1054">
        <v>0.25</v>
      </c>
      <c r="E54" s="649"/>
      <c r="F54" s="646"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7"/>
        <v>#DIV/0!</v>
      </c>
      <c r="C56" s="176">
        <f t="shared" si="16"/>
        <v>0</v>
      </c>
      <c r="D56" s="1054">
        <v>0.25</v>
      </c>
      <c r="E56" s="223">
        <f>'数据-汇总表'!E11</f>
        <v>0</v>
      </c>
      <c r="F56" s="646" t="e">
        <f t="shared" si="15"/>
        <v>#DIV/0!</v>
      </c>
      <c r="G56" s="2119"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7"/>
        <v>#DIV/0!</v>
      </c>
      <c r="C58" s="176">
        <f t="shared" si="16"/>
        <v>0</v>
      </c>
      <c r="D58" s="1054">
        <v>0.25</v>
      </c>
      <c r="E58" s="223">
        <f>'数据-汇总表'!E13</f>
        <v>1943.05</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7"/>
        <v>#DIV/0!</v>
      </c>
      <c r="C59" s="176">
        <f t="shared" si="16"/>
        <v>0</v>
      </c>
      <c r="D59" s="1054">
        <v>0.25</v>
      </c>
      <c r="E59" s="223">
        <f>'数据-汇总表'!E14</f>
        <v>0</v>
      </c>
      <c r="F59" s="646" t="e">
        <f t="shared" si="15"/>
        <v>#DIV/0!</v>
      </c>
      <c r="G59" s="2119"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7"/>
        <v>#DIV/0!</v>
      </c>
      <c r="C60" s="176">
        <f t="shared" si="16"/>
        <v>0</v>
      </c>
      <c r="D60" s="1054">
        <v>0.25</v>
      </c>
      <c r="E60" s="223">
        <f>'数据-汇总表'!E15</f>
        <v>0</v>
      </c>
      <c r="F60" s="646" t="e">
        <f t="shared" si="15"/>
        <v>#DIV/0!</v>
      </c>
      <c r="G60" s="2120"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6030.52</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2022-12-1</v>
      </c>
      <c r="D63" s="698">
        <f>EDATE(C63,-3)</f>
        <v>44805</v>
      </c>
      <c r="E63" s="698">
        <f>EDATE(D63,-3)</f>
        <v>44713</v>
      </c>
      <c r="F63" s="698">
        <f t="shared" ref="F63:O63" si="18">EDATE(E63,-3)</f>
        <v>44621</v>
      </c>
      <c r="G63" s="698">
        <f t="shared" si="18"/>
        <v>44531</v>
      </c>
      <c r="H63" s="698">
        <f t="shared" si="18"/>
        <v>44440</v>
      </c>
      <c r="I63" s="698">
        <f t="shared" si="18"/>
        <v>44348</v>
      </c>
      <c r="J63" s="698">
        <f t="shared" si="18"/>
        <v>44256</v>
      </c>
      <c r="K63" s="698">
        <f t="shared" si="18"/>
        <v>44166</v>
      </c>
      <c r="L63" s="698">
        <f t="shared" si="18"/>
        <v>44075</v>
      </c>
      <c r="M63" s="698">
        <f t="shared" si="18"/>
        <v>43983</v>
      </c>
      <c r="N63" s="698">
        <f t="shared" si="18"/>
        <v>43891</v>
      </c>
      <c r="O63" s="698">
        <f t="shared" si="18"/>
        <v>43800</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1" t="s">
        <v>2361</v>
      </c>
      <c r="B65" s="1218"/>
      <c r="C65" s="1293" t="str">
        <f>YEAR(C63)&amp;"-"&amp;ROUNDUP(MONTH(C63)/3,0)</f>
        <v>2022-4</v>
      </c>
      <c r="D65" s="1293" t="str">
        <f t="shared" ref="D65:O65" si="19">YEAR(D63)&amp;"-"&amp;ROUNDUP(MONTH(D63)/3,0)</f>
        <v>2022-3</v>
      </c>
      <c r="E65" s="1293" t="str">
        <f t="shared" si="19"/>
        <v>2022-2</v>
      </c>
      <c r="F65" s="1293" t="str">
        <f t="shared" si="19"/>
        <v>2022-1</v>
      </c>
      <c r="G65" s="1293" t="str">
        <f t="shared" si="19"/>
        <v>2021-4</v>
      </c>
      <c r="H65" s="1293" t="str">
        <f t="shared" si="19"/>
        <v>2021-3</v>
      </c>
      <c r="I65" s="1293" t="str">
        <f t="shared" si="19"/>
        <v>2021-2</v>
      </c>
      <c r="J65" s="1293" t="str">
        <f t="shared" si="19"/>
        <v>2021-1</v>
      </c>
      <c r="K65" s="1293" t="str">
        <f t="shared" si="19"/>
        <v>2020-4</v>
      </c>
      <c r="L65" s="1293" t="str">
        <f t="shared" si="19"/>
        <v>2020-3</v>
      </c>
      <c r="M65" s="1293" t="str">
        <f t="shared" si="19"/>
        <v>2020-2</v>
      </c>
      <c r="N65" s="1293" t="str">
        <f t="shared" si="19"/>
        <v>2020-1</v>
      </c>
      <c r="O65" s="1293"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6" t="s">
        <v>2381</v>
      </c>
      <c r="B66" s="294" t="str">
        <f>"北京市平均增长率"&amp;TEXT(基准地价修正!P24,"0.00%")</f>
        <v>北京市平均增长率0.00%</v>
      </c>
      <c r="C66" s="560">
        <v>100</v>
      </c>
      <c r="D66" s="552"/>
      <c r="E66" s="552"/>
      <c r="F66" s="552"/>
      <c r="G66" s="552"/>
      <c r="H66" s="552"/>
      <c r="I66" s="552"/>
      <c r="J66" s="552"/>
      <c r="K66" s="552"/>
      <c r="L66" s="552"/>
      <c r="M66" s="1289"/>
      <c r="N66" s="1289"/>
      <c r="O66" s="1291"/>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8"/>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3"/>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0" t="str">
        <f t="shared" si="25"/>
        <v>(含)-</v>
      </c>
      <c r="L107" s="1450" t="str">
        <f t="shared" si="25"/>
        <v>(含)-</v>
      </c>
      <c r="M107" s="1451"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2" t="s">
        <v>2383</v>
      </c>
      <c r="B1" s="203"/>
      <c r="C1" s="207" t="s">
        <v>2384</v>
      </c>
      <c r="D1" s="348">
        <f>SUM(D29:D30,D33:D39)</f>
        <v>0</v>
      </c>
      <c r="E1" s="2127"/>
      <c r="F1" s="2127"/>
      <c r="G1" s="2127"/>
      <c r="H1" s="2127"/>
      <c r="I1" s="2127"/>
      <c r="J1" s="2127"/>
      <c r="K1" s="1229"/>
      <c r="L1" s="2128" t="s">
        <v>2385</v>
      </c>
      <c r="M1" s="972">
        <f>SUMPRODUCT((区片价!B5:B9=I2)*(区片价!C3:F3=E2)*(区片价!C5:F9))</f>
        <v>0</v>
      </c>
      <c r="N1" s="975">
        <f>SUMPRODUCT((因素修正幅度!B5:B9=I2)*(因素修正幅度!C3:F3=E2)*(因素修正幅度!C5:F9))</f>
        <v>0</v>
      </c>
      <c r="O1" s="2129"/>
      <c r="P1" s="2129"/>
      <c r="Q1" s="1229"/>
      <c r="R1" s="1323" t="s">
        <v>2386</v>
      </c>
      <c r="S1" s="1323" t="s">
        <v>2387</v>
      </c>
      <c r="T1" s="1323" t="s">
        <v>2388</v>
      </c>
      <c r="U1" s="1323" t="s">
        <v>2389</v>
      </c>
      <c r="V1" s="1323" t="s">
        <v>2390</v>
      </c>
      <c r="W1" s="1327"/>
      <c r="X1" s="1327"/>
      <c r="Y1" s="1327"/>
      <c r="Z1" s="1327"/>
      <c r="AA1" s="1327"/>
      <c r="AB1" s="1327"/>
      <c r="AC1" s="1328"/>
      <c r="AD1" s="1329"/>
      <c r="AE1" s="1329"/>
      <c r="AF1" s="1329"/>
      <c r="AG1" s="1329"/>
      <c r="AH1" s="1329"/>
      <c r="AI1" s="1329"/>
      <c r="AJ1" s="1330"/>
    </row>
    <row r="2" spans="1:36" ht="15.75">
      <c r="A2" s="207" t="s">
        <v>2391</v>
      </c>
      <c r="B2" s="210"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29"/>
      <c r="L2" s="2136" t="s">
        <v>2396</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9" t="s">
        <v>2397</v>
      </c>
      <c r="B3" s="210" t="e">
        <f>ROUND(B2*10000/D1,0)</f>
        <v>#DIV/0!</v>
      </c>
      <c r="C3" s="2131" t="s">
        <v>2398</v>
      </c>
      <c r="D3" s="2132" t="s">
        <v>2399</v>
      </c>
      <c r="E3" s="2137"/>
      <c r="F3" s="2138" t="s">
        <v>2400</v>
      </c>
      <c r="G3" s="834">
        <f>IF(F3="宗地容积率",'数据-汇总表'!I4,IF(F3="估价对象容积率",'数据-汇总表'!I6,'数据-汇总表'!I7))</f>
        <v>4.99</v>
      </c>
      <c r="H3" s="175" t="s">
        <v>2401</v>
      </c>
      <c r="I3" s="859"/>
      <c r="J3" s="2135" t="s">
        <v>2402</v>
      </c>
      <c r="K3" s="1229"/>
      <c r="L3" s="2136" t="s">
        <v>2403</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92"/>
      <c r="B4" s="3793"/>
      <c r="C4" s="3793"/>
      <c r="D4" s="3794"/>
      <c r="E4" s="3794"/>
      <c r="F4" s="3794"/>
      <c r="G4" s="3794"/>
      <c r="H4" s="3794"/>
      <c r="I4" s="3794"/>
      <c r="J4" s="3795"/>
      <c r="K4" s="1229"/>
      <c r="L4" s="2136" t="s">
        <v>2404</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2405</v>
      </c>
      <c r="C5" s="835" t="e">
        <f>ROUND(IF(E2="商业",C6*C7+C16,(IF(E2="住宅",C6*C12+C16,C6+C16))),0)</f>
        <v>#DIV/0!</v>
      </c>
      <c r="D5" s="1470" t="e">
        <f>ROUND(C6+C16,0)</f>
        <v>#DIV/0!</v>
      </c>
      <c r="E5" s="1470"/>
      <c r="F5" s="2141"/>
      <c r="G5" s="2142"/>
      <c r="H5" s="2142"/>
      <c r="I5" s="2142"/>
      <c r="J5" s="2143"/>
      <c r="K5" s="2144"/>
      <c r="L5" s="2136" t="s">
        <v>2406</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2407</v>
      </c>
      <c r="B6" s="2150" t="s">
        <v>2408</v>
      </c>
      <c r="C6" s="836">
        <f>SUMIF(L1:L12,G2,M1:M12)</f>
        <v>0</v>
      </c>
      <c r="D6" s="2151" t="s">
        <v>2409</v>
      </c>
      <c r="E6" s="2152"/>
      <c r="F6" s="2152"/>
      <c r="G6" s="2153"/>
      <c r="H6" s="2153"/>
      <c r="I6" s="2153"/>
      <c r="J6" s="2154"/>
      <c r="K6" s="1515"/>
      <c r="L6" s="2136" t="s">
        <v>2410</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73" t="str">
        <f>IF(E2="商业",IF(C8="不临58条商业街","",2),"")</f>
        <v/>
      </c>
      <c r="B7" s="2155" t="s">
        <v>2411</v>
      </c>
      <c r="C7" s="837" t="e">
        <f>IF(C8="不临58条商业街",1,ROUND(1+(1.6*E8+1.2*E9+0.8*E10+0.4*E11)*C9,4))</f>
        <v>#DIV/0!</v>
      </c>
      <c r="D7" s="2156" t="s">
        <v>2412</v>
      </c>
      <c r="E7" s="860"/>
      <c r="F7" s="2157"/>
      <c r="G7" s="2158"/>
      <c r="H7" s="2158"/>
      <c r="I7" s="2158"/>
      <c r="J7" s="2159"/>
      <c r="K7" s="1515"/>
      <c r="L7" s="2136" t="s">
        <v>2413</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2414</v>
      </c>
      <c r="X7" s="1325">
        <f>G2</f>
        <v>0</v>
      </c>
      <c r="Y7" s="1325" t="s">
        <v>2415</v>
      </c>
      <c r="Z7" s="1326">
        <f>G3</f>
        <v>4.99</v>
      </c>
      <c r="AA7" s="1327"/>
      <c r="AB7" s="1327"/>
      <c r="AC7" s="1328"/>
      <c r="AD7" s="1329"/>
      <c r="AE7" s="1329"/>
      <c r="AF7" s="1329"/>
      <c r="AG7" s="1329"/>
      <c r="AH7" s="1329"/>
      <c r="AI7" s="1329"/>
      <c r="AJ7" s="1330"/>
    </row>
    <row r="8" spans="1:36" ht="15">
      <c r="A8" s="3796"/>
      <c r="B8" s="175" t="s">
        <v>2416</v>
      </c>
      <c r="C8" s="2160"/>
      <c r="D8" s="838" t="s">
        <v>139</v>
      </c>
      <c r="E8" s="839" t="e">
        <f>ROUND(C11/E7,4)</f>
        <v>#DIV/0!</v>
      </c>
      <c r="F8" s="2161" t="s">
        <v>2417</v>
      </c>
      <c r="G8" s="2162"/>
      <c r="H8" s="2162"/>
      <c r="I8" s="2162"/>
      <c r="J8" s="2163"/>
      <c r="K8" s="1229"/>
      <c r="L8" s="2136" t="s">
        <v>2418</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789" t="s">
        <v>2419</v>
      </c>
      <c r="X8" s="3790"/>
      <c r="Y8" s="1331" t="s">
        <v>2420</v>
      </c>
      <c r="Z8" s="1331" t="s">
        <v>2421</v>
      </c>
      <c r="AA8" s="1331" t="s">
        <v>2422</v>
      </c>
      <c r="AB8" s="1331" t="s">
        <v>2423</v>
      </c>
      <c r="AC8" s="1331" t="s">
        <v>2424</v>
      </c>
      <c r="AD8" s="1331" t="s">
        <v>2425</v>
      </c>
      <c r="AE8" s="1331" t="s">
        <v>2426</v>
      </c>
      <c r="AF8" s="1331" t="s">
        <v>2427</v>
      </c>
      <c r="AG8" s="1331" t="s">
        <v>2428</v>
      </c>
      <c r="AH8" s="1331" t="s">
        <v>2429</v>
      </c>
      <c r="AI8" s="1331" t="s">
        <v>2430</v>
      </c>
      <c r="AJ8" s="1331" t="s">
        <v>2431</v>
      </c>
    </row>
    <row r="9" spans="1:36" ht="15">
      <c r="A9" s="3796"/>
      <c r="B9" s="175" t="s">
        <v>2432</v>
      </c>
      <c r="C9" s="840">
        <f>SUMIF(修正!C71:C138,C8,修正!E71:E138)</f>
        <v>0</v>
      </c>
      <c r="D9" s="176" t="s">
        <v>140</v>
      </c>
      <c r="E9" s="176" t="e">
        <f>ROUND(C11/E7,4)</f>
        <v>#DIV/0!</v>
      </c>
      <c r="F9" s="2161" t="s">
        <v>2433</v>
      </c>
      <c r="G9" s="2162"/>
      <c r="H9" s="2162"/>
      <c r="I9" s="2162"/>
      <c r="J9" s="2163"/>
      <c r="K9" s="1229"/>
      <c r="L9" s="2136" t="s">
        <v>2434</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791" t="s">
        <v>2435</v>
      </c>
      <c r="X9" s="1332" t="s">
        <v>2436</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96"/>
      <c r="B10" s="175" t="s">
        <v>2437</v>
      </c>
      <c r="C10" s="176">
        <f>SUMIF(修正!C71:C138,C8,修正!F71:F138)</f>
        <v>0</v>
      </c>
      <c r="D10" s="176" t="s">
        <v>141</v>
      </c>
      <c r="E10" s="176" t="e">
        <f>ROUND(C11/E7,4)</f>
        <v>#DIV/0!</v>
      </c>
      <c r="F10" s="2161" t="s">
        <v>2438</v>
      </c>
      <c r="G10" s="2162"/>
      <c r="H10" s="2162"/>
      <c r="I10" s="2162"/>
      <c r="J10" s="2163"/>
      <c r="K10" s="1229"/>
      <c r="L10" s="2136" t="s">
        <v>2439</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791"/>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96"/>
      <c r="B11" s="2164" t="s">
        <v>2440</v>
      </c>
      <c r="C11" s="841">
        <f>C10/4</f>
        <v>0</v>
      </c>
      <c r="D11" s="841" t="s">
        <v>142</v>
      </c>
      <c r="E11" s="841" t="e">
        <f>ROUND(C11/E7,4)</f>
        <v>#DIV/0!</v>
      </c>
      <c r="F11" s="2165" t="s">
        <v>2441</v>
      </c>
      <c r="G11" s="2166"/>
      <c r="H11" s="2166"/>
      <c r="I11" s="2166"/>
      <c r="J11" s="2167"/>
      <c r="K11" s="1229"/>
      <c r="L11" s="2136" t="s">
        <v>2442</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791" t="s">
        <v>2443</v>
      </c>
      <c r="X11" s="1335" t="s">
        <v>2444</v>
      </c>
      <c r="Y11" s="1336">
        <f>$G$3</f>
        <v>4.99</v>
      </c>
      <c r="Z11" s="1336">
        <f t="shared" ref="Z11:AJ11" si="3">$G$3</f>
        <v>4.99</v>
      </c>
      <c r="AA11" s="1336">
        <f t="shared" si="3"/>
        <v>4.99</v>
      </c>
      <c r="AB11" s="1336">
        <f t="shared" si="3"/>
        <v>4.99</v>
      </c>
      <c r="AC11" s="1336">
        <f t="shared" si="3"/>
        <v>4.99</v>
      </c>
      <c r="AD11" s="1336">
        <f t="shared" si="3"/>
        <v>4.99</v>
      </c>
      <c r="AE11" s="1336">
        <f t="shared" si="3"/>
        <v>4.99</v>
      </c>
      <c r="AF11" s="1336">
        <f t="shared" si="3"/>
        <v>4.99</v>
      </c>
      <c r="AG11" s="1336">
        <f t="shared" si="3"/>
        <v>4.99</v>
      </c>
      <c r="AH11" s="1336">
        <f t="shared" si="3"/>
        <v>4.99</v>
      </c>
      <c r="AI11" s="1336">
        <f t="shared" si="3"/>
        <v>4.99</v>
      </c>
      <c r="AJ11" s="1336">
        <f t="shared" si="3"/>
        <v>4.99</v>
      </c>
    </row>
    <row r="12" spans="1:36" ht="25.5" thickBot="1">
      <c r="A12" s="3773" t="s">
        <v>2445</v>
      </c>
      <c r="B12" s="2168" t="s">
        <v>2446</v>
      </c>
      <c r="C12" s="837">
        <f>ROUND(C15*D15*E15*F15*G15*H15*I15*J15,4)</f>
        <v>1</v>
      </c>
      <c r="D12" s="2169" t="s">
        <v>2447</v>
      </c>
      <c r="E12" s="2170"/>
      <c r="F12" s="2170"/>
      <c r="G12" s="2171"/>
      <c r="H12" s="2171"/>
      <c r="I12" s="2171"/>
      <c r="J12" s="2172"/>
      <c r="K12" s="1229"/>
      <c r="L12" s="2173" t="s">
        <v>2448</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791"/>
      <c r="X12" s="1337" t="s">
        <v>2449</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97"/>
      <c r="B13" s="2174" t="s">
        <v>2450</v>
      </c>
      <c r="C13" s="2175" t="s">
        <v>2451</v>
      </c>
      <c r="D13" s="1481" t="s">
        <v>2452</v>
      </c>
      <c r="E13" s="1481" t="s">
        <v>2453</v>
      </c>
      <c r="F13" s="30" t="s">
        <v>2454</v>
      </c>
      <c r="G13" s="2176" t="s">
        <v>2455</v>
      </c>
      <c r="H13" s="2176" t="s">
        <v>2455</v>
      </c>
      <c r="I13" s="2176" t="s">
        <v>2455</v>
      </c>
      <c r="J13" s="2177" t="s">
        <v>2455</v>
      </c>
      <c r="K13" s="1229"/>
      <c r="L13" s="1229"/>
      <c r="M13" s="1229"/>
      <c r="N13" s="1229"/>
      <c r="O13" s="1229"/>
      <c r="P13" s="1229"/>
      <c r="Q13" s="1229"/>
      <c r="R13" s="1323">
        <v>12</v>
      </c>
      <c r="S13" s="1324"/>
      <c r="T13" s="1323" t="e">
        <f t="shared" si="0"/>
        <v>#DIV/0!</v>
      </c>
      <c r="U13" s="1324"/>
      <c r="V13" s="1323" t="e">
        <f t="shared" si="1"/>
        <v>#DIV/0!</v>
      </c>
      <c r="W13" s="3791"/>
      <c r="X13" s="1337"/>
      <c r="Y13" s="1334">
        <f>(-0.163*(Y12^2)-0.59*Y12+7617)*(10^(-4))/Y11</f>
        <v>0.15264529058116233</v>
      </c>
      <c r="Z13" s="1334">
        <f t="shared" ref="Z13:AJ13" si="5">(-0.163*(Z12^2)-0.59*Z12+7617)*(10^(-4))/Z11</f>
        <v>0.15264529058116233</v>
      </c>
      <c r="AA13" s="1334">
        <f t="shared" si="5"/>
        <v>0.15264529058116233</v>
      </c>
      <c r="AB13" s="1334">
        <f t="shared" si="5"/>
        <v>0.15264529058116233</v>
      </c>
      <c r="AC13" s="1334">
        <f t="shared" si="5"/>
        <v>0.15264529058116233</v>
      </c>
      <c r="AD13" s="1334">
        <f t="shared" si="5"/>
        <v>0.15264529058116233</v>
      </c>
      <c r="AE13" s="1334">
        <f t="shared" si="5"/>
        <v>0.15264529058116233</v>
      </c>
      <c r="AF13" s="1334">
        <f t="shared" si="5"/>
        <v>0.15264529058116233</v>
      </c>
      <c r="AG13" s="1334">
        <f t="shared" si="5"/>
        <v>0.15264529058116233</v>
      </c>
      <c r="AH13" s="1334">
        <f t="shared" si="5"/>
        <v>0.15264529058116233</v>
      </c>
      <c r="AI13" s="1334">
        <f t="shared" si="5"/>
        <v>0.15264529058116233</v>
      </c>
      <c r="AJ13" s="1334">
        <f t="shared" si="5"/>
        <v>0.15264529058116233</v>
      </c>
    </row>
    <row r="14" spans="1:36" ht="15">
      <c r="A14" s="3797"/>
      <c r="B14" s="2178"/>
      <c r="C14" s="2179"/>
      <c r="D14" s="2180"/>
      <c r="E14" s="2180"/>
      <c r="F14" s="2181"/>
      <c r="G14" s="2182" t="s">
        <v>2456</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5"/>
      <c r="AE14" s="2965"/>
      <c r="AF14" s="2965"/>
      <c r="AG14" s="2965"/>
      <c r="AH14" s="2965"/>
      <c r="AI14" s="2965"/>
      <c r="AJ14" s="2966"/>
    </row>
    <row r="15" spans="1:36" ht="15.75" thickBot="1">
      <c r="A15" s="3798"/>
      <c r="B15" s="2186" t="s">
        <v>2457</v>
      </c>
      <c r="C15" s="193">
        <f>IF(C14="有",1.1,1)</f>
        <v>1</v>
      </c>
      <c r="D15" s="193">
        <f>IF(D14="有",1.1,1)</f>
        <v>1</v>
      </c>
      <c r="E15" s="193">
        <f>IF(E14="有",1.1,1)</f>
        <v>1</v>
      </c>
      <c r="F15" s="193">
        <f>IF(F14="500米范围内",1.2,IF(F14="500-1000米",1.1,1))</f>
        <v>1</v>
      </c>
      <c r="G15" s="861">
        <v>1</v>
      </c>
      <c r="H15" s="861">
        <v>1</v>
      </c>
      <c r="I15" s="861">
        <v>1</v>
      </c>
      <c r="J15" s="862">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5"/>
      <c r="AE15" s="2965"/>
      <c r="AF15" s="2965"/>
      <c r="AG15" s="2965"/>
      <c r="AH15" s="2965"/>
      <c r="AI15" s="2965"/>
      <c r="AJ15" s="2966"/>
    </row>
    <row r="16" spans="1:36" ht="24.6" customHeight="1">
      <c r="A16" s="3773" t="s">
        <v>2462</v>
      </c>
      <c r="B16" s="2155" t="s">
        <v>2463</v>
      </c>
      <c r="C16" s="2317" t="e">
        <f>ROUND(IF(F17="与级别开发程度一致",0,(G17-E17)/C17),0)</f>
        <v>#DIV/0!</v>
      </c>
      <c r="D16" s="3786" t="s">
        <v>2467</v>
      </c>
      <c r="E16" s="3787"/>
      <c r="F16" s="3786" t="s">
        <v>2464</v>
      </c>
      <c r="G16" s="3787"/>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5"/>
      <c r="AE16" s="2965"/>
      <c r="AF16" s="2965"/>
      <c r="AG16" s="2965"/>
      <c r="AH16" s="2965"/>
      <c r="AI16" s="2965"/>
      <c r="AJ16" s="2966"/>
    </row>
    <row r="17" spans="1:37" ht="13.5" thickBot="1">
      <c r="A17" s="3774"/>
      <c r="B17" s="2328" t="s">
        <v>2466</v>
      </c>
      <c r="C17" s="2329">
        <f>SUMPRODUCT((修正!A2:A7=E2)*(修正!B1:M1=G2)*(修正!B2:M7))</f>
        <v>0</v>
      </c>
      <c r="D17" s="193"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6"/>
      <c r="L18" s="2964"/>
      <c r="M18" s="2964"/>
      <c r="N18" s="2964"/>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4"/>
    </row>
    <row r="19" spans="1:37" s="2148" customFormat="1" ht="27.75" thickBot="1">
      <c r="A19" s="2192" t="s">
        <v>628</v>
      </c>
      <c r="B19" s="2193" t="s">
        <v>2470</v>
      </c>
      <c r="C19" s="842" t="e">
        <f>ROUND(IF(H19="按公示增长率计算",SUMPRODUCT((地价!A3:A37=YEAR(G19)&amp;"-"&amp;ROUNDUP(MONTH(G19)/3,0))*(地价!X2:AB2=E2)*(地价!X3:AB37)),IF(H19="地价指数",M20/M19,(1+I19)^O19)),4)</f>
        <v>#VALUE!</v>
      </c>
      <c r="D19" s="2197" t="s">
        <v>2471</v>
      </c>
      <c r="E19" s="843">
        <v>41640</v>
      </c>
      <c r="F19" s="2197" t="s">
        <v>2472</v>
      </c>
      <c r="G19" s="844">
        <f>'数据-取费表'!B2</f>
        <v>44901</v>
      </c>
      <c r="H19" s="2198"/>
      <c r="I19" s="845" t="str">
        <f>IF(H19="季度增幅（自定义）",SUMIF(N21:N24,E2,O21:O24),"")</f>
        <v/>
      </c>
      <c r="J19" s="2195"/>
      <c r="K19" s="1236"/>
      <c r="L19" s="2199" t="s">
        <v>2473</v>
      </c>
      <c r="M19" s="1445">
        <f>ROUND(SUMIF(地价!B2:F2,E2,地价!B37:F37),0)</f>
        <v>0</v>
      </c>
      <c r="N19" s="2200" t="s">
        <v>2474</v>
      </c>
      <c r="O19" s="846">
        <f>ROUNDDOWN(DATEDIF(E19,G19,"M")/3,0)</f>
        <v>35</v>
      </c>
      <c r="P19" s="1233"/>
      <c r="Q19" s="1235"/>
      <c r="R19" s="1235"/>
      <c r="S19" s="1235"/>
      <c r="T19" s="1230"/>
      <c r="U19" s="1230"/>
      <c r="V19" s="1230"/>
      <c r="W19" s="1229"/>
      <c r="X19" s="1229"/>
      <c r="Y19" s="1229"/>
      <c r="Z19" s="1236"/>
      <c r="AA19" s="1236"/>
      <c r="AB19" s="1236"/>
      <c r="AC19" s="1236"/>
      <c r="AD19" s="1236"/>
      <c r="AE19" s="1236"/>
      <c r="AF19" s="1235"/>
      <c r="AG19" s="2967"/>
      <c r="AH19" s="2286"/>
      <c r="AI19" s="2968"/>
      <c r="AJ19" s="2968"/>
      <c r="AK19" s="2201"/>
    </row>
    <row r="20" spans="1:37" s="2148" customFormat="1" ht="27.75" thickBot="1">
      <c r="A20" s="2202" t="s">
        <v>629</v>
      </c>
      <c r="B20" s="2203" t="s">
        <v>2475</v>
      </c>
      <c r="C20" s="847" t="e">
        <f>ROUND(POWER(1+G20,J20-I20)*(POWER(1+G20,I20)-1)/(POWER(1+G20,J20)-1),4)</f>
        <v>#DIV/0!</v>
      </c>
      <c r="D20" s="2204" t="s">
        <v>2476</v>
      </c>
      <c r="E20" s="1452">
        <f>存贷款利率!E22/100</f>
        <v>4.3499999999999997E-2</v>
      </c>
      <c r="F20" s="2204" t="s">
        <v>2468</v>
      </c>
      <c r="G20" s="851">
        <f>SUMIF(M26:P26,E2,M28:P28)</f>
        <v>0</v>
      </c>
      <c r="H20" s="2204" t="s">
        <v>2477</v>
      </c>
      <c r="I20" s="852" t="e">
        <f>SUMIF('数据-取费表'!C6:C15,E2,'数据-取费表'!F6:F15)/COUNTIF('数据-取费表'!C6:C15,E2)</f>
        <v>#DIV/0!</v>
      </c>
      <c r="J20" s="853">
        <f>IF(E2="住宅",70,IF(E2="商业",40,50))</f>
        <v>50</v>
      </c>
      <c r="K20" s="1236"/>
      <c r="L20" s="2205" t="s">
        <v>2478</v>
      </c>
      <c r="M20" s="1446">
        <f>ROUND(SUMPRODUCT((地价!A4:A37=YEAR(G19)&amp;"-"&amp;ROUNDUP(MONTH(G19)/3,0))*(地价!B2:F2=E2)*(地价!B4:F37)),0)</f>
        <v>0</v>
      </c>
      <c r="N20" s="2206" t="s">
        <v>2479</v>
      </c>
      <c r="O20" s="2207" t="s">
        <v>2480</v>
      </c>
      <c r="P20" s="2208" t="s">
        <v>2481</v>
      </c>
      <c r="Q20" s="2964"/>
      <c r="R20" s="1235"/>
      <c r="S20" s="1235"/>
      <c r="T20" s="1230"/>
      <c r="U20" s="1230"/>
      <c r="V20" s="1230"/>
      <c r="W20" s="1229"/>
      <c r="X20" s="1229"/>
      <c r="Y20" s="1229"/>
      <c r="Z20" s="1236"/>
      <c r="AA20" s="1236"/>
      <c r="AB20" s="1236"/>
      <c r="AC20" s="1236"/>
      <c r="AD20" s="1236"/>
      <c r="AE20" s="1236"/>
      <c r="AF20" s="1236"/>
      <c r="AG20" s="2964"/>
      <c r="AH20" s="2964"/>
      <c r="AI20" s="2964"/>
      <c r="AJ20" s="2964"/>
    </row>
    <row r="21" spans="1:37" s="2148" customFormat="1" ht="15">
      <c r="A21" s="2209" t="s">
        <v>630</v>
      </c>
      <c r="B21" s="2210" t="s">
        <v>2482</v>
      </c>
      <c r="C21" s="854">
        <f>IF(B21="容积率修正",IF(G3&lt;=10,D22,J22),C23)</f>
        <v>0</v>
      </c>
      <c r="D21" s="2211"/>
      <c r="E21" s="2211"/>
      <c r="F21" s="2211"/>
      <c r="G21" s="2211"/>
      <c r="H21" s="2211"/>
      <c r="I21" s="2211"/>
      <c r="J21" s="2212"/>
      <c r="K21" s="1236"/>
      <c r="L21" s="2964"/>
      <c r="M21" s="2964"/>
      <c r="N21" s="2213" t="s">
        <v>2483</v>
      </c>
      <c r="O21" s="1284"/>
      <c r="P21" s="1285">
        <f>SUMPRODUCT((地价!A3:A37=YEAR(G19)&amp;"-"&amp;ROUNDUP(MONTH(G19)/3,0))*(地价!AD2:AH2=N21)*(地价!AD3:AH37))</f>
        <v>0</v>
      </c>
      <c r="Q21" s="2964"/>
      <c r="R21" s="1235"/>
      <c r="S21" s="1235"/>
      <c r="T21" s="1230"/>
      <c r="U21" s="1230"/>
      <c r="V21" s="1230"/>
      <c r="W21" s="1229"/>
      <c r="X21" s="1229"/>
      <c r="Y21" s="1229"/>
      <c r="Z21" s="1236"/>
      <c r="AA21" s="1236"/>
      <c r="AB21" s="1236"/>
      <c r="AC21" s="1236"/>
      <c r="AD21" s="1236"/>
      <c r="AE21" s="1236"/>
      <c r="AF21" s="1236"/>
      <c r="AG21" s="2964"/>
      <c r="AH21" s="2964"/>
      <c r="AI21" s="2964"/>
      <c r="AJ21" s="2964"/>
    </row>
    <row r="22" spans="1:37" s="2148" customFormat="1" ht="14.25">
      <c r="A22" s="2087" t="s">
        <v>2484</v>
      </c>
      <c r="B22" s="2214" t="s">
        <v>2485</v>
      </c>
      <c r="C22" s="1483" t="s">
        <v>2486</v>
      </c>
      <c r="D22" s="1483">
        <f>IF(E22=G22,F22,IF(G3&lt;=10,ROUND(F22+(H22-F22)*(G3-E22)/(G22-E22),4),"——"))</f>
        <v>0</v>
      </c>
      <c r="E22" s="834">
        <f>ROUNDDOWN(G3,1)</f>
        <v>4.9000000000000004</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5</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4"/>
      <c r="M22" s="2964"/>
      <c r="N22" s="2213" t="s">
        <v>2487</v>
      </c>
      <c r="O22" s="1284"/>
      <c r="P22" s="1285">
        <f>SUMPRODUCT((地价!A3:A37=YEAR(G19)&amp;"-"&amp;ROUNDUP(MONTH(G19)/3,0))*(地价!AD2:AH2=N22)*(地价!AD3:AH37))</f>
        <v>0</v>
      </c>
      <c r="Q22" s="2964"/>
      <c r="R22" s="1235"/>
      <c r="S22" s="1235"/>
      <c r="T22" s="1230"/>
      <c r="U22" s="1230"/>
      <c r="V22" s="1230"/>
      <c r="W22" s="1229"/>
      <c r="X22" s="1229"/>
      <c r="Y22" s="1229"/>
      <c r="Z22" s="1236"/>
      <c r="AA22" s="1236"/>
      <c r="AB22" s="1236"/>
      <c r="AC22" s="1236"/>
      <c r="AD22" s="1236"/>
      <c r="AE22" s="1236"/>
      <c r="AF22" s="1236"/>
      <c r="AG22" s="2964"/>
      <c r="AH22" s="2964"/>
      <c r="AI22" s="2964"/>
      <c r="AJ22" s="2964"/>
    </row>
    <row r="23" spans="1:37" ht="27.75" thickBot="1">
      <c r="A23" s="2087" t="s">
        <v>2488</v>
      </c>
      <c r="B23" s="2215" t="s">
        <v>2489</v>
      </c>
      <c r="C23" s="928">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2490</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2491</v>
      </c>
      <c r="C24" s="842">
        <f>SUMIF(A45:A88,E2,B45:B88)</f>
        <v>0</v>
      </c>
      <c r="D24" s="2194"/>
      <c r="E24" s="2221"/>
      <c r="F24" s="2221"/>
      <c r="G24" s="2221"/>
      <c r="H24" s="2221"/>
      <c r="I24" s="2221"/>
      <c r="J24" s="2222"/>
      <c r="K24" s="1236"/>
      <c r="L24" s="2964"/>
      <c r="M24" s="2964"/>
      <c r="N24" s="2223" t="s">
        <v>2492</v>
      </c>
      <c r="O24" s="1286"/>
      <c r="P24" s="1287">
        <f>SUMPRODUCT((地价!A3:A37=YEAR(G19)&amp;"-"&amp;ROUNDUP(MONTH(G19)/3,0))*(地价!AD2:AH2=N24)*(地价!AD3:AH37))</f>
        <v>0</v>
      </c>
      <c r="Q24" s="2964"/>
      <c r="R24" s="1235"/>
      <c r="S24" s="1235"/>
      <c r="T24" s="1230"/>
      <c r="U24" s="1230"/>
      <c r="V24" s="1230"/>
      <c r="W24" s="1229"/>
      <c r="X24" s="1229"/>
      <c r="Y24" s="1229"/>
      <c r="Z24" s="1236"/>
      <c r="AA24" s="1236"/>
      <c r="AB24" s="1236"/>
      <c r="AC24" s="1236"/>
      <c r="AD24" s="1236"/>
      <c r="AE24" s="1236"/>
      <c r="AF24" s="1236"/>
      <c r="AG24" s="2964"/>
      <c r="AH24" s="2964"/>
      <c r="AI24" s="2964"/>
      <c r="AJ24" s="2964"/>
    </row>
    <row r="25" spans="1:37" ht="15.75" thickBot="1">
      <c r="A25" s="2202" t="s">
        <v>632</v>
      </c>
      <c r="B25" s="2224" t="s">
        <v>2493</v>
      </c>
      <c r="C25" s="848"/>
      <c r="D25" s="2158"/>
      <c r="E25" s="2158"/>
      <c r="F25" s="2225"/>
      <c r="G25" s="2158"/>
      <c r="H25" s="2158"/>
      <c r="I25" s="2158"/>
      <c r="J25" s="2159"/>
      <c r="K25" s="1229"/>
      <c r="L25" s="2129"/>
      <c r="M25" s="2129"/>
      <c r="N25" s="2959" t="s">
        <v>2494</v>
      </c>
      <c r="O25" s="2960"/>
      <c r="P25" s="2961">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29"/>
      <c r="L26" s="2962" t="s">
        <v>2393</v>
      </c>
      <c r="M26" s="2156" t="s">
        <v>2458</v>
      </c>
      <c r="N26" s="2156" t="s">
        <v>2459</v>
      </c>
      <c r="O26" s="2156" t="s">
        <v>2460</v>
      </c>
      <c r="P26" s="2963" t="s">
        <v>2461</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2496</v>
      </c>
      <c r="C27" s="849" t="e">
        <f>E30+SUM(I33:I39)</f>
        <v>#DIV/0!</v>
      </c>
      <c r="D27" s="2231"/>
      <c r="E27" s="2232"/>
      <c r="F27" s="2233"/>
      <c r="G27" s="2232"/>
      <c r="H27" s="2232"/>
      <c r="I27" s="2232"/>
      <c r="J27" s="2234"/>
      <c r="K27" s="1229"/>
      <c r="L27" s="2189" t="s">
        <v>2465</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29"/>
      <c r="L28" s="2190" t="s">
        <v>2468</v>
      </c>
      <c r="M28" s="183">
        <f>ROUND($E$20*(1+M27),3)</f>
        <v>5.3999999999999999E-2</v>
      </c>
      <c r="N28" s="183">
        <f>ROUND($E$20*(1+N27),3)</f>
        <v>5.1999999999999998E-2</v>
      </c>
      <c r="O28" s="183">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2501</v>
      </c>
      <c r="C29" s="180" t="e">
        <f>ROUND(C5*C18*C19*C20*C21*C24,0)</f>
        <v>#DIV/0!</v>
      </c>
      <c r="D29" s="2242"/>
      <c r="E29" s="857" t="e">
        <f>ROUND(C29*D29/10000,0)</f>
        <v>#DIV/0!</v>
      </c>
      <c r="F29" s="2243" t="s">
        <v>2502</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2503</v>
      </c>
      <c r="C30" s="193" t="e">
        <f>ROUND(IF(E2="工业",C29*M39,C29*M38),0)</f>
        <v>#DIV/0!</v>
      </c>
      <c r="D30" s="2248"/>
      <c r="E30" s="857" t="e">
        <f>ROUND(C30*D30/10000,0)</f>
        <v>#DIV/0!</v>
      </c>
      <c r="F30" s="2249" t="s">
        <v>2504</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2505</v>
      </c>
      <c r="C31" s="2254" t="s">
        <v>2506</v>
      </c>
      <c r="D31" s="2171"/>
      <c r="E31" s="2254"/>
      <c r="F31" s="2254"/>
      <c r="G31" s="2169" t="s">
        <v>2507</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8" t="s">
        <v>2498</v>
      </c>
      <c r="D32" s="455" t="s">
        <v>2499</v>
      </c>
      <c r="E32" s="455" t="s">
        <v>2500</v>
      </c>
      <c r="F32" s="348" t="s">
        <v>2508</v>
      </c>
      <c r="G32" s="2257" t="s">
        <v>2498</v>
      </c>
      <c r="H32" s="2257" t="s">
        <v>2499</v>
      </c>
      <c r="I32" s="2257" t="s">
        <v>2500</v>
      </c>
      <c r="J32" s="249"/>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83"/>
      <c r="B33" s="2258" t="s">
        <v>2509</v>
      </c>
      <c r="C33" s="180" t="e">
        <f>ROUND(D5*C19*C20*C24*F33,0)</f>
        <v>#DIV/0!</v>
      </c>
      <c r="D33" s="2242"/>
      <c r="E33" s="176" t="e">
        <f>ROUND(C33*D33/10000,0)</f>
        <v>#DIV/0!</v>
      </c>
      <c r="F33" s="176">
        <f>SUMIF(修正!A57:A68,G2,修正!B57:B68)</f>
        <v>0</v>
      </c>
      <c r="G33" s="176" t="e">
        <f t="shared" ref="G33" si="6">ROUND(IF(E2="工业",C33*$M$39,C33*$M$38),0)</f>
        <v>#DIV/0!</v>
      </c>
      <c r="H33" s="176">
        <f>D33</f>
        <v>0</v>
      </c>
      <c r="I33" s="176" t="e">
        <f>ROUND(G33*H33/10000,0)</f>
        <v>#DIV/0!</v>
      </c>
      <c r="J33" s="3788" t="s">
        <v>2810</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784"/>
      <c r="B34" s="2175" t="s">
        <v>2510</v>
      </c>
      <c r="C34" s="180" t="e">
        <f>ROUND(D5*C19*C20*C24*F34,0)</f>
        <v>#DIV/0!</v>
      </c>
      <c r="D34" s="2242"/>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784"/>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84"/>
      <c r="B35" s="2175" t="s">
        <v>2511</v>
      </c>
      <c r="C35" s="180" t="e">
        <f>ROUND(D5*C19*C20*C24*F35,0)</f>
        <v>#DIV/0!</v>
      </c>
      <c r="D35" s="2242"/>
      <c r="E35" s="176" t="e">
        <f t="shared" si="7"/>
        <v>#DIV/0!</v>
      </c>
      <c r="F35" s="176">
        <f>SUMIF(修正!A57:A68,G2,修正!D57:D68)</f>
        <v>0</v>
      </c>
      <c r="G35" s="176" t="e">
        <f>ROUND(IF(E2="工业",C35*$M$39,C35*$M$38),0)</f>
        <v>#DIV/0!</v>
      </c>
      <c r="H35" s="176">
        <f t="shared" si="8"/>
        <v>0</v>
      </c>
      <c r="I35" s="176" t="e">
        <f t="shared" si="9"/>
        <v>#DIV/0!</v>
      </c>
      <c r="J35" s="3784"/>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785"/>
      <c r="B36" s="2175" t="s">
        <v>2512</v>
      </c>
      <c r="C36" s="180" t="e">
        <f>ROUND(D5*C19*C20*C24*F36,0)</f>
        <v>#DIV/0!</v>
      </c>
      <c r="D36" s="2242"/>
      <c r="E36" s="176" t="e">
        <f t="shared" si="7"/>
        <v>#DIV/0!</v>
      </c>
      <c r="F36" s="176" t="e">
        <f>SUMIF(修正!A57:A68,G2,修正!#REF!)</f>
        <v>#REF!</v>
      </c>
      <c r="G36" s="176" t="e">
        <f>ROUND(IF(E2="工业",C36*$M$39,C36*$M$38),0)</f>
        <v>#DIV/0!</v>
      </c>
      <c r="H36" s="176">
        <f t="shared" si="8"/>
        <v>0</v>
      </c>
      <c r="I36" s="176" t="e">
        <f t="shared" si="9"/>
        <v>#DIV/0!</v>
      </c>
      <c r="J36" s="3785"/>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2513</v>
      </c>
      <c r="C37" s="176" t="e">
        <f>ROUND(D5*C19*C20*C24*F37,0)</f>
        <v>#DIV/0!</v>
      </c>
      <c r="D37" s="2242"/>
      <c r="E37" s="176" t="e">
        <f t="shared" si="7"/>
        <v>#DIV/0!</v>
      </c>
      <c r="F37" s="180">
        <f>SUMIF(修正!A57:A68,G2,修正!E57:E68)</f>
        <v>0</v>
      </c>
      <c r="G37" s="176" t="e">
        <f>ROUND(IF(E2="工业",C37*$M$39,C37*$M$38),0)</f>
        <v>#DIV/0!</v>
      </c>
      <c r="H37" s="176">
        <f t="shared" si="8"/>
        <v>0</v>
      </c>
      <c r="I37" s="176" t="e">
        <f t="shared" si="9"/>
        <v>#DIV/0!</v>
      </c>
      <c r="J37" s="2259"/>
      <c r="K37" s="1229"/>
      <c r="L37" s="2261" t="s">
        <v>2514</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2515</v>
      </c>
      <c r="C38" s="176" t="e">
        <f>ROUND(D5*C19*C41*C24*F38,0)</f>
        <v>#DIV/0!</v>
      </c>
      <c r="D38" s="2242"/>
      <c r="E38" s="176" t="e">
        <f t="shared" si="7"/>
        <v>#DIV/0!</v>
      </c>
      <c r="F38" s="180">
        <f>SUMIF(修正!A57:A68,G2,修正!F57:F68)</f>
        <v>0</v>
      </c>
      <c r="G38" s="176" t="e">
        <f>ROUND(IF(E2="工业",C38*$M$39,C38*$M$38),0)</f>
        <v>#DIV/0!</v>
      </c>
      <c r="H38" s="176">
        <f t="shared" si="8"/>
        <v>0</v>
      </c>
      <c r="I38" s="176" t="e">
        <f t="shared" si="9"/>
        <v>#DIV/0!</v>
      </c>
      <c r="J38" s="2259"/>
      <c r="K38" s="1229"/>
      <c r="L38" s="1552" t="s">
        <v>2516</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2517</v>
      </c>
      <c r="C39" s="193" t="e">
        <f>ROUND(D5*C19*C41*C24*F39,0)</f>
        <v>#DIV/0!</v>
      </c>
      <c r="D39" s="2248"/>
      <c r="E39" s="193" t="e">
        <f t="shared" si="7"/>
        <v>#DIV/0!</v>
      </c>
      <c r="F39" s="850">
        <f>SUMIF(修正!A57:A68,G2,修正!G57:G68)</f>
        <v>0</v>
      </c>
      <c r="G39" s="193" t="e">
        <f>ROUND(IF(E2="工业",C39*$M$39,C39*$M$38),0)</f>
        <v>#DIV/0!</v>
      </c>
      <c r="H39" s="193">
        <f t="shared" si="8"/>
        <v>0</v>
      </c>
      <c r="I39" s="193" t="e">
        <f t="shared" si="9"/>
        <v>#DIV/0!</v>
      </c>
      <c r="J39" s="2265"/>
      <c r="K39" s="1229"/>
      <c r="L39" s="2266" t="s">
        <v>2461</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2621</v>
      </c>
      <c r="C41" s="348" t="e">
        <f>ROUND(POWER(1+E41,H41-G41)*(POWER(1+E41,G41)-1)/(POWER(1+E41,H41)-1),4)</f>
        <v>#DIV/0!</v>
      </c>
      <c r="D41" s="176" t="s">
        <v>2468</v>
      </c>
      <c r="E41" s="2315">
        <f>G20</f>
        <v>0</v>
      </c>
      <c r="F41" s="176" t="s">
        <v>2477</v>
      </c>
      <c r="G41" s="189"/>
      <c r="H41" s="176">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2518</v>
      </c>
      <c r="B45" s="2270"/>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1" t="s">
        <v>2519</v>
      </c>
      <c r="B46" s="2272">
        <f>1+E48</f>
        <v>1</v>
      </c>
      <c r="C46" s="2273"/>
      <c r="D46" s="750"/>
      <c r="E46" s="751"/>
      <c r="F46" s="2274"/>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5" t="s">
        <v>2520</v>
      </c>
      <c r="B47" s="1482" t="s">
        <v>2521</v>
      </c>
      <c r="C47" s="1482" t="s">
        <v>2522</v>
      </c>
      <c r="D47" s="1482" t="s">
        <v>2523</v>
      </c>
      <c r="E47" s="755" t="s">
        <v>2524</v>
      </c>
      <c r="F47" s="2276" t="s">
        <v>2525</v>
      </c>
      <c r="G47" s="1482" t="s">
        <v>574</v>
      </c>
      <c r="H47" s="2277" t="s">
        <v>2526</v>
      </c>
      <c r="I47" s="1482" t="s">
        <v>2527</v>
      </c>
      <c r="J47" s="560" t="s">
        <v>2177</v>
      </c>
      <c r="K47" s="560" t="s">
        <v>2178</v>
      </c>
      <c r="L47" s="560" t="s">
        <v>2179</v>
      </c>
      <c r="M47" s="560" t="s">
        <v>2180</v>
      </c>
      <c r="N47" s="560" t="s">
        <v>2181</v>
      </c>
      <c r="AA47" s="1230"/>
      <c r="AB47" s="1230"/>
      <c r="AC47" s="1230"/>
      <c r="AD47" s="1230"/>
      <c r="AE47" s="1230"/>
      <c r="AF47" s="1230"/>
      <c r="AG47" s="1230"/>
      <c r="AH47" s="1230"/>
      <c r="AI47" s="1230"/>
      <c r="AJ47" s="1230"/>
      <c r="AK47" s="1230"/>
    </row>
    <row r="48" spans="1:37" s="1229" customFormat="1" ht="38.25">
      <c r="A48" s="2275" t="s">
        <v>2528</v>
      </c>
      <c r="B48" s="2278" t="str">
        <f>估价对象房地状况!C4</f>
        <v>估价对象位于XX商圈，周边商业氛围成熟，人流量大，商业繁华度好</v>
      </c>
      <c r="C48" s="2180"/>
      <c r="D48" s="1173">
        <f t="shared" ref="D48:D56" si="10">SUMIF($J$47:$N$47,C48,J48:N48)</f>
        <v>0</v>
      </c>
      <c r="E48" s="757">
        <f>ROUND(SUM(D48:D56),4)</f>
        <v>0</v>
      </c>
      <c r="F48" s="1947" t="str">
        <f>IF(E2="商业",SUMIF(L1:L12,G2,N1:N12),"——")</f>
        <v>——</v>
      </c>
      <c r="G48" s="1171"/>
      <c r="H48" s="1175" t="str">
        <f t="shared" ref="H48:H56" si="11">IFERROR(ROUNDDOWN($F$48*I48/2,4),"——")</f>
        <v>——</v>
      </c>
      <c r="I48" s="756">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5" t="s">
        <v>2529</v>
      </c>
      <c r="B49" s="2279" t="str">
        <f>估价对象房地状况!C18</f>
        <v>估价对象周边道路状况、公共交通通达情况、停车便捷程度，综合评价交通便捷度较好</v>
      </c>
      <c r="C49" s="2180"/>
      <c r="D49" s="1173">
        <f t="shared" si="10"/>
        <v>0</v>
      </c>
      <c r="E49" s="758"/>
      <c r="F49" s="1947"/>
      <c r="G49" s="1171"/>
      <c r="H49" s="1175" t="str">
        <f t="shared" si="11"/>
        <v>——</v>
      </c>
      <c r="I49" s="756">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2530</v>
      </c>
      <c r="B50" s="2279">
        <f>估价对象房地状况!C19</f>
        <v>0</v>
      </c>
      <c r="C50" s="2180"/>
      <c r="D50" s="1173">
        <f t="shared" si="10"/>
        <v>0</v>
      </c>
      <c r="E50" s="758"/>
      <c r="F50" s="1947"/>
      <c r="G50" s="1171"/>
      <c r="H50" s="1175" t="str">
        <f t="shared" si="11"/>
        <v>——</v>
      </c>
      <c r="I50" s="756">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2531</v>
      </c>
      <c r="B51" s="2280" t="s">
        <v>2532</v>
      </c>
      <c r="C51" s="2180"/>
      <c r="D51" s="1173">
        <f t="shared" si="10"/>
        <v>0</v>
      </c>
      <c r="E51" s="758"/>
      <c r="F51" s="1947"/>
      <c r="G51" s="1171"/>
      <c r="H51" s="1175" t="str">
        <f t="shared" si="11"/>
        <v>——</v>
      </c>
      <c r="I51" s="756">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2533</v>
      </c>
      <c r="B52" s="2279">
        <f>估价对象房地状况!C24</f>
        <v>0</v>
      </c>
      <c r="C52" s="2180"/>
      <c r="D52" s="1173">
        <f t="shared" si="10"/>
        <v>0</v>
      </c>
      <c r="E52" s="758"/>
      <c r="F52" s="1947"/>
      <c r="G52" s="1171"/>
      <c r="H52" s="1175" t="str">
        <f t="shared" si="11"/>
        <v>——</v>
      </c>
      <c r="I52" s="756">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2534</v>
      </c>
      <c r="B53" s="2281" t="s">
        <v>2535</v>
      </c>
      <c r="C53" s="2180"/>
      <c r="D53" s="1173">
        <f t="shared" si="10"/>
        <v>0</v>
      </c>
      <c r="E53" s="758"/>
      <c r="F53" s="1947"/>
      <c r="G53" s="1171"/>
      <c r="H53" s="1175" t="str">
        <f t="shared" si="11"/>
        <v>——</v>
      </c>
      <c r="I53" s="756">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2" t="s">
        <v>2536</v>
      </c>
      <c r="B54" s="1443" t="str">
        <f>估价对象房地状况!C21</f>
        <v>估价对象所在区域公共配套设施齐备情况</v>
      </c>
      <c r="C54" s="2180"/>
      <c r="D54" s="1173">
        <f t="shared" si="10"/>
        <v>0</v>
      </c>
      <c r="E54" s="758"/>
      <c r="F54" s="1947"/>
      <c r="G54" s="1171"/>
      <c r="H54" s="1175" t="str">
        <f t="shared" si="11"/>
        <v>——</v>
      </c>
      <c r="I54" s="756">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2" t="s">
        <v>2537</v>
      </c>
      <c r="B55" s="2279" t="str">
        <f>估价对象房地状况!C22</f>
        <v>估价对象所在区域基础设施水平</v>
      </c>
      <c r="C55" s="2180"/>
      <c r="D55" s="1173">
        <f t="shared" si="10"/>
        <v>0</v>
      </c>
      <c r="E55" s="758"/>
      <c r="F55" s="1947"/>
      <c r="G55" s="1171"/>
      <c r="H55" s="1175" t="str">
        <f t="shared" si="11"/>
        <v>——</v>
      </c>
      <c r="I55" s="756">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3" t="s">
        <v>2538</v>
      </c>
      <c r="B56" s="2284" t="str">
        <f>估价对象房地状况!C20</f>
        <v>区域自然环境：；人文环境；综合评价环境状况一般</v>
      </c>
      <c r="C56" s="2180"/>
      <c r="D56" s="1173">
        <f t="shared" si="10"/>
        <v>0</v>
      </c>
      <c r="E56" s="761"/>
      <c r="F56" s="1947"/>
      <c r="G56" s="1171"/>
      <c r="H56" s="1175" t="str">
        <f t="shared" si="11"/>
        <v>——</v>
      </c>
      <c r="I56" s="760">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2539</v>
      </c>
      <c r="B57" s="2272">
        <f>1+E59</f>
        <v>1</v>
      </c>
      <c r="C57" s="750"/>
      <c r="D57" s="750"/>
      <c r="E57" s="751"/>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2520</v>
      </c>
      <c r="B58" s="1482"/>
      <c r="C58" s="1482" t="s">
        <v>2522</v>
      </c>
      <c r="D58" s="1482" t="s">
        <v>2523</v>
      </c>
      <c r="E58" s="755" t="s">
        <v>2524</v>
      </c>
      <c r="F58" s="2276" t="s">
        <v>2540</v>
      </c>
      <c r="G58" s="1482" t="s">
        <v>574</v>
      </c>
      <c r="H58" s="2277" t="s">
        <v>2526</v>
      </c>
      <c r="I58" s="1482" t="s">
        <v>2527</v>
      </c>
      <c r="J58" s="560" t="s">
        <v>2177</v>
      </c>
      <c r="K58" s="560" t="s">
        <v>2178</v>
      </c>
      <c r="L58" s="560" t="s">
        <v>2179</v>
      </c>
      <c r="M58" s="560" t="s">
        <v>2180</v>
      </c>
      <c r="N58" s="560" t="s">
        <v>2181</v>
      </c>
      <c r="AA58" s="1230"/>
      <c r="AB58" s="1230"/>
      <c r="AC58" s="1230"/>
      <c r="AD58" s="1230"/>
      <c r="AE58" s="1230"/>
      <c r="AF58" s="1230"/>
      <c r="AG58" s="1230"/>
      <c r="AH58" s="1230"/>
      <c r="AI58" s="1230"/>
      <c r="AJ58" s="1230"/>
      <c r="AK58" s="1230"/>
    </row>
    <row r="59" spans="1:37" s="1229" customFormat="1" ht="38.25">
      <c r="A59" s="2275" t="s">
        <v>2541</v>
      </c>
      <c r="B59" s="2278" t="str">
        <f>估价对象房地状况!C17</f>
        <v>估价对象位于XX商圈，周边办公楼项目较多，入驻率高，办公集聚程度较好</v>
      </c>
      <c r="C59" s="2180"/>
      <c r="D59" s="1173">
        <f t="shared" ref="D59:D67" si="15">SUMIF($J$58:$N$58,C59,J59:N59)</f>
        <v>0</v>
      </c>
      <c r="E59" s="757">
        <f>ROUND(SUM(D59:D67),4)</f>
        <v>0</v>
      </c>
      <c r="F59" s="1947" t="str">
        <f>IF(E2="办公",SUMIF(L1:L12,G2,N1:N12),"——")</f>
        <v>——</v>
      </c>
      <c r="G59" s="1171"/>
      <c r="H59" s="1175" t="str">
        <f t="shared" ref="H59:H67" si="16">IFERROR(ROUNDDOWN($F$59*I59/2,4),"——")</f>
        <v>——</v>
      </c>
      <c r="I59" s="756">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5" t="s">
        <v>2529</v>
      </c>
      <c r="B60" s="2279" t="str">
        <f>估价对象房地状况!C18</f>
        <v>估价对象周边道路状况、公共交通通达情况、停车便捷程度，综合评价交通便捷度较好</v>
      </c>
      <c r="C60" s="2180"/>
      <c r="D60" s="1173">
        <f t="shared" si="15"/>
        <v>0</v>
      </c>
      <c r="E60" s="758"/>
      <c r="F60" s="1947"/>
      <c r="G60" s="1171"/>
      <c r="H60" s="1175" t="str">
        <f t="shared" si="16"/>
        <v>——</v>
      </c>
      <c r="I60" s="756">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2530</v>
      </c>
      <c r="B61" s="2279">
        <f>估价对象房地状况!C19</f>
        <v>0</v>
      </c>
      <c r="C61" s="2180"/>
      <c r="D61" s="1173">
        <f t="shared" si="15"/>
        <v>0</v>
      </c>
      <c r="E61" s="758"/>
      <c r="F61" s="1947"/>
      <c r="G61" s="1171"/>
      <c r="H61" s="1175" t="str">
        <f t="shared" si="16"/>
        <v>——</v>
      </c>
      <c r="I61" s="756">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2531</v>
      </c>
      <c r="B62" s="2280" t="s">
        <v>2532</v>
      </c>
      <c r="C62" s="2180"/>
      <c r="D62" s="1173">
        <f t="shared" si="15"/>
        <v>0</v>
      </c>
      <c r="E62" s="758"/>
      <c r="F62" s="1947"/>
      <c r="G62" s="1171"/>
      <c r="H62" s="1175" t="str">
        <f t="shared" si="16"/>
        <v>——</v>
      </c>
      <c r="I62" s="756">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2533</v>
      </c>
      <c r="B63" s="2279">
        <f>估价对象房地状况!C24</f>
        <v>0</v>
      </c>
      <c r="C63" s="2180"/>
      <c r="D63" s="1173">
        <f t="shared" si="15"/>
        <v>0</v>
      </c>
      <c r="E63" s="758"/>
      <c r="F63" s="1947"/>
      <c r="G63" s="1171"/>
      <c r="H63" s="1175" t="str">
        <f t="shared" si="16"/>
        <v>——</v>
      </c>
      <c r="I63" s="756">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2534</v>
      </c>
      <c r="B64" s="2281" t="s">
        <v>2535</v>
      </c>
      <c r="C64" s="2180"/>
      <c r="D64" s="1173">
        <f t="shared" si="15"/>
        <v>0</v>
      </c>
      <c r="E64" s="758"/>
      <c r="F64" s="1947"/>
      <c r="G64" s="1171"/>
      <c r="H64" s="1175" t="str">
        <f t="shared" si="16"/>
        <v>——</v>
      </c>
      <c r="I64" s="756">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5" t="s">
        <v>2536</v>
      </c>
      <c r="B65" s="1443" t="str">
        <f>估价对象房地状况!C21</f>
        <v>估价对象所在区域公共配套设施齐备情况</v>
      </c>
      <c r="C65" s="2180"/>
      <c r="D65" s="1173">
        <f t="shared" si="15"/>
        <v>0</v>
      </c>
      <c r="E65" s="758"/>
      <c r="F65" s="1947"/>
      <c r="G65" s="1171"/>
      <c r="H65" s="1175" t="str">
        <f t="shared" si="16"/>
        <v>——</v>
      </c>
      <c r="I65" s="756">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5" t="s">
        <v>2537</v>
      </c>
      <c r="B66" s="1443" t="str">
        <f>估价对象房地状况!C22</f>
        <v>估价对象所在区域基础设施水平</v>
      </c>
      <c r="C66" s="2180"/>
      <c r="D66" s="1173">
        <f t="shared" si="15"/>
        <v>0</v>
      </c>
      <c r="E66" s="758"/>
      <c r="F66" s="1947"/>
      <c r="G66" s="1171"/>
      <c r="H66" s="1175" t="str">
        <f t="shared" si="16"/>
        <v>——</v>
      </c>
      <c r="I66" s="756">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3" t="s">
        <v>2538</v>
      </c>
      <c r="B67" s="2285" t="str">
        <f>估价对象房地状况!C20</f>
        <v>区域自然环境：；人文环境；综合评价环境状况一般</v>
      </c>
      <c r="C67" s="2180"/>
      <c r="D67" s="1173">
        <f t="shared" si="15"/>
        <v>0</v>
      </c>
      <c r="E67" s="761"/>
      <c r="F67" s="1947"/>
      <c r="G67" s="1171"/>
      <c r="H67" s="1175" t="str">
        <f t="shared" si="16"/>
        <v>——</v>
      </c>
      <c r="I67" s="760">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2542</v>
      </c>
      <c r="B68" s="2272">
        <f>1+E70</f>
        <v>1</v>
      </c>
      <c r="C68" s="750"/>
      <c r="D68" s="750"/>
      <c r="E68" s="751"/>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2520</v>
      </c>
      <c r="B69" s="1482"/>
      <c r="C69" s="1482" t="s">
        <v>2522</v>
      </c>
      <c r="D69" s="1482" t="s">
        <v>2523</v>
      </c>
      <c r="E69" s="755" t="s">
        <v>2524</v>
      </c>
      <c r="F69" s="2276" t="s">
        <v>2540</v>
      </c>
      <c r="G69" s="1482" t="s">
        <v>574</v>
      </c>
      <c r="H69" s="2277" t="s">
        <v>2526</v>
      </c>
      <c r="I69" s="1482" t="s">
        <v>2527</v>
      </c>
      <c r="J69" s="560" t="s">
        <v>2177</v>
      </c>
      <c r="K69" s="560" t="s">
        <v>2178</v>
      </c>
      <c r="L69" s="560" t="s">
        <v>2179</v>
      </c>
      <c r="M69" s="560" t="s">
        <v>2180</v>
      </c>
      <c r="N69" s="560" t="s">
        <v>2181</v>
      </c>
      <c r="AA69" s="1230"/>
      <c r="AB69" s="1230"/>
      <c r="AC69" s="1230"/>
      <c r="AD69" s="1230"/>
      <c r="AE69" s="1230"/>
      <c r="AF69" s="1230"/>
      <c r="AG69" s="1230"/>
      <c r="AH69" s="1230"/>
      <c r="AI69" s="1230"/>
      <c r="AJ69" s="1230"/>
      <c r="AK69" s="1230"/>
    </row>
    <row r="70" spans="1:37" s="1229" customFormat="1" ht="51">
      <c r="A70" s="2275" t="s">
        <v>2543</v>
      </c>
      <c r="B70" s="2278" t="str">
        <f>估价对象房地状况!C15</f>
        <v>估价对象周边居住用地比例、居住小区规模和社区发展完善程度，综合评价居住社区成熟度一般</v>
      </c>
      <c r="C70" s="2180"/>
      <c r="D70" s="1173">
        <f t="shared" ref="D70:D78" si="20">SUMIF($J$69:$N$69,C70,J70:N70)</f>
        <v>0</v>
      </c>
      <c r="E70" s="757">
        <f>ROUND(SUM(D70:D78),4)</f>
        <v>0</v>
      </c>
      <c r="F70" s="1947" t="str">
        <f>IF(E2="住宅",SUMIF(L1:L12,G2,N1:N12),"——")</f>
        <v>——</v>
      </c>
      <c r="G70" s="1171"/>
      <c r="H70" s="1175" t="str">
        <f t="shared" ref="H70:H78" si="21">IFERROR(ROUNDDOWN($F$70*I70/2,4),"——")</f>
        <v>——</v>
      </c>
      <c r="I70" s="756">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5" t="s">
        <v>2529</v>
      </c>
      <c r="B71" s="2279" t="str">
        <f>估价对象房地状况!C18</f>
        <v>估价对象周边道路状况、公共交通通达情况、停车便捷程度，综合评价交通便捷度较好</v>
      </c>
      <c r="C71" s="2180"/>
      <c r="D71" s="1173">
        <f t="shared" si="20"/>
        <v>0</v>
      </c>
      <c r="E71" s="762"/>
      <c r="F71" s="1947"/>
      <c r="G71" s="1171"/>
      <c r="H71" s="1175" t="str">
        <f t="shared" si="21"/>
        <v>——</v>
      </c>
      <c r="I71" s="756">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2530</v>
      </c>
      <c r="B72" s="2279">
        <f>估价对象房地状况!C19</f>
        <v>0</v>
      </c>
      <c r="C72" s="2180"/>
      <c r="D72" s="1173">
        <f t="shared" si="20"/>
        <v>0</v>
      </c>
      <c r="E72" s="762"/>
      <c r="F72" s="1947"/>
      <c r="G72" s="1171"/>
      <c r="H72" s="1175" t="str">
        <f t="shared" si="21"/>
        <v>——</v>
      </c>
      <c r="I72" s="756">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2544</v>
      </c>
      <c r="B73" s="2279">
        <f>估价对象房地状况!C24</f>
        <v>0</v>
      </c>
      <c r="C73" s="2180"/>
      <c r="D73" s="1173">
        <f t="shared" si="20"/>
        <v>0</v>
      </c>
      <c r="E73" s="762"/>
      <c r="F73" s="1947"/>
      <c r="G73" s="1171"/>
      <c r="H73" s="1175" t="str">
        <f t="shared" si="21"/>
        <v>——</v>
      </c>
      <c r="I73" s="756">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5" t="s">
        <v>2536</v>
      </c>
      <c r="B74" s="1443" t="str">
        <f>估价对象房地状况!C21</f>
        <v>估价对象所在区域公共配套设施齐备情况</v>
      </c>
      <c r="C74" s="2180"/>
      <c r="D74" s="1173">
        <f t="shared" si="20"/>
        <v>0</v>
      </c>
      <c r="E74" s="762"/>
      <c r="F74" s="1947"/>
      <c r="G74" s="1171"/>
      <c r="H74" s="1175" t="str">
        <f t="shared" si="21"/>
        <v>——</v>
      </c>
      <c r="I74" s="756">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5" t="s">
        <v>2537</v>
      </c>
      <c r="B75" s="1443" t="str">
        <f>估价对象房地状况!C22</f>
        <v>估价对象所在区域基础设施水平</v>
      </c>
      <c r="C75" s="2180"/>
      <c r="D75" s="1173">
        <f t="shared" si="20"/>
        <v>0</v>
      </c>
      <c r="E75" s="762"/>
      <c r="F75" s="1947"/>
      <c r="G75" s="1171"/>
      <c r="H75" s="1175" t="str">
        <f t="shared" si="21"/>
        <v>——</v>
      </c>
      <c r="I75" s="756">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2534</v>
      </c>
      <c r="B76" s="2281" t="s">
        <v>2535</v>
      </c>
      <c r="C76" s="2180"/>
      <c r="D76" s="1173">
        <f t="shared" si="20"/>
        <v>0</v>
      </c>
      <c r="E76" s="762"/>
      <c r="F76" s="1947"/>
      <c r="G76" s="1171"/>
      <c r="H76" s="1175" t="str">
        <f t="shared" si="21"/>
        <v>——</v>
      </c>
      <c r="I76" s="756">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38.25">
      <c r="A77" s="2275" t="s">
        <v>2538</v>
      </c>
      <c r="B77" s="2278" t="str">
        <f>估价对象房地状况!C20</f>
        <v>区域自然环境：；人文环境；综合评价环境状况一般</v>
      </c>
      <c r="C77" s="2180"/>
      <c r="D77" s="1173">
        <f t="shared" si="20"/>
        <v>0</v>
      </c>
      <c r="E77" s="762"/>
      <c r="F77" s="1947"/>
      <c r="G77" s="1171"/>
      <c r="H77" s="1175" t="str">
        <f t="shared" si="21"/>
        <v>——</v>
      </c>
      <c r="I77" s="756">
        <v>0.15</v>
      </c>
      <c r="J77" s="1172">
        <f t="shared" si="22"/>
        <v>0</v>
      </c>
      <c r="K77" s="1172">
        <f t="shared" si="23"/>
        <v>0</v>
      </c>
      <c r="L77" s="1172">
        <v>0</v>
      </c>
      <c r="M77" s="1172">
        <f t="shared" si="24"/>
        <v>0</v>
      </c>
      <c r="N77" s="1172">
        <f t="shared" si="24"/>
        <v>0</v>
      </c>
      <c r="Z77" s="2130"/>
      <c r="AA77" s="2196"/>
      <c r="AG77" s="1231"/>
      <c r="AK77" s="2196"/>
    </row>
    <row r="78" spans="1:37" ht="24.75" thickBot="1">
      <c r="A78" s="2283" t="s">
        <v>2545</v>
      </c>
      <c r="B78" s="2287"/>
      <c r="C78" s="2180"/>
      <c r="D78" s="1173">
        <f t="shared" si="20"/>
        <v>0</v>
      </c>
      <c r="E78" s="763"/>
      <c r="F78" s="1947"/>
      <c r="G78" s="1171"/>
      <c r="H78" s="1175" t="str">
        <f t="shared" si="21"/>
        <v>——</v>
      </c>
      <c r="I78" s="760">
        <v>0.04</v>
      </c>
      <c r="J78" s="1172">
        <f t="shared" si="22"/>
        <v>0</v>
      </c>
      <c r="K78" s="1172">
        <f t="shared" si="23"/>
        <v>0</v>
      </c>
      <c r="L78" s="1172">
        <v>0</v>
      </c>
      <c r="M78" s="1172">
        <f t="shared" si="24"/>
        <v>0</v>
      </c>
      <c r="N78" s="1172">
        <f t="shared" si="24"/>
        <v>0</v>
      </c>
      <c r="Z78" s="2130"/>
      <c r="AA78" s="2196"/>
      <c r="AG78" s="1231"/>
      <c r="AK78" s="2196"/>
    </row>
    <row r="79" spans="1:37" ht="15">
      <c r="A79" s="2271" t="s">
        <v>2546</v>
      </c>
      <c r="B79" s="2272">
        <f>1+E81</f>
        <v>1</v>
      </c>
      <c r="C79" s="750"/>
      <c r="D79" s="750"/>
      <c r="E79" s="751"/>
      <c r="F79" s="2274"/>
      <c r="G79" s="6"/>
      <c r="H79" s="6"/>
      <c r="I79" s="6"/>
      <c r="J79" s="7"/>
      <c r="K79" s="7"/>
      <c r="L79" s="7"/>
      <c r="M79" s="7"/>
      <c r="N79" s="7"/>
      <c r="Z79" s="2130"/>
      <c r="AA79" s="2196"/>
      <c r="AG79" s="1231"/>
      <c r="AK79" s="2196"/>
    </row>
    <row r="80" spans="1:37" ht="24.75">
      <c r="A80" s="2275" t="s">
        <v>2520</v>
      </c>
      <c r="B80" s="1482"/>
      <c r="C80" s="1482" t="s">
        <v>2522</v>
      </c>
      <c r="D80" s="1482" t="s">
        <v>2523</v>
      </c>
      <c r="E80" s="755" t="s">
        <v>2524</v>
      </c>
      <c r="F80" s="2276" t="s">
        <v>2540</v>
      </c>
      <c r="G80" s="1482" t="s">
        <v>574</v>
      </c>
      <c r="H80" s="2277" t="s">
        <v>2526</v>
      </c>
      <c r="I80" s="1482" t="s">
        <v>2527</v>
      </c>
      <c r="J80" s="560" t="s">
        <v>2177</v>
      </c>
      <c r="K80" s="560" t="s">
        <v>2178</v>
      </c>
      <c r="L80" s="560" t="s">
        <v>2179</v>
      </c>
      <c r="M80" s="560" t="s">
        <v>2180</v>
      </c>
      <c r="N80" s="560" t="s">
        <v>2181</v>
      </c>
      <c r="Z80" s="2130"/>
      <c r="AA80" s="2196"/>
      <c r="AG80" s="1231"/>
      <c r="AK80" s="2196"/>
    </row>
    <row r="81" spans="1:37" ht="38.25">
      <c r="A81" s="2275" t="s">
        <v>2547</v>
      </c>
      <c r="B81" s="2279" t="str">
        <f>估价对象房地状况!G15</f>
        <v>估价对象位于XX开发区，园区建设成熟度XX，产业集聚程度XX</v>
      </c>
      <c r="C81" s="2180"/>
      <c r="D81" s="1173">
        <f t="shared" ref="D81:D88" si="25">SUMIF($J$80:$N$80,C81,J81:N81)</f>
        <v>0</v>
      </c>
      <c r="E81" s="757">
        <f>ROUND(SUM(D81:D88),4)</f>
        <v>0</v>
      </c>
      <c r="F81" s="1947" t="str">
        <f>IF(E2="工业",SUMIF(L1:L12,G2,N1:N12),"——")</f>
        <v>——</v>
      </c>
      <c r="G81" s="1171"/>
      <c r="H81" s="1175" t="str">
        <f t="shared" ref="H81:H88" si="26">IFERROR(ROUNDDOWN($F$81*I81/2,4),"——")</f>
        <v>——</v>
      </c>
      <c r="I81" s="756">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51">
      <c r="A82" s="2275" t="s">
        <v>2529</v>
      </c>
      <c r="B82" s="2279" t="str">
        <f>估价对象房地状况!G16</f>
        <v>估价对象周边道路状况、公共交通通达情况、停车便捷程度，综合评价交通便捷度较好</v>
      </c>
      <c r="C82" s="2180"/>
      <c r="D82" s="1173">
        <f t="shared" si="25"/>
        <v>0</v>
      </c>
      <c r="E82" s="762"/>
      <c r="F82" s="1947"/>
      <c r="G82" s="1171"/>
      <c r="H82" s="1175" t="str">
        <f t="shared" si="26"/>
        <v>——</v>
      </c>
      <c r="I82" s="756">
        <v>0.33</v>
      </c>
      <c r="J82" s="1172">
        <f t="shared" si="27"/>
        <v>0</v>
      </c>
      <c r="K82" s="1172">
        <f t="shared" si="28"/>
        <v>0</v>
      </c>
      <c r="L82" s="1172">
        <v>0</v>
      </c>
      <c r="M82" s="1172">
        <f t="shared" si="29"/>
        <v>0</v>
      </c>
      <c r="N82" s="1172">
        <f t="shared" si="29"/>
        <v>0</v>
      </c>
      <c r="Z82" s="2130"/>
      <c r="AA82" s="2196"/>
      <c r="AG82" s="1231"/>
      <c r="AK82" s="2196"/>
    </row>
    <row r="83" spans="1:37" ht="24">
      <c r="A83" s="2275" t="s">
        <v>2530</v>
      </c>
      <c r="B83" s="2279">
        <f>估价对象房地状况!G17</f>
        <v>0</v>
      </c>
      <c r="C83" s="2180"/>
      <c r="D83" s="1173">
        <f t="shared" si="25"/>
        <v>0</v>
      </c>
      <c r="E83" s="762"/>
      <c r="F83" s="1947"/>
      <c r="G83" s="1171"/>
      <c r="H83" s="1175" t="str">
        <f t="shared" si="26"/>
        <v>——</v>
      </c>
      <c r="I83" s="756">
        <v>0.05</v>
      </c>
      <c r="J83" s="1172">
        <f t="shared" si="27"/>
        <v>0</v>
      </c>
      <c r="K83" s="1172">
        <f t="shared" si="28"/>
        <v>0</v>
      </c>
      <c r="L83" s="1172">
        <v>0</v>
      </c>
      <c r="M83" s="1172">
        <f t="shared" si="29"/>
        <v>0</v>
      </c>
      <c r="N83" s="1172">
        <f t="shared" si="29"/>
        <v>0</v>
      </c>
      <c r="Z83" s="2130"/>
      <c r="AA83" s="2196"/>
      <c r="AG83" s="1231"/>
      <c r="AK83" s="2196"/>
    </row>
    <row r="84" spans="1:37" ht="14.25">
      <c r="A84" s="2275" t="s">
        <v>2544</v>
      </c>
      <c r="B84" s="2279">
        <f>估价对象房地状况!G22</f>
        <v>0</v>
      </c>
      <c r="C84" s="2180"/>
      <c r="D84" s="1173">
        <f t="shared" si="25"/>
        <v>0</v>
      </c>
      <c r="E84" s="762"/>
      <c r="F84" s="1947"/>
      <c r="G84" s="1171"/>
      <c r="H84" s="1175" t="str">
        <f t="shared" si="26"/>
        <v>——</v>
      </c>
      <c r="I84" s="756">
        <v>0.04</v>
      </c>
      <c r="J84" s="1172">
        <f t="shared" si="27"/>
        <v>0</v>
      </c>
      <c r="K84" s="1172">
        <f t="shared" si="28"/>
        <v>0</v>
      </c>
      <c r="L84" s="1172">
        <v>0</v>
      </c>
      <c r="M84" s="1172">
        <f t="shared" si="29"/>
        <v>0</v>
      </c>
      <c r="N84" s="1172">
        <f t="shared" si="29"/>
        <v>0</v>
      </c>
      <c r="Z84" s="2130"/>
      <c r="AA84" s="2196"/>
      <c r="AG84" s="1231"/>
      <c r="AK84" s="2196"/>
    </row>
    <row r="85" spans="1:37" ht="25.5">
      <c r="A85" s="2275" t="s">
        <v>2536</v>
      </c>
      <c r="B85" s="1443" t="str">
        <f>估价对象房地状况!G19</f>
        <v>估价对象所在区域公共配套设施齐备情况</v>
      </c>
      <c r="C85" s="2180"/>
      <c r="D85" s="1173">
        <f t="shared" si="25"/>
        <v>0</v>
      </c>
      <c r="E85" s="762"/>
      <c r="F85" s="1947"/>
      <c r="G85" s="1171"/>
      <c r="H85" s="1175" t="str">
        <f t="shared" si="26"/>
        <v>——</v>
      </c>
      <c r="I85" s="756">
        <v>0.06</v>
      </c>
      <c r="J85" s="1172">
        <f t="shared" si="27"/>
        <v>0</v>
      </c>
      <c r="K85" s="1172">
        <f t="shared" si="28"/>
        <v>0</v>
      </c>
      <c r="L85" s="1172">
        <v>0</v>
      </c>
      <c r="M85" s="1172">
        <f t="shared" si="29"/>
        <v>0</v>
      </c>
      <c r="N85" s="1172">
        <f t="shared" si="29"/>
        <v>0</v>
      </c>
      <c r="Z85" s="2130"/>
      <c r="AA85" s="2196"/>
      <c r="AG85" s="1231"/>
      <c r="AK85" s="2196"/>
    </row>
    <row r="86" spans="1:37" ht="25.5">
      <c r="A86" s="2275" t="s">
        <v>2537</v>
      </c>
      <c r="B86" s="1443" t="str">
        <f>估价对象房地状况!G20</f>
        <v>估价对象所在区域基础设施水平</v>
      </c>
      <c r="C86" s="2180"/>
      <c r="D86" s="1173">
        <f t="shared" si="25"/>
        <v>0</v>
      </c>
      <c r="E86" s="762"/>
      <c r="F86" s="1947"/>
      <c r="G86" s="1171"/>
      <c r="H86" s="1175" t="str">
        <f t="shared" si="26"/>
        <v>——</v>
      </c>
      <c r="I86" s="756">
        <v>0.15</v>
      </c>
      <c r="J86" s="1172">
        <f t="shared" si="27"/>
        <v>0</v>
      </c>
      <c r="K86" s="1172">
        <f t="shared" si="28"/>
        <v>0</v>
      </c>
      <c r="L86" s="1172">
        <v>0</v>
      </c>
      <c r="M86" s="1172">
        <f t="shared" si="29"/>
        <v>0</v>
      </c>
      <c r="N86" s="1172">
        <f t="shared" si="29"/>
        <v>0</v>
      </c>
      <c r="Z86" s="2130"/>
      <c r="AA86" s="2196"/>
      <c r="AG86" s="1231"/>
      <c r="AK86" s="2196"/>
    </row>
    <row r="87" spans="1:37" ht="24">
      <c r="A87" s="2275" t="s">
        <v>2534</v>
      </c>
      <c r="B87" s="2281" t="s">
        <v>2548</v>
      </c>
      <c r="C87" s="2180"/>
      <c r="D87" s="1173">
        <f t="shared" si="25"/>
        <v>0</v>
      </c>
      <c r="E87" s="762"/>
      <c r="F87" s="1947"/>
      <c r="G87" s="1171"/>
      <c r="H87" s="1175" t="str">
        <f t="shared" si="26"/>
        <v>——</v>
      </c>
      <c r="I87" s="756">
        <v>0.05</v>
      </c>
      <c r="J87" s="1172">
        <f t="shared" si="27"/>
        <v>0</v>
      </c>
      <c r="K87" s="1172">
        <f t="shared" si="28"/>
        <v>0</v>
      </c>
      <c r="L87" s="1172">
        <v>0</v>
      </c>
      <c r="M87" s="1172">
        <f t="shared" si="29"/>
        <v>0</v>
      </c>
      <c r="N87" s="1172">
        <f t="shared" si="29"/>
        <v>0</v>
      </c>
      <c r="Z87" s="2130"/>
      <c r="AA87" s="2196"/>
      <c r="AG87" s="1231"/>
      <c r="AK87" s="2196"/>
    </row>
    <row r="88" spans="1:37" ht="39" thickBot="1">
      <c r="A88" s="2283" t="s">
        <v>2549</v>
      </c>
      <c r="B88" s="2288" t="str">
        <f>估价对象房地状况!G18</f>
        <v>该园区内是否有污染型企业，绿化情况，卫生条件，整体环境状况判断</v>
      </c>
      <c r="C88" s="2180"/>
      <c r="D88" s="1173">
        <f t="shared" si="25"/>
        <v>0</v>
      </c>
      <c r="E88" s="763"/>
      <c r="F88" s="1947"/>
      <c r="G88" s="1171"/>
      <c r="H88" s="1175" t="str">
        <f t="shared" si="26"/>
        <v>——</v>
      </c>
      <c r="I88" s="760">
        <v>0.06</v>
      </c>
      <c r="J88" s="1172">
        <f t="shared" si="27"/>
        <v>0</v>
      </c>
      <c r="K88" s="1172">
        <f t="shared" si="28"/>
        <v>0</v>
      </c>
      <c r="L88" s="1172">
        <v>0</v>
      </c>
      <c r="M88" s="1172">
        <f t="shared" si="29"/>
        <v>0</v>
      </c>
      <c r="N88" s="1172">
        <f t="shared" si="29"/>
        <v>0</v>
      </c>
      <c r="Z88" s="2130"/>
      <c r="AA88" s="2196"/>
      <c r="AG88" s="1231"/>
      <c r="AK88" s="2196"/>
    </row>
    <row r="90" spans="1:37">
      <c r="A90" s="3775" t="s">
        <v>2550</v>
      </c>
      <c r="B90" s="3775"/>
      <c r="C90" s="3775"/>
      <c r="D90" s="3775"/>
      <c r="E90" s="3775"/>
      <c r="F90" s="3775"/>
      <c r="G90" s="3775"/>
      <c r="H90" s="3775"/>
      <c r="I90" s="3775"/>
      <c r="J90" s="3775"/>
      <c r="K90" s="2289"/>
      <c r="L90" s="2289"/>
      <c r="M90" s="2289"/>
      <c r="N90" s="2289"/>
    </row>
    <row r="91" spans="1:37">
      <c r="A91" s="3777" t="s">
        <v>2551</v>
      </c>
      <c r="B91" s="3777" t="s">
        <v>2552</v>
      </c>
      <c r="C91" s="2243" t="s">
        <v>2553</v>
      </c>
      <c r="D91" s="2244"/>
      <c r="E91" s="2244"/>
      <c r="F91" s="2244"/>
      <c r="G91" s="2244"/>
      <c r="H91" s="2244"/>
      <c r="I91" s="2244"/>
      <c r="J91" s="2290"/>
      <c r="K91" s="2291"/>
      <c r="L91" s="2291"/>
      <c r="M91" s="2291"/>
      <c r="N91" s="2291"/>
    </row>
    <row r="92" spans="1:37">
      <c r="A92" s="3777"/>
      <c r="B92" s="3777"/>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778"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79"/>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79"/>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79"/>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79"/>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79"/>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79"/>
      <c r="B99" s="2292" t="s">
        <v>2436</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80"/>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78" t="s">
        <v>2555</v>
      </c>
      <c r="B101" s="2296" t="s">
        <v>2556</v>
      </c>
      <c r="C101" s="2297">
        <f>$G$3</f>
        <v>4.99</v>
      </c>
      <c r="D101" s="2297">
        <f t="shared" ref="D101:N101" si="31">$G$3</f>
        <v>4.99</v>
      </c>
      <c r="E101" s="2297">
        <f t="shared" si="31"/>
        <v>4.99</v>
      </c>
      <c r="F101" s="2297">
        <f t="shared" si="31"/>
        <v>4.99</v>
      </c>
      <c r="G101" s="2297">
        <f t="shared" si="31"/>
        <v>4.99</v>
      </c>
      <c r="H101" s="2297">
        <f t="shared" si="31"/>
        <v>4.99</v>
      </c>
      <c r="I101" s="2297">
        <f t="shared" si="31"/>
        <v>4.99</v>
      </c>
      <c r="J101" s="2297">
        <f t="shared" si="31"/>
        <v>4.99</v>
      </c>
      <c r="K101" s="2297">
        <f t="shared" si="31"/>
        <v>4.99</v>
      </c>
      <c r="L101" s="2297">
        <f t="shared" si="31"/>
        <v>4.99</v>
      </c>
      <c r="M101" s="2297">
        <f t="shared" si="31"/>
        <v>4.99</v>
      </c>
      <c r="N101" s="2297">
        <f t="shared" si="31"/>
        <v>4.99</v>
      </c>
    </row>
    <row r="102" spans="1:14">
      <c r="A102" s="3779"/>
      <c r="B102" s="2292">
        <v>1</v>
      </c>
      <c r="C102" s="2293">
        <f>1.9362/C101</f>
        <v>0.38801603206412821</v>
      </c>
      <c r="D102" s="2293">
        <f>1.9362/D101</f>
        <v>0.38801603206412821</v>
      </c>
      <c r="E102" s="2293">
        <f>1.8629/E101</f>
        <v>0.37332665330661319</v>
      </c>
      <c r="F102" s="2293">
        <f>1.8629/F101</f>
        <v>0.37332665330661319</v>
      </c>
      <c r="G102" s="2293">
        <f>1.8629/G101</f>
        <v>0.37332665330661319</v>
      </c>
      <c r="H102" s="2293">
        <f>1.8629/H101</f>
        <v>0.37332665330661319</v>
      </c>
      <c r="I102" s="2293">
        <f>1.8629/I101</f>
        <v>0.37332665330661319</v>
      </c>
      <c r="J102" s="2293">
        <f>1.942/J101</f>
        <v>0.38917835671342682</v>
      </c>
      <c r="K102" s="2293">
        <f>1.942/K101</f>
        <v>0.38917835671342682</v>
      </c>
      <c r="L102" s="2293">
        <f>1.942/L101</f>
        <v>0.38917835671342682</v>
      </c>
      <c r="M102" s="2293">
        <f>1.942/M101</f>
        <v>0.38917835671342682</v>
      </c>
      <c r="N102" s="2293">
        <f>1.942/N101</f>
        <v>0.38917835671342682</v>
      </c>
    </row>
    <row r="103" spans="1:14">
      <c r="A103" s="3779"/>
      <c r="B103" s="2292">
        <v>2</v>
      </c>
      <c r="C103" s="2293">
        <f>1.4198/C101</f>
        <v>0.28452905811623247</v>
      </c>
      <c r="D103" s="2293">
        <f>1.4198/D101</f>
        <v>0.28452905811623247</v>
      </c>
      <c r="E103" s="2293">
        <f>1.3372/E101</f>
        <v>0.26797595190380757</v>
      </c>
      <c r="F103" s="2293">
        <f>1.3372/F101</f>
        <v>0.26797595190380757</v>
      </c>
      <c r="G103" s="2293">
        <f>1.3372/G101</f>
        <v>0.26797595190380757</v>
      </c>
      <c r="H103" s="2293">
        <f>1.3372/H101</f>
        <v>0.26797595190380757</v>
      </c>
      <c r="I103" s="2293">
        <f>1.3372/I101</f>
        <v>0.26797595190380757</v>
      </c>
      <c r="J103" s="2293">
        <f>1.2799/J101</f>
        <v>0.25649298597194387</v>
      </c>
      <c r="K103" s="2293">
        <f>1.2799/K101</f>
        <v>0.25649298597194387</v>
      </c>
      <c r="L103" s="2293">
        <f>1.2799/L101</f>
        <v>0.25649298597194387</v>
      </c>
      <c r="M103" s="2293">
        <f>1.2799/M101</f>
        <v>0.25649298597194387</v>
      </c>
      <c r="N103" s="2293">
        <f>1.2799/N101</f>
        <v>0.25649298597194387</v>
      </c>
    </row>
    <row r="104" spans="1:14">
      <c r="A104" s="3779"/>
      <c r="B104" s="2292">
        <v>3</v>
      </c>
      <c r="C104" s="2293">
        <f>1.1594/C101</f>
        <v>0.23234468937875749</v>
      </c>
      <c r="D104" s="2293">
        <f>1.1594/D101</f>
        <v>0.23234468937875749</v>
      </c>
      <c r="E104" s="2293">
        <f>1.0788/E101</f>
        <v>0.21619238476953906</v>
      </c>
      <c r="F104" s="2293">
        <f>1.0788/F101</f>
        <v>0.21619238476953906</v>
      </c>
      <c r="G104" s="2293">
        <f>1.0788/G101</f>
        <v>0.21619238476953906</v>
      </c>
      <c r="H104" s="2293">
        <f>1.0788/H101</f>
        <v>0.21619238476953906</v>
      </c>
      <c r="I104" s="2293">
        <f>1.0788/I101</f>
        <v>0.21619238476953906</v>
      </c>
      <c r="J104" s="2293">
        <f>1.0072/J101</f>
        <v>0.2018436873747495</v>
      </c>
      <c r="K104" s="2293">
        <f>1.0072/K101</f>
        <v>0.2018436873747495</v>
      </c>
      <c r="L104" s="2293">
        <f>1.0072/L101</f>
        <v>0.2018436873747495</v>
      </c>
      <c r="M104" s="2293">
        <f>1.0072/M101</f>
        <v>0.2018436873747495</v>
      </c>
      <c r="N104" s="2293">
        <f>1.0072/N101</f>
        <v>0.2018436873747495</v>
      </c>
    </row>
    <row r="105" spans="1:14">
      <c r="A105" s="3779"/>
      <c r="B105" s="2292">
        <v>4</v>
      </c>
      <c r="C105" s="2293">
        <f>0.9622/C101</f>
        <v>0.19282565130260521</v>
      </c>
      <c r="D105" s="2293">
        <f>0.9622/D101</f>
        <v>0.19282565130260521</v>
      </c>
      <c r="E105" s="2293">
        <f>0.8656/E101</f>
        <v>0.17346693386773548</v>
      </c>
      <c r="F105" s="2293">
        <f>0.8656/F101</f>
        <v>0.17346693386773548</v>
      </c>
      <c r="G105" s="2293">
        <f>0.8656/G101</f>
        <v>0.17346693386773548</v>
      </c>
      <c r="H105" s="2293">
        <f>0.8656/H101</f>
        <v>0.17346693386773548</v>
      </c>
      <c r="I105" s="2293">
        <f>0.8656/I101</f>
        <v>0.17346693386773548</v>
      </c>
      <c r="J105" s="2293">
        <f>0.7525/J101</f>
        <v>0.15080160320641281</v>
      </c>
      <c r="K105" s="2293">
        <f>0.7525/K101</f>
        <v>0.15080160320641281</v>
      </c>
      <c r="L105" s="2293">
        <f>0.7525/L101</f>
        <v>0.15080160320641281</v>
      </c>
      <c r="M105" s="2293">
        <f>0.7525/M101</f>
        <v>0.15080160320641281</v>
      </c>
      <c r="N105" s="2293">
        <f>0.7525/N101</f>
        <v>0.15080160320641281</v>
      </c>
    </row>
    <row r="106" spans="1:14">
      <c r="A106" s="3779"/>
      <c r="B106" s="2292">
        <v>5</v>
      </c>
      <c r="C106" s="2293">
        <f>0.8417/C101</f>
        <v>0.16867735470941883</v>
      </c>
      <c r="D106" s="2293">
        <f>0.8417/D101</f>
        <v>0.16867735470941883</v>
      </c>
      <c r="E106" s="2293">
        <f>0.7371/E101</f>
        <v>0.14771543086172342</v>
      </c>
      <c r="F106" s="2293">
        <f>0.7371/F101</f>
        <v>0.14771543086172342</v>
      </c>
      <c r="G106" s="2293">
        <f>0.7371/G101</f>
        <v>0.14771543086172342</v>
      </c>
      <c r="H106" s="2293">
        <f>0.7371/H101</f>
        <v>0.14771543086172342</v>
      </c>
      <c r="I106" s="2293">
        <f>0.7371/I101</f>
        <v>0.14771543086172342</v>
      </c>
      <c r="J106" s="2293">
        <f>0.5659/J101</f>
        <v>0.11340681362725449</v>
      </c>
      <c r="K106" s="2293">
        <f>0.5659/K101</f>
        <v>0.11340681362725449</v>
      </c>
      <c r="L106" s="2293">
        <f>0.5659/L101</f>
        <v>0.11340681362725449</v>
      </c>
      <c r="M106" s="2293">
        <f>0.5659/M101</f>
        <v>0.11340681362725449</v>
      </c>
      <c r="N106" s="2293">
        <f>0.5659/N101</f>
        <v>0.11340681362725449</v>
      </c>
    </row>
    <row r="107" spans="1:14">
      <c r="A107" s="3779"/>
      <c r="B107" s="2292">
        <v>6</v>
      </c>
      <c r="C107" s="2293">
        <f>0.7608/C101</f>
        <v>0.15246492985971943</v>
      </c>
      <c r="D107" s="2293">
        <f>0.7608/D101</f>
        <v>0.15246492985971943</v>
      </c>
      <c r="E107" s="2293">
        <f>0.6482/E101</f>
        <v>0.1298997995991984</v>
      </c>
      <c r="F107" s="2293">
        <f>0.6482/F101</f>
        <v>0.1298997995991984</v>
      </c>
      <c r="G107" s="2293">
        <f>0.6482/G101</f>
        <v>0.1298997995991984</v>
      </c>
      <c r="H107" s="2293">
        <f>0.6482/H101</f>
        <v>0.1298997995991984</v>
      </c>
      <c r="I107" s="2293">
        <f>0.6482/I101</f>
        <v>0.1298997995991984</v>
      </c>
      <c r="J107" s="2293">
        <f>0.4525/J101</f>
        <v>9.0681362725450895E-2</v>
      </c>
      <c r="K107" s="2293">
        <f>0.4525/K101</f>
        <v>9.0681362725450895E-2</v>
      </c>
      <c r="L107" s="2293">
        <f>0.4525/L101</f>
        <v>9.0681362725450895E-2</v>
      </c>
      <c r="M107" s="2293">
        <f>0.4525/M101</f>
        <v>9.0681362725450895E-2</v>
      </c>
      <c r="N107" s="2293">
        <f>0.4525/N101</f>
        <v>9.0681362725450895E-2</v>
      </c>
    </row>
    <row r="108" spans="1:14">
      <c r="A108" s="3779"/>
      <c r="B108" s="3781" t="s">
        <v>2557</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80"/>
      <c r="B109" s="3782"/>
      <c r="C109" s="2295">
        <f>(-0.163*(C108^2)-0.59*C108+7617)*(10^(-4))/C101</f>
        <v>0.15264529058116233</v>
      </c>
      <c r="D109" s="2295">
        <f>(-0.163*(D108^2)-0.59*D108+7617)*(10^(-4))/D101</f>
        <v>0.15264529058116233</v>
      </c>
      <c r="E109" s="2295">
        <f>(-0.161*(E108^2)-7.509*E108+6533)*(10^(-4))/E101</f>
        <v>0.13092184368737475</v>
      </c>
      <c r="F109" s="2295">
        <f>(-0.161*(F108^2)-7.509*F108+6533)*(10^(-4))/F101</f>
        <v>0.13092184368737475</v>
      </c>
      <c r="G109" s="2295">
        <f>(-0.161*(G108^2)-7.509*G108+6533)*(10^(-4))/G101</f>
        <v>0.13092184368737475</v>
      </c>
      <c r="H109" s="2295">
        <f>(-0.161*(H108^2)-7.509*H108+6533)*(10^(-4))/H101</f>
        <v>0.13092184368737475</v>
      </c>
      <c r="I109" s="2295">
        <f>(-0.161*(I108^2)-7.509*I108+6533)*(10^(-4))/I101</f>
        <v>0.13092184368737475</v>
      </c>
      <c r="J109" s="2295">
        <f>(-0.214*(J108^2)-21.991*J108+4665)*(10^(-4))/J101</f>
        <v>9.3486973947895791E-2</v>
      </c>
      <c r="K109" s="2295">
        <f>(-0.214*(K108^2)-21.991*K108+4665)*(10^(-4))/K101</f>
        <v>9.3486973947895791E-2</v>
      </c>
      <c r="L109" s="2295">
        <f>(-0.214*(L108^2)-21.991*L108+4665)*(10^(-4))/L101</f>
        <v>9.3486973947895791E-2</v>
      </c>
      <c r="M109" s="2295">
        <f>(-0.214*(M108^2)-21.991*M108+4665)*(10^(-4))/M101</f>
        <v>9.3486973947895791E-2</v>
      </c>
      <c r="N109" s="2295">
        <f>(-0.214*(N108^2)-21.991*N108+4665)*(10^(-4))/N101</f>
        <v>9.3486973947895791E-2</v>
      </c>
    </row>
    <row r="110" spans="1:14">
      <c r="A110" s="3776" t="s">
        <v>2558</v>
      </c>
      <c r="B110" s="3776"/>
      <c r="C110" s="3776"/>
      <c r="D110" s="3776"/>
      <c r="E110" s="3776"/>
      <c r="F110" s="3776"/>
      <c r="G110" s="3776"/>
      <c r="H110" s="3776"/>
      <c r="I110" s="3776"/>
      <c r="J110" s="3776"/>
      <c r="K110" s="2298"/>
      <c r="L110" s="2298"/>
      <c r="M110" s="2298"/>
      <c r="N110" s="2298"/>
    </row>
    <row r="112" spans="1:14" ht="13.5" thickBot="1"/>
    <row r="113" spans="1:13" ht="25.5" thickBot="1">
      <c r="A113" s="821" t="s">
        <v>2559</v>
      </c>
      <c r="B113" s="1174">
        <f>G3</f>
        <v>4.99</v>
      </c>
      <c r="C113" s="822" t="s">
        <v>2560</v>
      </c>
      <c r="D113" s="823">
        <f>SUMPRODUCT((A115:A118=F113)*(B114:M114=H113)*B115:M118)</f>
        <v>0</v>
      </c>
      <c r="E113" s="2134" t="s">
        <v>2393</v>
      </c>
      <c r="F113" s="2300">
        <f>E2</f>
        <v>0</v>
      </c>
      <c r="G113" s="2134" t="s">
        <v>2394</v>
      </c>
      <c r="H113" s="2300">
        <f>G2</f>
        <v>0</v>
      </c>
      <c r="I113" s="2134"/>
      <c r="J113" s="2301"/>
      <c r="K113" s="2301"/>
      <c r="L113" s="2301"/>
      <c r="M113" s="2301"/>
    </row>
    <row r="114" spans="1:13">
      <c r="A114" s="826"/>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7" t="s">
        <v>2458</v>
      </c>
      <c r="B115" s="828">
        <f>ROUND(0.9335-0.0094*B113,4)</f>
        <v>0.88660000000000005</v>
      </c>
      <c r="C115" s="828">
        <f>B115</f>
        <v>0.88660000000000005</v>
      </c>
      <c r="D115" s="828">
        <f>ROUND(0.8331-0.0109*B113,4)</f>
        <v>0.77869999999999995</v>
      </c>
      <c r="E115" s="828">
        <f>D115</f>
        <v>0.77869999999999995</v>
      </c>
      <c r="F115" s="828">
        <f>E115</f>
        <v>0.77869999999999995</v>
      </c>
      <c r="G115" s="828">
        <f>F115</f>
        <v>0.77869999999999995</v>
      </c>
      <c r="H115" s="828">
        <f>G115</f>
        <v>0.77869999999999995</v>
      </c>
      <c r="I115" s="828">
        <f>ROUND(0.689-0.0155*B113,4)</f>
        <v>0.61170000000000002</v>
      </c>
      <c r="J115" s="828">
        <f t="shared" ref="J115:M118" si="33">I115</f>
        <v>0.61170000000000002</v>
      </c>
      <c r="K115" s="828">
        <f t="shared" si="33"/>
        <v>0.61170000000000002</v>
      </c>
      <c r="L115" s="828">
        <f t="shared" si="33"/>
        <v>0.61170000000000002</v>
      </c>
      <c r="M115" s="829">
        <f t="shared" si="33"/>
        <v>0.61170000000000002</v>
      </c>
    </row>
    <row r="116" spans="1:13">
      <c r="A116" s="827" t="s">
        <v>2459</v>
      </c>
      <c r="B116" s="828">
        <f>ROUND(0.949-0.012*B113,4)</f>
        <v>0.8891</v>
      </c>
      <c r="C116" s="828">
        <f>B116</f>
        <v>0.8891</v>
      </c>
      <c r="D116" s="828">
        <f>ROUND(0.8567-0.013*B113,4)</f>
        <v>0.79179999999999995</v>
      </c>
      <c r="E116" s="828">
        <f t="shared" ref="E116:H117" si="34">D116</f>
        <v>0.79179999999999995</v>
      </c>
      <c r="F116" s="828">
        <f t="shared" si="34"/>
        <v>0.79179999999999995</v>
      </c>
      <c r="G116" s="828">
        <f t="shared" si="34"/>
        <v>0.79179999999999995</v>
      </c>
      <c r="H116" s="828">
        <f t="shared" si="34"/>
        <v>0.79179999999999995</v>
      </c>
      <c r="I116" s="828">
        <f>ROUND(0.7694-0.014*B113,4)</f>
        <v>0.69950000000000001</v>
      </c>
      <c r="J116" s="828">
        <f t="shared" si="33"/>
        <v>0.69950000000000001</v>
      </c>
      <c r="K116" s="828">
        <f t="shared" si="33"/>
        <v>0.69950000000000001</v>
      </c>
      <c r="L116" s="828">
        <f t="shared" si="33"/>
        <v>0.69950000000000001</v>
      </c>
      <c r="M116" s="829">
        <f t="shared" si="33"/>
        <v>0.69950000000000001</v>
      </c>
    </row>
    <row r="117" spans="1:13">
      <c r="A117" s="827" t="s">
        <v>2460</v>
      </c>
      <c r="B117" s="828">
        <f>ROUND(0.8808-0.006*B113,4)</f>
        <v>0.85089999999999999</v>
      </c>
      <c r="C117" s="828">
        <f>B117</f>
        <v>0.85089999999999999</v>
      </c>
      <c r="D117" s="828">
        <f>ROUND(0.8748-0.008*B113,4)</f>
        <v>0.83489999999999998</v>
      </c>
      <c r="E117" s="828">
        <f t="shared" si="34"/>
        <v>0.83489999999999998</v>
      </c>
      <c r="F117" s="828">
        <f t="shared" si="34"/>
        <v>0.83489999999999998</v>
      </c>
      <c r="G117" s="828">
        <f t="shared" si="34"/>
        <v>0.83489999999999998</v>
      </c>
      <c r="H117" s="828">
        <f t="shared" si="34"/>
        <v>0.83489999999999998</v>
      </c>
      <c r="I117" s="828">
        <f>ROUND(0.7412-0.0095*B113,4)</f>
        <v>0.69379999999999997</v>
      </c>
      <c r="J117" s="828">
        <f t="shared" si="33"/>
        <v>0.69379999999999997</v>
      </c>
      <c r="K117" s="828">
        <f t="shared" si="33"/>
        <v>0.69379999999999997</v>
      </c>
      <c r="L117" s="828">
        <f t="shared" si="33"/>
        <v>0.69379999999999997</v>
      </c>
      <c r="M117" s="829">
        <f t="shared" si="33"/>
        <v>0.69379999999999997</v>
      </c>
    </row>
    <row r="118" spans="1:13" ht="13.5" thickBot="1">
      <c r="A118" s="668" t="s">
        <v>2461</v>
      </c>
      <c r="B118" s="830">
        <f>ROUND(0.7275-0.01*B113,4)</f>
        <v>0.67759999999999998</v>
      </c>
      <c r="C118" s="830">
        <f>B118</f>
        <v>0.67759999999999998</v>
      </c>
      <c r="D118" s="830">
        <f>ROUND(0.7043-0.012*B113,4)</f>
        <v>0.64439999999999997</v>
      </c>
      <c r="E118" s="830">
        <f>D118</f>
        <v>0.64439999999999997</v>
      </c>
      <c r="F118" s="830">
        <f>E118</f>
        <v>0.64439999999999997</v>
      </c>
      <c r="G118" s="830">
        <f>ROUND(0.6299-0.0122*B113,4)</f>
        <v>0.56899999999999995</v>
      </c>
      <c r="H118" s="830">
        <f>G118</f>
        <v>0.56899999999999995</v>
      </c>
      <c r="I118" s="830">
        <f>ROUND(0.5667-0.0136*B113,4)</f>
        <v>0.49880000000000002</v>
      </c>
      <c r="J118" s="830">
        <f t="shared" si="33"/>
        <v>0.49880000000000002</v>
      </c>
      <c r="K118" s="830">
        <f t="shared" si="33"/>
        <v>0.49880000000000002</v>
      </c>
      <c r="L118" s="830">
        <f t="shared" si="33"/>
        <v>0.49880000000000002</v>
      </c>
      <c r="M118" s="831">
        <f t="shared" si="33"/>
        <v>0.49880000000000002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2944</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2945</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2946</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2947</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2948</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2949</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2950</v>
      </c>
      <c r="B19" s="3205" t="s">
        <v>2951</v>
      </c>
      <c r="C19" s="3206" t="s">
        <v>2952</v>
      </c>
      <c r="D19" s="3207"/>
      <c r="E19" s="3201" t="s">
        <v>2953</v>
      </c>
      <c r="F19" s="800"/>
      <c r="G19" s="800"/>
    </row>
    <row r="20" spans="1:13" s="805" customFormat="1" ht="19.5" customHeight="1">
      <c r="A20" s="3806" t="s">
        <v>2954</v>
      </c>
      <c r="B20" s="3799" t="s">
        <v>2955</v>
      </c>
      <c r="C20" s="3208" t="s">
        <v>2956</v>
      </c>
      <c r="D20" s="3209"/>
      <c r="E20" s="3210">
        <v>1</v>
      </c>
      <c r="F20" s="3211" t="s">
        <v>2957</v>
      </c>
      <c r="G20" s="804"/>
      <c r="H20" s="798"/>
      <c r="I20" s="798"/>
    </row>
    <row r="21" spans="1:13" s="805" customFormat="1" ht="19.5" customHeight="1">
      <c r="A21" s="3807"/>
      <c r="B21" s="3800"/>
      <c r="C21" s="802" t="s">
        <v>2958</v>
      </c>
      <c r="D21" s="803"/>
      <c r="E21" s="3212">
        <v>1</v>
      </c>
      <c r="F21" s="3211" t="s">
        <v>2959</v>
      </c>
      <c r="G21" s="804"/>
      <c r="H21" s="798"/>
      <c r="I21" s="798"/>
    </row>
    <row r="22" spans="1:13" s="805" customFormat="1" ht="19.5" customHeight="1">
      <c r="A22" s="3807"/>
      <c r="B22" s="3800"/>
      <c r="C22" s="802" t="s">
        <v>2960</v>
      </c>
      <c r="D22" s="803"/>
      <c r="E22" s="3212">
        <v>0.9</v>
      </c>
      <c r="F22" s="3211" t="s">
        <v>2961</v>
      </c>
      <c r="G22" s="804"/>
      <c r="H22" s="798"/>
      <c r="I22" s="798"/>
    </row>
    <row r="23" spans="1:13" s="805" customFormat="1" ht="19.5" customHeight="1">
      <c r="A23" s="3807"/>
      <c r="B23" s="3800"/>
      <c r="C23" s="802" t="s">
        <v>2962</v>
      </c>
      <c r="D23" s="803"/>
      <c r="E23" s="3212">
        <v>0.9</v>
      </c>
      <c r="F23" s="3211" t="s">
        <v>2963</v>
      </c>
      <c r="G23" s="804"/>
      <c r="H23" s="798"/>
      <c r="I23" s="798"/>
    </row>
    <row r="24" spans="1:13" s="805" customFormat="1" ht="19.5" customHeight="1">
      <c r="A24" s="3807"/>
      <c r="B24" s="3800"/>
      <c r="C24" s="802" t="s">
        <v>2964</v>
      </c>
      <c r="D24" s="803"/>
      <c r="E24" s="3212">
        <v>0.8</v>
      </c>
      <c r="F24" s="3211" t="s">
        <v>2965</v>
      </c>
      <c r="G24" s="804"/>
      <c r="H24" s="798"/>
      <c r="I24" s="798"/>
    </row>
    <row r="25" spans="1:13" s="805" customFormat="1" ht="19.5" customHeight="1" thickBot="1">
      <c r="A25" s="3808"/>
      <c r="B25" s="3801"/>
      <c r="C25" s="3213" t="s">
        <v>2966</v>
      </c>
      <c r="D25" s="3214"/>
      <c r="E25" s="3215">
        <v>0.8</v>
      </c>
      <c r="F25" s="3211" t="s">
        <v>2967</v>
      </c>
      <c r="G25" s="804"/>
      <c r="H25" s="798"/>
      <c r="I25" s="798"/>
    </row>
    <row r="26" spans="1:13" s="805" customFormat="1" ht="19.5" customHeight="1" thickBot="1">
      <c r="A26" s="3216" t="s">
        <v>2968</v>
      </c>
      <c r="B26" s="3217" t="s">
        <v>2955</v>
      </c>
      <c r="C26" s="3218" t="s">
        <v>2969</v>
      </c>
      <c r="D26" s="3219"/>
      <c r="E26" s="3220">
        <v>1</v>
      </c>
      <c r="F26" s="3211" t="s">
        <v>2970</v>
      </c>
      <c r="G26" s="804"/>
      <c r="H26" s="798"/>
      <c r="I26" s="798"/>
    </row>
    <row r="27" spans="1:13" s="805" customFormat="1" ht="19.5" customHeight="1">
      <c r="A27" s="3802" t="s">
        <v>2971</v>
      </c>
      <c r="B27" s="3799" t="s">
        <v>2971</v>
      </c>
      <c r="C27" s="3208" t="s">
        <v>2972</v>
      </c>
      <c r="D27" s="3209"/>
      <c r="E27" s="3210">
        <v>1</v>
      </c>
      <c r="F27" s="3211" t="s">
        <v>2973</v>
      </c>
      <c r="G27" s="804"/>
      <c r="H27" s="798"/>
      <c r="I27" s="798"/>
    </row>
    <row r="28" spans="1:13" s="805" customFormat="1" ht="19.5" customHeight="1">
      <c r="A28" s="3803"/>
      <c r="B28" s="3800"/>
      <c r="C28" s="802" t="s">
        <v>2974</v>
      </c>
      <c r="D28" s="803"/>
      <c r="E28" s="3212">
        <v>1</v>
      </c>
      <c r="F28" s="3211" t="s">
        <v>2975</v>
      </c>
      <c r="G28" s="804"/>
      <c r="H28" s="798"/>
      <c r="I28" s="798"/>
    </row>
    <row r="29" spans="1:13" s="805" customFormat="1" ht="19.5" customHeight="1">
      <c r="A29" s="3803"/>
      <c r="B29" s="3800"/>
      <c r="C29" s="802" t="s">
        <v>2976</v>
      </c>
      <c r="D29" s="803"/>
      <c r="E29" s="3212">
        <v>0.8</v>
      </c>
      <c r="F29" s="3211" t="s">
        <v>2977</v>
      </c>
      <c r="G29" s="804"/>
      <c r="H29" s="798"/>
      <c r="I29" s="798"/>
    </row>
    <row r="30" spans="1:13" s="805" customFormat="1" ht="19.5" customHeight="1">
      <c r="A30" s="3803"/>
      <c r="B30" s="3800"/>
      <c r="C30" s="802" t="s">
        <v>2978</v>
      </c>
      <c r="D30" s="803"/>
      <c r="E30" s="3212">
        <v>0.8</v>
      </c>
      <c r="F30" s="3211" t="s">
        <v>2979</v>
      </c>
      <c r="G30" s="804"/>
      <c r="H30" s="798"/>
      <c r="I30" s="798"/>
    </row>
    <row r="31" spans="1:13" s="805" customFormat="1" ht="19.5" customHeight="1">
      <c r="A31" s="3803"/>
      <c r="B31" s="3800"/>
      <c r="C31" s="802" t="s">
        <v>2980</v>
      </c>
      <c r="D31" s="803"/>
      <c r="E31" s="3212">
        <v>0.8</v>
      </c>
      <c r="F31" s="3211" t="s">
        <v>2981</v>
      </c>
      <c r="G31" s="804"/>
      <c r="H31" s="798"/>
      <c r="I31" s="798"/>
    </row>
    <row r="32" spans="1:13" s="805" customFormat="1" ht="19.5" customHeight="1">
      <c r="A32" s="3803"/>
      <c r="B32" s="3800"/>
      <c r="C32" s="802" t="s">
        <v>2982</v>
      </c>
      <c r="D32" s="803"/>
      <c r="E32" s="3212">
        <v>0.7</v>
      </c>
      <c r="F32" s="3211" t="s">
        <v>2983</v>
      </c>
      <c r="G32" s="804"/>
      <c r="H32" s="798"/>
      <c r="I32" s="798"/>
    </row>
    <row r="33" spans="1:9" s="805" customFormat="1" ht="19.5" customHeight="1">
      <c r="A33" s="3803"/>
      <c r="B33" s="3800"/>
      <c r="C33" s="802" t="s">
        <v>2984</v>
      </c>
      <c r="D33" s="803"/>
      <c r="E33" s="3212">
        <v>0.8</v>
      </c>
      <c r="F33" s="3211" t="s">
        <v>2985</v>
      </c>
      <c r="G33" s="804"/>
      <c r="H33" s="798"/>
      <c r="I33" s="798"/>
    </row>
    <row r="34" spans="1:9" s="805" customFormat="1" ht="19.5" customHeight="1">
      <c r="A34" s="3803"/>
      <c r="B34" s="3800"/>
      <c r="C34" s="802" t="s">
        <v>2986</v>
      </c>
      <c r="D34" s="803"/>
      <c r="E34" s="3212">
        <v>0.6</v>
      </c>
      <c r="F34" s="3211" t="s">
        <v>2987</v>
      </c>
      <c r="G34" s="804"/>
      <c r="H34" s="798"/>
      <c r="I34" s="798"/>
    </row>
    <row r="35" spans="1:9" s="805" customFormat="1" ht="19.5" customHeight="1">
      <c r="A35" s="3803"/>
      <c r="B35" s="3800"/>
      <c r="C35" s="802" t="s">
        <v>2988</v>
      </c>
      <c r="D35" s="803"/>
      <c r="E35" s="3212">
        <v>0.2</v>
      </c>
      <c r="F35" s="3211" t="s">
        <v>2989</v>
      </c>
      <c r="G35" s="804"/>
      <c r="H35" s="798"/>
      <c r="I35" s="798"/>
    </row>
    <row r="36" spans="1:9" s="805" customFormat="1" ht="19.5" customHeight="1">
      <c r="A36" s="3803"/>
      <c r="B36" s="3800"/>
      <c r="C36" s="802" t="s">
        <v>2990</v>
      </c>
      <c r="D36" s="803"/>
      <c r="E36" s="3212">
        <v>0.2</v>
      </c>
      <c r="F36" s="3211" t="s">
        <v>2991</v>
      </c>
      <c r="G36" s="804"/>
      <c r="H36" s="798"/>
      <c r="I36" s="798"/>
    </row>
    <row r="37" spans="1:9" s="805" customFormat="1" ht="19.5" customHeight="1">
      <c r="A37" s="3803"/>
      <c r="B37" s="3805" t="s">
        <v>2992</v>
      </c>
      <c r="C37" s="802" t="s">
        <v>2993</v>
      </c>
      <c r="D37" s="803"/>
      <c r="E37" s="3212">
        <v>0.6</v>
      </c>
      <c r="F37" s="3211" t="s">
        <v>2994</v>
      </c>
      <c r="G37" s="804"/>
      <c r="H37" s="798"/>
      <c r="I37" s="798"/>
    </row>
    <row r="38" spans="1:9" s="805" customFormat="1" ht="19.5" customHeight="1">
      <c r="A38" s="3803"/>
      <c r="B38" s="3800"/>
      <c r="C38" s="802" t="s">
        <v>2995</v>
      </c>
      <c r="D38" s="803"/>
      <c r="E38" s="3212">
        <v>0.6</v>
      </c>
      <c r="F38" s="3211" t="s">
        <v>2996</v>
      </c>
      <c r="G38" s="804"/>
      <c r="H38" s="798"/>
      <c r="I38" s="798"/>
    </row>
    <row r="39" spans="1:9" s="805" customFormat="1" ht="19.5" customHeight="1" thickBot="1">
      <c r="A39" s="3804"/>
      <c r="B39" s="3801"/>
      <c r="C39" s="3213" t="s">
        <v>2997</v>
      </c>
      <c r="D39" s="3214"/>
      <c r="E39" s="3215">
        <v>0.6</v>
      </c>
      <c r="F39" s="3211" t="s">
        <v>2998</v>
      </c>
      <c r="G39" s="804"/>
      <c r="H39" s="798"/>
      <c r="I39" s="798"/>
    </row>
    <row r="40" spans="1:9" s="805" customFormat="1" ht="19.5" customHeight="1" thickBot="1">
      <c r="A40" s="3216" t="s">
        <v>2999</v>
      </c>
      <c r="B40" s="3217" t="s">
        <v>2999</v>
      </c>
      <c r="C40" s="3218" t="s">
        <v>3000</v>
      </c>
      <c r="D40" s="3219"/>
      <c r="E40" s="3220">
        <v>1</v>
      </c>
      <c r="F40" s="3211" t="s">
        <v>3001</v>
      </c>
      <c r="G40" s="804"/>
      <c r="H40" s="798"/>
      <c r="I40" s="798"/>
    </row>
    <row r="41" spans="1:9" s="805" customFormat="1" ht="19.5" customHeight="1">
      <c r="A41" s="3806" t="s">
        <v>3002</v>
      </c>
      <c r="B41" s="3799" t="s">
        <v>3003</v>
      </c>
      <c r="C41" s="3208" t="s">
        <v>3004</v>
      </c>
      <c r="D41" s="3209"/>
      <c r="E41" s="3210">
        <v>1</v>
      </c>
      <c r="F41" s="3211" t="s">
        <v>3005</v>
      </c>
      <c r="G41" s="804"/>
      <c r="H41" s="798"/>
      <c r="I41" s="798"/>
    </row>
    <row r="42" spans="1:9" s="805" customFormat="1" ht="19.5" customHeight="1">
      <c r="A42" s="3807"/>
      <c r="B42" s="3800"/>
      <c r="C42" s="802" t="s">
        <v>3006</v>
      </c>
      <c r="D42" s="803"/>
      <c r="E42" s="3212">
        <v>1</v>
      </c>
      <c r="F42" s="3211" t="s">
        <v>3007</v>
      </c>
      <c r="G42" s="804"/>
      <c r="H42" s="798"/>
      <c r="I42" s="798"/>
    </row>
    <row r="43" spans="1:9" s="805" customFormat="1" ht="19.5" customHeight="1">
      <c r="A43" s="3807"/>
      <c r="B43" s="3809"/>
      <c r="C43" s="802" t="s">
        <v>3008</v>
      </c>
      <c r="D43" s="803"/>
      <c r="E43" s="3212">
        <v>1.5</v>
      </c>
      <c r="F43" s="3211" t="s">
        <v>3009</v>
      </c>
      <c r="G43" s="804"/>
      <c r="H43" s="798"/>
      <c r="I43" s="798"/>
    </row>
    <row r="44" spans="1:9" s="805" customFormat="1" ht="19.5" customHeight="1">
      <c r="A44" s="3807"/>
      <c r="B44" s="3221" t="s">
        <v>2971</v>
      </c>
      <c r="C44" s="802" t="s">
        <v>3010</v>
      </c>
      <c r="D44" s="803"/>
      <c r="E44" s="3212">
        <v>2</v>
      </c>
      <c r="F44" s="3211" t="s">
        <v>3011</v>
      </c>
      <c r="G44" s="804"/>
      <c r="H44" s="798"/>
      <c r="I44" s="798"/>
    </row>
    <row r="45" spans="1:9" s="805" customFormat="1" ht="19.5" customHeight="1">
      <c r="A45" s="3807"/>
      <c r="B45" s="3805" t="s">
        <v>3012</v>
      </c>
      <c r="C45" s="802" t="s">
        <v>3013</v>
      </c>
      <c r="D45" s="803"/>
      <c r="E45" s="3212">
        <v>1</v>
      </c>
      <c r="F45" s="3211" t="s">
        <v>3014</v>
      </c>
      <c r="G45" s="804"/>
      <c r="H45" s="798"/>
      <c r="I45" s="798"/>
    </row>
    <row r="46" spans="1:9" s="805" customFormat="1" ht="19.5" customHeight="1">
      <c r="A46" s="3807"/>
      <c r="B46" s="3800"/>
      <c r="C46" s="802" t="s">
        <v>3015</v>
      </c>
      <c r="D46" s="803"/>
      <c r="E46" s="3212">
        <v>1</v>
      </c>
      <c r="F46" s="3211" t="s">
        <v>3016</v>
      </c>
      <c r="G46" s="804"/>
      <c r="H46" s="798"/>
      <c r="I46" s="798"/>
    </row>
    <row r="47" spans="1:9" s="805" customFormat="1" ht="19.5" customHeight="1">
      <c r="A47" s="3807"/>
      <c r="B47" s="3800"/>
      <c r="C47" s="802" t="s">
        <v>3017</v>
      </c>
      <c r="D47" s="803"/>
      <c r="E47" s="3212">
        <v>1</v>
      </c>
      <c r="F47" s="3211" t="s">
        <v>3018</v>
      </c>
      <c r="G47" s="804"/>
      <c r="H47" s="798"/>
      <c r="I47" s="798"/>
    </row>
    <row r="48" spans="1:9" s="805" customFormat="1" ht="19.5" customHeight="1">
      <c r="A48" s="3807"/>
      <c r="B48" s="3800"/>
      <c r="C48" s="802" t="s">
        <v>3019</v>
      </c>
      <c r="D48" s="803"/>
      <c r="E48" s="3212">
        <v>1</v>
      </c>
      <c r="F48" s="3211" t="s">
        <v>3020</v>
      </c>
      <c r="G48" s="804"/>
      <c r="H48" s="798"/>
      <c r="I48" s="798"/>
    </row>
    <row r="49" spans="1:9" s="805" customFormat="1" ht="19.5" customHeight="1">
      <c r="A49" s="3807"/>
      <c r="B49" s="3800"/>
      <c r="C49" s="802" t="s">
        <v>3021</v>
      </c>
      <c r="D49" s="803"/>
      <c r="E49" s="3212">
        <v>1</v>
      </c>
      <c r="F49" s="3211" t="s">
        <v>3022</v>
      </c>
      <c r="G49" s="804"/>
      <c r="H49" s="798"/>
      <c r="I49" s="798"/>
    </row>
    <row r="50" spans="1:9" s="805" customFormat="1" ht="19.5" customHeight="1">
      <c r="A50" s="3807"/>
      <c r="B50" s="3800"/>
      <c r="C50" s="802" t="s">
        <v>3023</v>
      </c>
      <c r="D50" s="803"/>
      <c r="E50" s="3212">
        <v>1</v>
      </c>
      <c r="F50" s="3211" t="s">
        <v>3024</v>
      </c>
      <c r="G50" s="804"/>
      <c r="H50" s="798"/>
      <c r="I50" s="798"/>
    </row>
    <row r="51" spans="1:9" s="805" customFormat="1" ht="19.5" customHeight="1" thickBot="1">
      <c r="A51" s="3808"/>
      <c r="B51" s="3801"/>
      <c r="C51" s="3213" t="s">
        <v>3025</v>
      </c>
      <c r="D51" s="3214"/>
      <c r="E51" s="3215">
        <v>1</v>
      </c>
      <c r="F51" s="3211" t="s">
        <v>3026</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3027</v>
      </c>
      <c r="D72" s="856"/>
      <c r="E72" s="813" t="s">
        <v>1</v>
      </c>
      <c r="F72" s="856" t="s">
        <v>1</v>
      </c>
    </row>
    <row r="73" spans="1:7" s="798" customFormat="1" ht="13.5">
      <c r="A73" s="3221">
        <v>1</v>
      </c>
      <c r="B73" s="3805" t="s">
        <v>3028</v>
      </c>
      <c r="C73" s="3201" t="s">
        <v>3029</v>
      </c>
      <c r="D73" s="3201" t="s">
        <v>3030</v>
      </c>
      <c r="E73" s="3222">
        <v>0.2</v>
      </c>
      <c r="F73" s="3221">
        <v>25</v>
      </c>
    </row>
    <row r="74" spans="1:7" s="798" customFormat="1" ht="24">
      <c r="A74" s="3221">
        <v>2</v>
      </c>
      <c r="B74" s="3800"/>
      <c r="C74" s="3201" t="s">
        <v>3031</v>
      </c>
      <c r="D74" s="3201" t="s">
        <v>3032</v>
      </c>
      <c r="E74" s="3222">
        <v>0.2</v>
      </c>
      <c r="F74" s="3221">
        <v>25</v>
      </c>
    </row>
    <row r="75" spans="1:7" s="798" customFormat="1" ht="24">
      <c r="A75" s="3221">
        <v>3</v>
      </c>
      <c r="B75" s="3800"/>
      <c r="C75" s="3201" t="s">
        <v>3033</v>
      </c>
      <c r="D75" s="3201" t="s">
        <v>3034</v>
      </c>
      <c r="E75" s="3222">
        <v>0.2</v>
      </c>
      <c r="F75" s="3221">
        <v>25</v>
      </c>
    </row>
    <row r="76" spans="1:7" s="798" customFormat="1" ht="13.5">
      <c r="A76" s="3221">
        <v>4</v>
      </c>
      <c r="B76" s="3800"/>
      <c r="C76" s="3201" t="s">
        <v>3035</v>
      </c>
      <c r="D76" s="3201" t="s">
        <v>3036</v>
      </c>
      <c r="E76" s="3222">
        <v>0.15</v>
      </c>
      <c r="F76" s="3221">
        <v>20</v>
      </c>
    </row>
    <row r="77" spans="1:7" s="798" customFormat="1" ht="24">
      <c r="A77" s="3221">
        <v>5</v>
      </c>
      <c r="B77" s="3800"/>
      <c r="C77" s="3201" t="s">
        <v>3037</v>
      </c>
      <c r="D77" s="3201" t="s">
        <v>3038</v>
      </c>
      <c r="E77" s="3222">
        <v>0.15</v>
      </c>
      <c r="F77" s="3221">
        <v>20</v>
      </c>
    </row>
    <row r="78" spans="1:7" s="798" customFormat="1" ht="24">
      <c r="A78" s="3221">
        <v>6</v>
      </c>
      <c r="B78" s="3800"/>
      <c r="C78" s="3201" t="s">
        <v>3039</v>
      </c>
      <c r="D78" s="3201" t="s">
        <v>3040</v>
      </c>
      <c r="E78" s="3222">
        <v>0.15</v>
      </c>
      <c r="F78" s="3221">
        <v>20</v>
      </c>
    </row>
    <row r="79" spans="1:7" s="798" customFormat="1" ht="24">
      <c r="A79" s="3221">
        <v>7</v>
      </c>
      <c r="B79" s="3800"/>
      <c r="C79" s="3201" t="s">
        <v>3041</v>
      </c>
      <c r="D79" s="3201" t="s">
        <v>3042</v>
      </c>
      <c r="E79" s="3222">
        <v>0.15</v>
      </c>
      <c r="F79" s="3221">
        <v>20</v>
      </c>
    </row>
    <row r="80" spans="1:7" s="798" customFormat="1" ht="24">
      <c r="A80" s="3221">
        <v>8</v>
      </c>
      <c r="B80" s="3800"/>
      <c r="C80" s="3201" t="s">
        <v>3043</v>
      </c>
      <c r="D80" s="3201" t="s">
        <v>3044</v>
      </c>
      <c r="E80" s="3222">
        <v>0.1</v>
      </c>
      <c r="F80" s="3221">
        <v>15</v>
      </c>
    </row>
    <row r="81" spans="1:6" s="798" customFormat="1" ht="24">
      <c r="A81" s="3221">
        <v>9</v>
      </c>
      <c r="B81" s="3800"/>
      <c r="C81" s="3201" t="s">
        <v>3045</v>
      </c>
      <c r="D81" s="3201" t="s">
        <v>3046</v>
      </c>
      <c r="E81" s="3222">
        <v>0.1</v>
      </c>
      <c r="F81" s="3221">
        <v>15</v>
      </c>
    </row>
    <row r="82" spans="1:6" s="798" customFormat="1" ht="24">
      <c r="A82" s="3221">
        <v>10</v>
      </c>
      <c r="B82" s="3800"/>
      <c r="C82" s="3201" t="s">
        <v>3047</v>
      </c>
      <c r="D82" s="3201" t="s">
        <v>3048</v>
      </c>
      <c r="E82" s="3222">
        <v>0.1</v>
      </c>
      <c r="F82" s="3221">
        <v>15</v>
      </c>
    </row>
    <row r="83" spans="1:6" s="798" customFormat="1" ht="24">
      <c r="A83" s="3221">
        <v>11</v>
      </c>
      <c r="B83" s="3800"/>
      <c r="C83" s="3201" t="s">
        <v>3049</v>
      </c>
      <c r="D83" s="3201" t="s">
        <v>3050</v>
      </c>
      <c r="E83" s="3222">
        <v>0.1</v>
      </c>
      <c r="F83" s="3221">
        <v>15</v>
      </c>
    </row>
    <row r="84" spans="1:6" s="798" customFormat="1" ht="24">
      <c r="A84" s="3221">
        <v>12</v>
      </c>
      <c r="B84" s="3800"/>
      <c r="C84" s="3201" t="s">
        <v>3051</v>
      </c>
      <c r="D84" s="3201" t="s">
        <v>3052</v>
      </c>
      <c r="E84" s="3222">
        <v>0.1</v>
      </c>
      <c r="F84" s="3221">
        <v>15</v>
      </c>
    </row>
    <row r="85" spans="1:6" s="798" customFormat="1" ht="13.5">
      <c r="A85" s="3221">
        <v>13</v>
      </c>
      <c r="B85" s="3800"/>
      <c r="C85" s="3201" t="s">
        <v>3053</v>
      </c>
      <c r="D85" s="3201" t="s">
        <v>3054</v>
      </c>
      <c r="E85" s="3222">
        <v>0.1</v>
      </c>
      <c r="F85" s="3221">
        <v>15</v>
      </c>
    </row>
    <row r="86" spans="1:6" s="798" customFormat="1" ht="13.5">
      <c r="A86" s="3221">
        <v>14</v>
      </c>
      <c r="B86" s="3800"/>
      <c r="C86" s="3201" t="s">
        <v>3055</v>
      </c>
      <c r="D86" s="3201" t="s">
        <v>3056</v>
      </c>
      <c r="E86" s="3222">
        <v>0.1</v>
      </c>
      <c r="F86" s="3221">
        <v>15</v>
      </c>
    </row>
    <row r="87" spans="1:6" s="798" customFormat="1" ht="13.5">
      <c r="A87" s="3221">
        <v>15</v>
      </c>
      <c r="B87" s="3800"/>
      <c r="C87" s="3201" t="s">
        <v>3057</v>
      </c>
      <c r="D87" s="3201" t="s">
        <v>3058</v>
      </c>
      <c r="E87" s="3222">
        <v>0.1</v>
      </c>
      <c r="F87" s="3221">
        <v>15</v>
      </c>
    </row>
    <row r="88" spans="1:6" s="798" customFormat="1" ht="24">
      <c r="A88" s="3221">
        <v>16</v>
      </c>
      <c r="B88" s="3800"/>
      <c r="C88" s="3201" t="s">
        <v>3059</v>
      </c>
      <c r="D88" s="3201" t="s">
        <v>3060</v>
      </c>
      <c r="E88" s="3222">
        <v>0.1</v>
      </c>
      <c r="F88" s="3221">
        <v>15</v>
      </c>
    </row>
    <row r="89" spans="1:6" s="798" customFormat="1" ht="24">
      <c r="A89" s="3221">
        <v>17</v>
      </c>
      <c r="B89" s="3809"/>
      <c r="C89" s="3201" t="s">
        <v>3061</v>
      </c>
      <c r="D89" s="3201" t="s">
        <v>3062</v>
      </c>
      <c r="E89" s="3222">
        <v>0.1</v>
      </c>
      <c r="F89" s="3221">
        <v>15</v>
      </c>
    </row>
    <row r="90" spans="1:6" s="798" customFormat="1" ht="13.5">
      <c r="A90" s="3221">
        <v>18</v>
      </c>
      <c r="B90" s="3805" t="s">
        <v>3063</v>
      </c>
      <c r="C90" s="3201" t="s">
        <v>3064</v>
      </c>
      <c r="D90" s="3201" t="s">
        <v>3065</v>
      </c>
      <c r="E90" s="3222">
        <v>0.2</v>
      </c>
      <c r="F90" s="3221">
        <v>25</v>
      </c>
    </row>
    <row r="91" spans="1:6" s="798" customFormat="1" ht="24">
      <c r="A91" s="3221">
        <v>19</v>
      </c>
      <c r="B91" s="3800"/>
      <c r="C91" s="3201" t="s">
        <v>3066</v>
      </c>
      <c r="D91" s="3201" t="s">
        <v>3067</v>
      </c>
      <c r="E91" s="3222">
        <v>0.2</v>
      </c>
      <c r="F91" s="3221">
        <v>25</v>
      </c>
    </row>
    <row r="92" spans="1:6" s="798" customFormat="1" ht="13.5">
      <c r="A92" s="3221">
        <v>20</v>
      </c>
      <c r="B92" s="3800"/>
      <c r="C92" s="3201" t="s">
        <v>3068</v>
      </c>
      <c r="D92" s="3201" t="s">
        <v>3069</v>
      </c>
      <c r="E92" s="3222">
        <v>0.15</v>
      </c>
      <c r="F92" s="3221">
        <v>20</v>
      </c>
    </row>
    <row r="93" spans="1:6" s="798" customFormat="1" ht="24">
      <c r="A93" s="3221">
        <v>21</v>
      </c>
      <c r="B93" s="3800"/>
      <c r="C93" s="3201" t="s">
        <v>3070</v>
      </c>
      <c r="D93" s="3201" t="s">
        <v>3071</v>
      </c>
      <c r="E93" s="3222">
        <v>0.15</v>
      </c>
      <c r="F93" s="3221">
        <v>20</v>
      </c>
    </row>
    <row r="94" spans="1:6" s="798" customFormat="1" ht="24">
      <c r="A94" s="3221">
        <v>22</v>
      </c>
      <c r="B94" s="3800"/>
      <c r="C94" s="3201" t="s">
        <v>3072</v>
      </c>
      <c r="D94" s="3201" t="s">
        <v>3073</v>
      </c>
      <c r="E94" s="3222">
        <v>0.15</v>
      </c>
      <c r="F94" s="3221">
        <v>20</v>
      </c>
    </row>
    <row r="95" spans="1:6" s="798" customFormat="1" ht="36">
      <c r="A95" s="3221">
        <v>23</v>
      </c>
      <c r="B95" s="3800"/>
      <c r="C95" s="3201" t="s">
        <v>3074</v>
      </c>
      <c r="D95" s="3201" t="s">
        <v>3075</v>
      </c>
      <c r="E95" s="3222">
        <v>0.15</v>
      </c>
      <c r="F95" s="3221">
        <v>20</v>
      </c>
    </row>
    <row r="96" spans="1:6" s="798" customFormat="1" ht="13.5">
      <c r="A96" s="3221">
        <v>24</v>
      </c>
      <c r="B96" s="3800"/>
      <c r="C96" s="3201" t="s">
        <v>3076</v>
      </c>
      <c r="D96" s="3201" t="s">
        <v>3077</v>
      </c>
      <c r="E96" s="3222">
        <v>0.1</v>
      </c>
      <c r="F96" s="3221">
        <v>15</v>
      </c>
    </row>
    <row r="97" spans="1:6" s="798" customFormat="1" ht="24">
      <c r="A97" s="3221">
        <v>25</v>
      </c>
      <c r="B97" s="3800"/>
      <c r="C97" s="3201" t="s">
        <v>3078</v>
      </c>
      <c r="D97" s="3201" t="s">
        <v>3079</v>
      </c>
      <c r="E97" s="3222">
        <v>0.1</v>
      </c>
      <c r="F97" s="3221">
        <v>15</v>
      </c>
    </row>
    <row r="98" spans="1:6" s="798" customFormat="1" ht="24">
      <c r="A98" s="3221">
        <v>26</v>
      </c>
      <c r="B98" s="3800"/>
      <c r="C98" s="3201" t="s">
        <v>3080</v>
      </c>
      <c r="D98" s="3201" t="s">
        <v>3081</v>
      </c>
      <c r="E98" s="3222">
        <v>0.1</v>
      </c>
      <c r="F98" s="3221">
        <v>15</v>
      </c>
    </row>
    <row r="99" spans="1:6" s="798" customFormat="1" ht="24">
      <c r="A99" s="3221">
        <v>27</v>
      </c>
      <c r="B99" s="3800"/>
      <c r="C99" s="3201" t="s">
        <v>3082</v>
      </c>
      <c r="D99" s="3201" t="s">
        <v>3083</v>
      </c>
      <c r="E99" s="3222">
        <v>0.1</v>
      </c>
      <c r="F99" s="3221">
        <v>15</v>
      </c>
    </row>
    <row r="100" spans="1:6" s="798" customFormat="1" ht="24">
      <c r="A100" s="3221">
        <v>28</v>
      </c>
      <c r="B100" s="3800"/>
      <c r="C100" s="3201" t="s">
        <v>3084</v>
      </c>
      <c r="D100" s="3201" t="s">
        <v>3085</v>
      </c>
      <c r="E100" s="3222">
        <v>0.1</v>
      </c>
      <c r="F100" s="3221">
        <v>15</v>
      </c>
    </row>
    <row r="101" spans="1:6" s="798" customFormat="1" ht="24">
      <c r="A101" s="3221">
        <v>29</v>
      </c>
      <c r="B101" s="3800"/>
      <c r="C101" s="3201" t="s">
        <v>3086</v>
      </c>
      <c r="D101" s="3201" t="s">
        <v>3087</v>
      </c>
      <c r="E101" s="3222">
        <v>0.1</v>
      </c>
      <c r="F101" s="3221">
        <v>15</v>
      </c>
    </row>
    <row r="102" spans="1:6" s="798" customFormat="1" ht="24">
      <c r="A102" s="3221">
        <v>30</v>
      </c>
      <c r="B102" s="3800"/>
      <c r="C102" s="3201" t="s">
        <v>3088</v>
      </c>
      <c r="D102" s="3201" t="s">
        <v>3089</v>
      </c>
      <c r="E102" s="3222">
        <v>0.1</v>
      </c>
      <c r="F102" s="3221">
        <v>15</v>
      </c>
    </row>
    <row r="103" spans="1:6" s="798" customFormat="1" ht="24">
      <c r="A103" s="3221">
        <v>31</v>
      </c>
      <c r="B103" s="3800"/>
      <c r="C103" s="3201" t="s">
        <v>3090</v>
      </c>
      <c r="D103" s="3201" t="s">
        <v>3091</v>
      </c>
      <c r="E103" s="3222">
        <v>0.1</v>
      </c>
      <c r="F103" s="3221">
        <v>15</v>
      </c>
    </row>
    <row r="104" spans="1:6" s="798" customFormat="1" ht="24">
      <c r="A104" s="3221">
        <v>32</v>
      </c>
      <c r="B104" s="3800"/>
      <c r="C104" s="3201" t="s">
        <v>3092</v>
      </c>
      <c r="D104" s="3201" t="s">
        <v>3093</v>
      </c>
      <c r="E104" s="3222">
        <v>0.1</v>
      </c>
      <c r="F104" s="3221">
        <v>15</v>
      </c>
    </row>
    <row r="105" spans="1:6" s="798" customFormat="1" ht="24">
      <c r="A105" s="3221">
        <v>33</v>
      </c>
      <c r="B105" s="3800"/>
      <c r="C105" s="3201" t="s">
        <v>3094</v>
      </c>
      <c r="D105" s="3201" t="s">
        <v>3095</v>
      </c>
      <c r="E105" s="3222">
        <v>0.1</v>
      </c>
      <c r="F105" s="3221">
        <v>15</v>
      </c>
    </row>
    <row r="106" spans="1:6" s="798" customFormat="1" ht="24">
      <c r="A106" s="3221">
        <v>34</v>
      </c>
      <c r="B106" s="3809"/>
      <c r="C106" s="3201" t="s">
        <v>3096</v>
      </c>
      <c r="D106" s="3201" t="s">
        <v>3097</v>
      </c>
      <c r="E106" s="3222">
        <v>0.1</v>
      </c>
      <c r="F106" s="3221">
        <v>15</v>
      </c>
    </row>
    <row r="107" spans="1:6" s="798" customFormat="1" ht="24">
      <c r="A107" s="3221">
        <v>35</v>
      </c>
      <c r="B107" s="3805" t="s">
        <v>3098</v>
      </c>
      <c r="C107" s="3221" t="s">
        <v>3099</v>
      </c>
      <c r="D107" s="3201" t="s">
        <v>3100</v>
      </c>
      <c r="E107" s="3222">
        <v>0.15</v>
      </c>
      <c r="F107" s="3221">
        <v>20</v>
      </c>
    </row>
    <row r="108" spans="1:6" s="798" customFormat="1" ht="24">
      <c r="A108" s="3221">
        <v>36</v>
      </c>
      <c r="B108" s="3800"/>
      <c r="C108" s="3221" t="s">
        <v>3101</v>
      </c>
      <c r="D108" s="3201" t="s">
        <v>3102</v>
      </c>
      <c r="E108" s="3222">
        <v>0.15</v>
      </c>
      <c r="F108" s="3221">
        <v>20</v>
      </c>
    </row>
    <row r="109" spans="1:6" s="798" customFormat="1" ht="24">
      <c r="A109" s="3221">
        <v>37</v>
      </c>
      <c r="B109" s="3800"/>
      <c r="C109" s="3221" t="s">
        <v>3103</v>
      </c>
      <c r="D109" s="3201" t="s">
        <v>3104</v>
      </c>
      <c r="E109" s="3222">
        <v>0.15</v>
      </c>
      <c r="F109" s="3221">
        <v>20</v>
      </c>
    </row>
    <row r="110" spans="1:6" s="798" customFormat="1" ht="13.5">
      <c r="A110" s="3221">
        <v>38</v>
      </c>
      <c r="B110" s="3800"/>
      <c r="C110" s="3221" t="s">
        <v>3105</v>
      </c>
      <c r="D110" s="3201" t="s">
        <v>3106</v>
      </c>
      <c r="E110" s="3222">
        <v>0.1</v>
      </c>
      <c r="F110" s="3221">
        <v>15</v>
      </c>
    </row>
    <row r="111" spans="1:6" s="798" customFormat="1" ht="24">
      <c r="A111" s="3221">
        <v>39</v>
      </c>
      <c r="B111" s="3800"/>
      <c r="C111" s="3221" t="s">
        <v>3107</v>
      </c>
      <c r="D111" s="3201" t="s">
        <v>3108</v>
      </c>
      <c r="E111" s="3222">
        <v>0.1</v>
      </c>
      <c r="F111" s="3221">
        <v>15</v>
      </c>
    </row>
    <row r="112" spans="1:6" s="798" customFormat="1" ht="24">
      <c r="A112" s="3221">
        <v>40</v>
      </c>
      <c r="B112" s="3809"/>
      <c r="C112" s="3221" t="s">
        <v>3109</v>
      </c>
      <c r="D112" s="3201" t="s">
        <v>3110</v>
      </c>
      <c r="E112" s="3222">
        <v>0.1</v>
      </c>
      <c r="F112" s="3221">
        <v>15</v>
      </c>
    </row>
    <row r="113" spans="1:6" s="798" customFormat="1" ht="24">
      <c r="A113" s="3221">
        <v>41</v>
      </c>
      <c r="B113" s="3810" t="s">
        <v>3111</v>
      </c>
      <c r="C113" s="3221" t="s">
        <v>3112</v>
      </c>
      <c r="D113" s="3201" t="s">
        <v>3113</v>
      </c>
      <c r="E113" s="3222">
        <v>0.1</v>
      </c>
      <c r="F113" s="3221">
        <v>15</v>
      </c>
    </row>
    <row r="114" spans="1:6" s="798" customFormat="1" ht="13.5">
      <c r="A114" s="3221">
        <v>42</v>
      </c>
      <c r="B114" s="3810"/>
      <c r="C114" s="3221" t="s">
        <v>3114</v>
      </c>
      <c r="D114" s="3201" t="s">
        <v>3115</v>
      </c>
      <c r="E114" s="3222">
        <v>0.1</v>
      </c>
      <c r="F114" s="3221">
        <v>15</v>
      </c>
    </row>
    <row r="115" spans="1:6" s="798" customFormat="1" ht="24">
      <c r="A115" s="3221">
        <v>43</v>
      </c>
      <c r="B115" s="3810"/>
      <c r="C115" s="3221" t="s">
        <v>3116</v>
      </c>
      <c r="D115" s="3201" t="s">
        <v>3117</v>
      </c>
      <c r="E115" s="3222">
        <v>0.1</v>
      </c>
      <c r="F115" s="3221">
        <v>15</v>
      </c>
    </row>
    <row r="116" spans="1:6" s="798" customFormat="1" ht="24">
      <c r="A116" s="3221">
        <v>44</v>
      </c>
      <c r="B116" s="3805" t="s">
        <v>3118</v>
      </c>
      <c r="C116" s="3221" t="s">
        <v>3119</v>
      </c>
      <c r="D116" s="3201" t="s">
        <v>3120</v>
      </c>
      <c r="E116" s="3222">
        <v>0.1</v>
      </c>
      <c r="F116" s="3221">
        <v>15</v>
      </c>
    </row>
    <row r="117" spans="1:6" s="798" customFormat="1" ht="24">
      <c r="A117" s="3221">
        <v>45</v>
      </c>
      <c r="B117" s="3809"/>
      <c r="C117" s="3201" t="s">
        <v>3121</v>
      </c>
      <c r="D117" s="3201" t="s">
        <v>3122</v>
      </c>
      <c r="E117" s="3222">
        <v>0.1</v>
      </c>
      <c r="F117" s="3221">
        <v>15</v>
      </c>
    </row>
    <row r="118" spans="1:6" s="798" customFormat="1" ht="24">
      <c r="A118" s="3221">
        <v>46</v>
      </c>
      <c r="B118" s="3805" t="s">
        <v>3123</v>
      </c>
      <c r="C118" s="3221" t="s">
        <v>3124</v>
      </c>
      <c r="D118" s="3201" t="s">
        <v>3125</v>
      </c>
      <c r="E118" s="3222">
        <v>0.1</v>
      </c>
      <c r="F118" s="3221">
        <v>15</v>
      </c>
    </row>
    <row r="119" spans="1:6" s="798" customFormat="1" ht="24">
      <c r="A119" s="3221">
        <v>47</v>
      </c>
      <c r="B119" s="3809"/>
      <c r="C119" s="3221" t="s">
        <v>3126</v>
      </c>
      <c r="D119" s="3201" t="s">
        <v>3127</v>
      </c>
      <c r="E119" s="3222">
        <v>0.1</v>
      </c>
      <c r="F119" s="3221">
        <v>15</v>
      </c>
    </row>
    <row r="120" spans="1:6" s="798" customFormat="1" ht="24">
      <c r="A120" s="3221">
        <v>48</v>
      </c>
      <c r="B120" s="3805" t="s">
        <v>3128</v>
      </c>
      <c r="C120" s="3221" t="s">
        <v>3129</v>
      </c>
      <c r="D120" s="3201" t="s">
        <v>3130</v>
      </c>
      <c r="E120" s="3222">
        <v>0.1</v>
      </c>
      <c r="F120" s="3221">
        <v>15</v>
      </c>
    </row>
    <row r="121" spans="1:6" s="798" customFormat="1" ht="13.5">
      <c r="A121" s="3221">
        <v>49</v>
      </c>
      <c r="B121" s="3809"/>
      <c r="C121" s="3221" t="s">
        <v>3131</v>
      </c>
      <c r="D121" s="3201" t="s">
        <v>3132</v>
      </c>
      <c r="E121" s="3222">
        <v>0.1</v>
      </c>
      <c r="F121" s="3221">
        <v>15</v>
      </c>
    </row>
    <row r="122" spans="1:6" s="798" customFormat="1" ht="24">
      <c r="A122" s="3221">
        <v>50</v>
      </c>
      <c r="B122" s="3810" t="s">
        <v>3133</v>
      </c>
      <c r="C122" s="3221" t="s">
        <v>3134</v>
      </c>
      <c r="D122" s="3201" t="s">
        <v>3135</v>
      </c>
      <c r="E122" s="3222">
        <v>0.1</v>
      </c>
      <c r="F122" s="3221">
        <v>15</v>
      </c>
    </row>
    <row r="123" spans="1:6" s="798" customFormat="1" ht="24">
      <c r="A123" s="3221">
        <v>51</v>
      </c>
      <c r="B123" s="3810"/>
      <c r="C123" s="3221" t="s">
        <v>3136</v>
      </c>
      <c r="D123" s="3201" t="s">
        <v>3137</v>
      </c>
      <c r="E123" s="3222">
        <v>0.1</v>
      </c>
      <c r="F123" s="3221">
        <v>15</v>
      </c>
    </row>
    <row r="124" spans="1:6" s="798" customFormat="1" ht="24">
      <c r="A124" s="3221">
        <v>52</v>
      </c>
      <c r="B124" s="3810" t="s">
        <v>3138</v>
      </c>
      <c r="C124" s="3221" t="s">
        <v>3139</v>
      </c>
      <c r="D124" s="3201" t="s">
        <v>3140</v>
      </c>
      <c r="E124" s="3222">
        <v>0.1</v>
      </c>
      <c r="F124" s="3221">
        <v>15</v>
      </c>
    </row>
    <row r="125" spans="1:6" s="798" customFormat="1" ht="24">
      <c r="A125" s="3221">
        <v>53</v>
      </c>
      <c r="B125" s="3810"/>
      <c r="C125" s="3221" t="s">
        <v>3141</v>
      </c>
      <c r="D125" s="3201" t="s">
        <v>3142</v>
      </c>
      <c r="E125" s="3222">
        <v>0.1</v>
      </c>
      <c r="F125" s="3221">
        <v>15</v>
      </c>
    </row>
    <row r="126" spans="1:6" ht="24">
      <c r="A126" s="3221">
        <v>54</v>
      </c>
      <c r="B126" s="3221" t="s">
        <v>3143</v>
      </c>
      <c r="C126" s="3221" t="s">
        <v>3144</v>
      </c>
      <c r="D126" s="3201" t="s">
        <v>3145</v>
      </c>
      <c r="E126" s="3222">
        <v>0.1</v>
      </c>
      <c r="F126" s="3221">
        <v>15</v>
      </c>
    </row>
    <row r="127" spans="1:6" ht="13.5">
      <c r="A127" s="3221">
        <v>55</v>
      </c>
      <c r="B127" s="3810" t="s">
        <v>3146</v>
      </c>
      <c r="C127" s="3221" t="s">
        <v>3147</v>
      </c>
      <c r="D127" s="3201" t="s">
        <v>3148</v>
      </c>
      <c r="E127" s="3222">
        <v>0.1</v>
      </c>
      <c r="F127" s="3221">
        <v>15</v>
      </c>
    </row>
    <row r="128" spans="1:6" ht="13.5">
      <c r="A128" s="3221">
        <v>56</v>
      </c>
      <c r="B128" s="3810"/>
      <c r="C128" s="3221" t="s">
        <v>3149</v>
      </c>
      <c r="D128" s="3201" t="s">
        <v>3150</v>
      </c>
      <c r="E128" s="3222">
        <v>0.1</v>
      </c>
      <c r="F128" s="3221">
        <v>15</v>
      </c>
    </row>
    <row r="129" spans="1:6" ht="24">
      <c r="A129" s="3221">
        <v>57</v>
      </c>
      <c r="B129" s="3810"/>
      <c r="C129" s="3221" t="s">
        <v>3151</v>
      </c>
      <c r="D129" s="3201" t="s">
        <v>3152</v>
      </c>
      <c r="E129" s="3222">
        <v>0.1</v>
      </c>
      <c r="F129" s="3221">
        <v>15</v>
      </c>
    </row>
    <row r="130" spans="1:6" ht="24">
      <c r="A130" s="3221">
        <v>58</v>
      </c>
      <c r="B130" s="3810" t="s">
        <v>3153</v>
      </c>
      <c r="C130" s="3221" t="s">
        <v>3154</v>
      </c>
      <c r="D130" s="3201" t="s">
        <v>3155</v>
      </c>
      <c r="E130" s="3222">
        <v>0.1</v>
      </c>
      <c r="F130" s="3221">
        <v>15</v>
      </c>
    </row>
    <row r="131" spans="1:6" ht="24">
      <c r="A131" s="3221">
        <v>59</v>
      </c>
      <c r="B131" s="3810"/>
      <c r="C131" s="3221" t="s">
        <v>3156</v>
      </c>
      <c r="D131" s="3201" t="s">
        <v>3157</v>
      </c>
      <c r="E131" s="3222">
        <v>0.1</v>
      </c>
      <c r="F131" s="3221">
        <v>15</v>
      </c>
    </row>
    <row r="132" spans="1:6" ht="24">
      <c r="A132" s="3221">
        <v>60</v>
      </c>
      <c r="B132" s="3805" t="s">
        <v>3158</v>
      </c>
      <c r="C132" s="3221" t="s">
        <v>3159</v>
      </c>
      <c r="D132" s="3201" t="s">
        <v>3160</v>
      </c>
      <c r="E132" s="3222">
        <v>0.1</v>
      </c>
      <c r="F132" s="3221">
        <v>15</v>
      </c>
    </row>
    <row r="133" spans="1:6" ht="24">
      <c r="A133" s="3221">
        <v>61</v>
      </c>
      <c r="B133" s="3809"/>
      <c r="C133" s="3221" t="s">
        <v>3161</v>
      </c>
      <c r="D133" s="3201" t="s">
        <v>3162</v>
      </c>
      <c r="E133" s="3222">
        <v>0.1</v>
      </c>
      <c r="F133" s="3221">
        <v>15</v>
      </c>
    </row>
    <row r="134" spans="1:6" ht="24">
      <c r="A134" s="3221">
        <v>62</v>
      </c>
      <c r="B134" s="3221" t="s">
        <v>3163</v>
      </c>
      <c r="C134" s="3221" t="s">
        <v>3164</v>
      </c>
      <c r="D134" s="3201" t="s">
        <v>3165</v>
      </c>
      <c r="E134" s="3222">
        <v>0.1</v>
      </c>
      <c r="F134" s="3221">
        <v>15</v>
      </c>
    </row>
    <row r="135" spans="1:6" ht="24">
      <c r="A135" s="3221">
        <v>63</v>
      </c>
      <c r="B135" s="3810" t="s">
        <v>3166</v>
      </c>
      <c r="C135" s="3221" t="s">
        <v>3167</v>
      </c>
      <c r="D135" s="3201" t="s">
        <v>3168</v>
      </c>
      <c r="E135" s="3222">
        <v>0.1</v>
      </c>
      <c r="F135" s="3221">
        <v>15</v>
      </c>
    </row>
    <row r="136" spans="1:6" ht="13.5">
      <c r="A136" s="3221">
        <v>64</v>
      </c>
      <c r="B136" s="3810"/>
      <c r="C136" s="3221" t="s">
        <v>3169</v>
      </c>
      <c r="D136" s="3201" t="s">
        <v>3170</v>
      </c>
      <c r="E136" s="3222">
        <v>0.1</v>
      </c>
      <c r="F136" s="3221">
        <v>15</v>
      </c>
    </row>
    <row r="137" spans="1:6" ht="24">
      <c r="A137" s="3221">
        <v>65</v>
      </c>
      <c r="B137" s="3221" t="s">
        <v>3171</v>
      </c>
      <c r="C137" s="3221" t="s">
        <v>3172</v>
      </c>
      <c r="D137" s="3201" t="s">
        <v>3173</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2581</v>
      </c>
      <c r="B1" s="2309"/>
      <c r="C1" s="2309"/>
      <c r="D1" s="2309"/>
      <c r="E1" s="2309"/>
      <c r="F1" s="2969"/>
      <c r="G1" s="2969"/>
      <c r="H1" s="2969"/>
      <c r="I1" s="2969"/>
      <c r="J1" s="2969"/>
      <c r="K1" s="2969"/>
      <c r="L1" s="2969"/>
      <c r="M1" s="2969"/>
      <c r="N1" s="2969"/>
      <c r="O1" s="2969"/>
      <c r="P1" s="2969"/>
    </row>
    <row r="2" spans="1:16" ht="15.75">
      <c r="A2" s="2307" t="s">
        <v>2573</v>
      </c>
      <c r="B2" s="2773" t="e">
        <f ca="1">SUMIF(B6:B13,"&lt;&gt;#ref!",B6:B13)</f>
        <v>#DIV/0!</v>
      </c>
      <c r="C2" s="2307" t="s">
        <v>2574</v>
      </c>
      <c r="D2" s="2307" t="s">
        <v>2575</v>
      </c>
      <c r="E2" s="2783">
        <f ca="1">SUMIF(E6:E13,"&lt;&gt;#ref!",E6:E13)</f>
        <v>0</v>
      </c>
      <c r="F2" s="2969"/>
      <c r="G2" s="2969"/>
      <c r="H2" s="2969"/>
      <c r="I2" s="2969"/>
      <c r="J2" s="2969"/>
      <c r="K2" s="2969"/>
      <c r="L2" s="2969"/>
      <c r="M2" s="2969"/>
      <c r="N2" s="2969"/>
      <c r="O2" s="2969"/>
      <c r="P2" s="2969"/>
    </row>
    <row r="3" spans="1:16" ht="15.75">
      <c r="A3" s="2307" t="s">
        <v>2576</v>
      </c>
      <c r="B3" s="2773" t="e">
        <f ca="1">ROUND(B2*10000/E2,0)</f>
        <v>#DIV/0!</v>
      </c>
      <c r="C3" s="2307"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08"/>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7"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7"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7"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7"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7"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7"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7"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7"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625"/>
      <c r="B4" s="3481" t="s">
        <v>1354</v>
      </c>
      <c r="C4" s="3481"/>
      <c r="D4" s="3481"/>
      <c r="E4" s="1625"/>
    </row>
    <row r="5" spans="1:5" ht="16.5" thickTop="1">
      <c r="A5" s="1623"/>
      <c r="B5" s="3479" t="s">
        <v>1346</v>
      </c>
      <c r="C5" s="1626" t="s">
        <v>1347</v>
      </c>
      <c r="D5" s="937">
        <f ca="1">结果表!H101</f>
        <v>120359</v>
      </c>
      <c r="E5" s="1623"/>
    </row>
    <row r="6" spans="1:5" ht="15.75">
      <c r="A6" s="1623"/>
      <c r="B6" s="3479"/>
      <c r="C6" s="1626" t="s">
        <v>1348</v>
      </c>
      <c r="D6" s="937" t="str">
        <f ca="1">NUMBERSTRING(INT(D5*10000),2)&amp;"元整"</f>
        <v>壹拾贰亿零叁佰伍拾玖万元整</v>
      </c>
      <c r="E6" s="1623"/>
    </row>
    <row r="7" spans="1:5" ht="15.75">
      <c r="A7" s="1623"/>
      <c r="B7" s="3484"/>
      <c r="C7" s="1627" t="s">
        <v>1349</v>
      </c>
      <c r="D7" s="938">
        <f ca="1">结果表!H102</f>
        <v>39963</v>
      </c>
      <c r="E7" s="1623"/>
    </row>
    <row r="8" spans="1:5" ht="15.75">
      <c r="A8" s="1623"/>
      <c r="B8" s="3485" t="str">
        <f>结果表!E103</f>
        <v>2.估价师知悉的法定优先受偿款</v>
      </c>
      <c r="C8" s="1628" t="s">
        <v>1350</v>
      </c>
      <c r="D8" s="938">
        <f>结果表!H103</f>
        <v>0</v>
      </c>
      <c r="E8" s="1623"/>
    </row>
    <row r="9" spans="1:5" ht="15.75">
      <c r="A9" s="1623"/>
      <c r="B9" s="3487"/>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478" t="str">
        <f>结果表!E107</f>
        <v>3.房地产抵押价值</v>
      </c>
      <c r="C13" s="1631" t="s">
        <v>1347</v>
      </c>
      <c r="D13" s="940">
        <f ca="1">结果表!H107</f>
        <v>120359</v>
      </c>
      <c r="E13" s="1623"/>
    </row>
    <row r="14" spans="1:5" ht="15.75">
      <c r="A14" s="1623"/>
      <c r="B14" s="3479"/>
      <c r="C14" s="1626" t="s">
        <v>1348</v>
      </c>
      <c r="D14" s="937" t="str">
        <f ca="1">NUMBERSTRING(INT(D13*10000),2)&amp;"元整"</f>
        <v>壹拾贰亿零叁佰伍拾玖万元整</v>
      </c>
      <c r="E14" s="1623"/>
    </row>
    <row r="15" spans="1:5" ht="15">
      <c r="A15" s="1623"/>
      <c r="B15" s="3484"/>
      <c r="C15" s="1627" t="s">
        <v>1358</v>
      </c>
      <c r="D15" s="946">
        <f ca="1">结果表!H108</f>
        <v>37541</v>
      </c>
      <c r="E15" s="1623"/>
    </row>
    <row r="16" spans="1:5" ht="15">
      <c r="A16" s="1623"/>
      <c r="B16" s="3485" t="str">
        <f>结果表!E109</f>
        <v>——</v>
      </c>
      <c r="C16" s="1631" t="s">
        <v>1359</v>
      </c>
      <c r="D16" s="1632" t="str">
        <f>结果表!H109</f>
        <v>——</v>
      </c>
      <c r="E16" s="1623"/>
    </row>
    <row r="17" spans="1:5" ht="15.75">
      <c r="A17" s="1623"/>
      <c r="B17" s="3486"/>
      <c r="C17" s="1626" t="s">
        <v>1360</v>
      </c>
      <c r="D17" s="937" t="e">
        <f>NUMBERSTRING(INT(D16*10000),2)&amp;"元整"</f>
        <v>#VALUE!</v>
      </c>
      <c r="E17" s="1623"/>
    </row>
    <row r="18" spans="1:5" ht="15">
      <c r="A18" s="1623"/>
      <c r="B18" s="3487"/>
      <c r="C18" s="1627" t="s">
        <v>1349</v>
      </c>
      <c r="D18" s="946" t="str">
        <f>结果表!H110</f>
        <v>——</v>
      </c>
      <c r="E18" s="1623"/>
    </row>
    <row r="19" spans="1:5" ht="15.75">
      <c r="A19" s="1623"/>
      <c r="B19" s="3478" t="str">
        <f>结果表!E111</f>
        <v>——</v>
      </c>
      <c r="C19" s="1631" t="s">
        <v>1347</v>
      </c>
      <c r="D19" s="938" t="str">
        <f>结果表!H111</f>
        <v>——</v>
      </c>
      <c r="E19" s="1623"/>
    </row>
    <row r="20" spans="1:5" ht="15.75">
      <c r="A20" s="1623"/>
      <c r="B20" s="3479"/>
      <c r="C20" s="1626" t="s">
        <v>1360</v>
      </c>
      <c r="D20" s="937" t="e">
        <f>NUMBERSTRING(INT(D19*10000),2)&amp;"元整"</f>
        <v>#VALUE!</v>
      </c>
      <c r="E20" s="1623"/>
    </row>
    <row r="21" spans="1:5" ht="15.75" thickBot="1">
      <c r="A21" s="1623"/>
      <c r="B21" s="3480"/>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816" t="s">
        <v>877</v>
      </c>
      <c r="C1" s="3816"/>
      <c r="D1" s="3816"/>
      <c r="E1" s="3816"/>
      <c r="F1" s="3816"/>
      <c r="G1" s="3812" t="s">
        <v>878</v>
      </c>
      <c r="H1" s="3812"/>
      <c r="I1" s="3812"/>
      <c r="J1" s="3812"/>
      <c r="K1" s="3812"/>
      <c r="L1" s="3812"/>
      <c r="N1" s="3812" t="s">
        <v>879</v>
      </c>
      <c r="O1" s="3812"/>
      <c r="P1" s="3812"/>
      <c r="Q1" s="3812"/>
      <c r="S1" s="3812" t="s">
        <v>880</v>
      </c>
      <c r="T1" s="3812"/>
      <c r="U1" s="3812"/>
      <c r="V1" s="3812"/>
      <c r="X1" s="3811" t="s">
        <v>881</v>
      </c>
      <c r="Y1" s="3812"/>
      <c r="Z1" s="3812"/>
      <c r="AA1" s="3812"/>
      <c r="AB1" s="3812"/>
      <c r="AD1" s="3811" t="s">
        <v>882</v>
      </c>
      <c r="AE1" s="3812"/>
      <c r="AF1" s="3812"/>
      <c r="AG1" s="3812"/>
      <c r="AH1" s="3812"/>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2941</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81">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2940</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81">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2817</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6">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2816</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5">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2815</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9">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2813</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8">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2812</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5">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2630</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2628</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2627</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2626</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2624</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2622</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2625</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814">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2620</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814"/>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2619</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814"/>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2612</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821"/>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2610</v>
      </c>
      <c r="B22" s="2384">
        <v>439</v>
      </c>
      <c r="C22" s="2384">
        <v>327</v>
      </c>
      <c r="D22" s="2384">
        <f>C22</f>
        <v>327</v>
      </c>
      <c r="E22" s="2384">
        <v>627</v>
      </c>
      <c r="F22" s="2385">
        <v>283</v>
      </c>
      <c r="G22" s="3817">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2611</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814"/>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814"/>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821"/>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817">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814"/>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814"/>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815"/>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813">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814"/>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814"/>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815"/>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813">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814"/>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814"/>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815"/>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818">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819"/>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819"/>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820"/>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813">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814"/>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814"/>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815"/>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813">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814">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814">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815">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813">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814">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814">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815">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813">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814">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814">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815">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813">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814">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814">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815">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813">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814">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814">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815">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813">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814">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814">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815">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813">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814">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814">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815">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813">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814">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814">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815">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813">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814">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814">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815">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813">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814">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814">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815">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51" sqref="G5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48</v>
      </c>
      <c r="D1" s="1493" t="s">
        <v>70</v>
      </c>
      <c r="E1" s="1494" t="s">
        <v>1111</v>
      </c>
      <c r="F1" s="1170">
        <f ca="1">J53</f>
        <v>22.6</v>
      </c>
      <c r="G1" s="1509">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723</v>
      </c>
      <c r="C2" s="1518" t="s">
        <v>1240</v>
      </c>
      <c r="D2" s="1518"/>
      <c r="E2" s="1519"/>
      <c r="F2" s="1520"/>
      <c r="G2" s="2880"/>
      <c r="H2" s="2869"/>
      <c r="I2" s="2869"/>
      <c r="J2" s="2869"/>
      <c r="K2" s="2870"/>
      <c r="L2" s="2869"/>
      <c r="M2" s="2869"/>
    </row>
    <row r="3" spans="1:37" ht="18" customHeight="1" thickBot="1">
      <c r="A3" s="1521" t="s">
        <v>1241</v>
      </c>
      <c r="B3" s="1522">
        <f ca="1">IF(ISERROR(B2*10000/F43),0,ROUND(B2*10000/F43,0))</f>
        <v>3721</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73</v>
      </c>
      <c r="D5" s="1495" t="s">
        <v>1126</v>
      </c>
      <c r="E5" s="1180"/>
      <c r="F5" s="1181"/>
      <c r="G5" s="1515"/>
      <c r="H5" s="305">
        <v>1</v>
      </c>
      <c r="I5" s="306" t="s">
        <v>1125</v>
      </c>
      <c r="J5" s="1179">
        <f ca="1">J6+J10+J12</f>
        <v>0</v>
      </c>
      <c r="K5" s="1495" t="s">
        <v>1126</v>
      </c>
      <c r="L5" s="1180"/>
      <c r="M5" s="1181"/>
    </row>
    <row r="6" spans="1:37" ht="18" customHeight="1">
      <c r="A6" s="1178" t="s">
        <v>822</v>
      </c>
      <c r="B6" s="3723" t="s">
        <v>1127</v>
      </c>
      <c r="C6" s="1183">
        <f ca="1">ROUND(F6*F8*F7*(1-F9)/10000,0)</f>
        <v>73</v>
      </c>
      <c r="D6" s="160" t="s">
        <v>2608</v>
      </c>
      <c r="E6" s="308" t="s">
        <v>1129</v>
      </c>
      <c r="F6" s="309">
        <f ca="1">INDIRECT("'数据-取费表'!u"&amp;$G$1)</f>
        <v>800</v>
      </c>
      <c r="G6" s="1515"/>
      <c r="H6" s="1178" t="s">
        <v>822</v>
      </c>
      <c r="I6" s="3723" t="s">
        <v>1127</v>
      </c>
      <c r="J6" s="307">
        <f ca="1">ROUND(M6*M8*M7*(1-M9)/10000,0)</f>
        <v>0</v>
      </c>
      <c r="K6" s="160" t="s">
        <v>2607</v>
      </c>
      <c r="L6" s="308" t="s">
        <v>1129</v>
      </c>
      <c r="M6" s="309">
        <f ca="1">INDIRECT("'数据-取费表'!z"&amp;$G$1)</f>
        <v>0</v>
      </c>
    </row>
    <row r="7" spans="1:37" ht="18" customHeight="1">
      <c r="A7" s="1182"/>
      <c r="B7" s="3724"/>
      <c r="C7" s="1184"/>
      <c r="D7" s="313"/>
      <c r="E7" s="3308" t="s">
        <v>1130</v>
      </c>
      <c r="F7" s="309">
        <f ca="1">IF(INDIRECT("'数据-取费表'!ah"&amp;$G$1)="",INDIRECT("'数据-取费表'!k"&amp;$G$1),INDIRECT("'数据-取费表'!ah"&amp;$G$1))</f>
        <v>80</v>
      </c>
      <c r="G7" s="1515"/>
      <c r="H7" s="310"/>
      <c r="I7" s="3724"/>
      <c r="J7" s="312"/>
      <c r="K7" s="313"/>
      <c r="L7" s="308" t="s">
        <v>1130</v>
      </c>
      <c r="M7" s="309">
        <f ca="1">F7</f>
        <v>80</v>
      </c>
    </row>
    <row r="8" spans="1:37" ht="18" customHeight="1">
      <c r="A8" s="310"/>
      <c r="B8" s="3724"/>
      <c r="C8" s="312"/>
      <c r="D8" s="313"/>
      <c r="E8" s="308" t="s">
        <v>1131</v>
      </c>
      <c r="F8" s="309">
        <f ca="1">INDIRECT("'数据-取费表'!ai"&amp;$G$1)</f>
        <v>12</v>
      </c>
      <c r="G8" s="1515"/>
      <c r="H8" s="310"/>
      <c r="I8" s="3724"/>
      <c r="J8" s="312"/>
      <c r="K8" s="313"/>
      <c r="L8" s="308" t="s">
        <v>1131</v>
      </c>
      <c r="M8" s="309">
        <f ca="1">INDIRECT("'数据-取费表'!ai"&amp;$G$1)</f>
        <v>12</v>
      </c>
    </row>
    <row r="9" spans="1:37" ht="18" customHeight="1">
      <c r="A9" s="310"/>
      <c r="B9" s="3725"/>
      <c r="C9" s="312"/>
      <c r="D9" s="313"/>
      <c r="E9" s="308" t="s">
        <v>1132</v>
      </c>
      <c r="F9" s="318">
        <f ca="1">INDIRECT("'数据-取费表'!w"&amp;$G$1)</f>
        <v>0.05</v>
      </c>
      <c r="G9" s="1515"/>
      <c r="H9" s="310"/>
      <c r="I9" s="372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t="s">
        <v>4022</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586</v>
      </c>
      <c r="D13" s="3287" t="s">
        <v>1139</v>
      </c>
      <c r="E13" s="3287"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583</v>
      </c>
      <c r="D14" s="3297" t="s">
        <v>1142</v>
      </c>
      <c r="E14" s="3290"/>
      <c r="F14" s="325"/>
      <c r="G14" s="1515"/>
      <c r="H14" s="1091" t="s">
        <v>822</v>
      </c>
      <c r="I14" s="308" t="s">
        <v>1143</v>
      </c>
      <c r="J14" s="24">
        <f ca="1">C29</f>
        <v>781</v>
      </c>
      <c r="K14" s="3306"/>
      <c r="L14" s="894"/>
      <c r="M14" s="895"/>
    </row>
    <row r="15" spans="1:37" s="1528" customFormat="1" ht="18" customHeight="1" thickBot="1">
      <c r="A15" s="1091" t="s">
        <v>823</v>
      </c>
      <c r="B15" s="308" t="s">
        <v>1144</v>
      </c>
      <c r="C15" s="24">
        <f ca="1">ROUND(C14*F15,0)</f>
        <v>17</v>
      </c>
      <c r="D15" s="3288" t="s">
        <v>1145</v>
      </c>
      <c r="E15" s="3288"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5"/>
      <c r="H16" s="1188" t="s">
        <v>817</v>
      </c>
      <c r="I16" s="1189" t="s">
        <v>1148</v>
      </c>
      <c r="J16" s="316">
        <f ca="1">ROUND(J17+J22+J23+J24,0)</f>
        <v>15</v>
      </c>
      <c r="K16" s="1196" t="s">
        <v>1149</v>
      </c>
      <c r="L16" s="3300"/>
      <c r="M16" s="1181"/>
    </row>
    <row r="17" spans="1:37" s="1528" customFormat="1" ht="18" customHeight="1">
      <c r="A17" s="1091" t="s">
        <v>1114</v>
      </c>
      <c r="B17" s="308" t="s">
        <v>1150</v>
      </c>
      <c r="C17" s="24">
        <f ca="1">ROUND(F17*(F43+INDIRECT("'数据-取费表'!S"&amp;$G$1))/10000,0)</f>
        <v>39</v>
      </c>
      <c r="D17" s="308" t="s">
        <v>1151</v>
      </c>
      <c r="E17" s="308" t="s">
        <v>1152</v>
      </c>
      <c r="F17" s="26">
        <f>'数据-取费表'!B35</f>
        <v>200</v>
      </c>
      <c r="G17" s="1527"/>
      <c r="H17" s="1091" t="s">
        <v>822</v>
      </c>
      <c r="I17" s="308" t="s">
        <v>1153</v>
      </c>
      <c r="J17" s="2480">
        <f ca="1">ROUND(IF(AND(项目基本情况!B11="自然人",项目基本情况!B10="北京市"),J6*M17/(1+'数据-取费表'!C42),J18+J19+J20),0)</f>
        <v>7</v>
      </c>
      <c r="K17" s="3297" t="s">
        <v>1154</v>
      </c>
      <c r="L17" s="329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9</v>
      </c>
      <c r="D18" s="308" t="s">
        <v>1145</v>
      </c>
      <c r="E18" s="308" t="s">
        <v>1146</v>
      </c>
      <c r="F18" s="328">
        <f>'数据-取费表'!B36</f>
        <v>1.4999999999999999E-2</v>
      </c>
      <c r="G18" s="1527"/>
      <c r="H18" s="1091" t="s">
        <v>821</v>
      </c>
      <c r="I18" s="308" t="s">
        <v>1157</v>
      </c>
      <c r="J18" s="24">
        <f ca="1">ROUND(J6*M18/(1+'数据-取费表'!C42),2)</f>
        <v>0</v>
      </c>
      <c r="K18" s="329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648</v>
      </c>
      <c r="D19" s="136" t="s">
        <v>1160</v>
      </c>
      <c r="E19" s="3310"/>
      <c r="F19" s="26"/>
      <c r="G19" s="1515"/>
      <c r="H19" s="1091" t="s">
        <v>823</v>
      </c>
      <c r="I19" s="308" t="s">
        <v>1161</v>
      </c>
      <c r="J19" s="24">
        <f ca="1">IF(K19="按租金收入计税",ROUND(J6*M19/(1+'数据-取费表'!C42),2),ROUND(C29*M19*0.7,2))</f>
        <v>6.56</v>
      </c>
      <c r="K19" s="1501" t="s">
        <v>1162</v>
      </c>
      <c r="L19" s="308" t="s">
        <v>1146</v>
      </c>
      <c r="M19" s="328">
        <f>IF(K19="按租金收入计税",'数据-取费表'!B51,'数据-取费表'!B50)</f>
        <v>1.2E-2</v>
      </c>
    </row>
    <row r="20" spans="1:37" s="1528" customFormat="1" ht="18" customHeight="1">
      <c r="A20" s="1091" t="s">
        <v>826</v>
      </c>
      <c r="B20" s="308" t="s">
        <v>1163</v>
      </c>
      <c r="C20" s="24">
        <f ca="1">ROUND(C19*F20,0)</f>
        <v>13</v>
      </c>
      <c r="D20" s="329" t="s">
        <v>1164</v>
      </c>
      <c r="E20" s="308" t="s">
        <v>1146</v>
      </c>
      <c r="F20" s="328">
        <f>'数据-取费表'!B37</f>
        <v>0.02</v>
      </c>
      <c r="G20" s="1527"/>
      <c r="H20" s="1091" t="s">
        <v>1113</v>
      </c>
      <c r="I20" s="160" t="s">
        <v>1165</v>
      </c>
      <c r="J20" s="25">
        <f ca="1">ROUND(M20*M21/10000,2)</f>
        <v>0.44</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365.48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310"/>
      <c r="F22" s="26"/>
      <c r="G22" s="1515"/>
      <c r="H22" s="1091" t="s">
        <v>826</v>
      </c>
      <c r="I22" s="308" t="s">
        <v>1173</v>
      </c>
      <c r="J22" s="24">
        <f ca="1">ROUND(J14*M22,1)</f>
        <v>7.8</v>
      </c>
      <c r="K22" s="329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28</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329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3310"/>
      <c r="F25" s="26"/>
      <c r="G25" s="1515"/>
      <c r="H25" s="1188" t="s">
        <v>818</v>
      </c>
      <c r="I25" s="1203" t="s">
        <v>1187</v>
      </c>
      <c r="J25" s="316">
        <f ca="1">J5-J16</f>
        <v>-15</v>
      </c>
      <c r="K25" s="1204" t="s">
        <v>1188</v>
      </c>
      <c r="L25" s="1205"/>
      <c r="M25" s="1206"/>
    </row>
    <row r="26" spans="1:37">
      <c r="A26" s="1091" t="s">
        <v>821</v>
      </c>
      <c r="B26" s="308" t="s">
        <v>1189</v>
      </c>
      <c r="C26" s="24">
        <f ca="1">ROUND((C19+C20)*F26,0)</f>
        <v>33</v>
      </c>
      <c r="D26" s="329" t="s">
        <v>1190</v>
      </c>
      <c r="E26" s="319" t="s">
        <v>1191</v>
      </c>
      <c r="F26" s="318">
        <f ca="1">INDIRECT("'数据-取费表'!q"&amp;$G$1)</f>
        <v>0.05</v>
      </c>
      <c r="G26" s="1515"/>
      <c r="H26" s="305" t="s">
        <v>819</v>
      </c>
      <c r="I26" s="306" t="s">
        <v>1192</v>
      </c>
      <c r="J26" s="307">
        <f ca="1">IF(J5&lt;&gt;0,ROUND(J25*(1-((1+M28)/(1+M26))^M27)/(M26-M28),0),0)</f>
        <v>0</v>
      </c>
      <c r="K26" s="330" t="s">
        <v>1193</v>
      </c>
      <c r="L26" s="308" t="s">
        <v>1194</v>
      </c>
      <c r="M26" s="318">
        <f ca="1">INDIRECT("'数据-取费表'!I"&amp;$G$1)</f>
        <v>0.05</v>
      </c>
    </row>
    <row r="27" spans="1:37" ht="18" customHeight="1">
      <c r="A27" s="1091" t="s">
        <v>823</v>
      </c>
      <c r="B27" s="308" t="s">
        <v>1195</v>
      </c>
      <c r="C27" s="24">
        <f ca="1">ROUND(F21*F26,4)</f>
        <v>1E-3</v>
      </c>
      <c r="D27" s="329" t="s">
        <v>1196</v>
      </c>
      <c r="E27" s="3288"/>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781</v>
      </c>
      <c r="D29" s="1201"/>
      <c r="E29" s="1199"/>
      <c r="F29" s="1202"/>
      <c r="G29" s="1527"/>
      <c r="H29" s="340" t="s">
        <v>820</v>
      </c>
      <c r="I29" s="341" t="s">
        <v>1203</v>
      </c>
      <c r="J29" s="342">
        <f ca="1">ROUND(J26/(1+F40)^F41,0)</f>
        <v>0</v>
      </c>
      <c r="K29" s="343" t="s">
        <v>1204</v>
      </c>
      <c r="L29" s="344"/>
      <c r="M29" s="345">
        <f ca="1">INDIRECT("'数据-取费表'!k"&amp;$G$1)</f>
        <v>1943.05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24</v>
      </c>
      <c r="D30" s="1196" t="s">
        <v>1149</v>
      </c>
      <c r="E30" s="3300"/>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13</v>
      </c>
      <c r="D31" s="3297" t="s">
        <v>1154</v>
      </c>
      <c r="E31" s="329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3.89</v>
      </c>
      <c r="D32" s="329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8.34</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0.44</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365.48</v>
      </c>
      <c r="G35" s="1515"/>
      <c r="H35" s="2871"/>
      <c r="I35" s="1529">
        <f ca="1">C36+C37+C38</f>
        <v>10.600000000000001</v>
      </c>
      <c r="J35" s="1530"/>
      <c r="K35" s="2875"/>
      <c r="L35" s="2874"/>
      <c r="M35" s="2874"/>
    </row>
    <row r="36" spans="1:18" ht="18" customHeight="1">
      <c r="A36" s="1211" t="s">
        <v>826</v>
      </c>
      <c r="B36" s="308" t="s">
        <v>1173</v>
      </c>
      <c r="C36" s="24">
        <f ca="1">ROUND(C29*F36,1)</f>
        <v>7.8</v>
      </c>
      <c r="D36" s="3295" t="s">
        <v>1206</v>
      </c>
      <c r="E36" s="308" t="s">
        <v>1146</v>
      </c>
      <c r="F36" s="334">
        <f ca="1">INDIRECT("'数据-取费表'!Ak"&amp;$G$1)</f>
        <v>0.01</v>
      </c>
      <c r="G36" s="1515"/>
      <c r="H36" s="2874"/>
      <c r="I36" s="1529">
        <f ca="1">I35*10000/F7/12</f>
        <v>110.41666666666669</v>
      </c>
      <c r="J36" s="1530"/>
      <c r="K36" s="2715"/>
      <c r="L36" s="2874"/>
      <c r="M36" s="2874"/>
    </row>
    <row r="37" spans="1:18" ht="18" customHeight="1">
      <c r="A37" s="1091" t="s">
        <v>862</v>
      </c>
      <c r="B37" s="308" t="s">
        <v>1177</v>
      </c>
      <c r="C37" s="24">
        <f ca="1">ROUND(C13*F37,1)</f>
        <v>0.6</v>
      </c>
      <c r="D37" s="3295" t="s">
        <v>1178</v>
      </c>
      <c r="E37" s="308" t="s">
        <v>1179</v>
      </c>
      <c r="F37" s="336">
        <f ca="1">INDIRECT("'数据-取费表'!Al"&amp;$G$1)</f>
        <v>1E-3</v>
      </c>
      <c r="G37" s="1515"/>
      <c r="H37" s="2874"/>
      <c r="I37" s="1529"/>
      <c r="J37" s="1530"/>
      <c r="K37" s="2715"/>
      <c r="L37" s="2874"/>
      <c r="M37" s="2874"/>
    </row>
    <row r="38" spans="1:18" ht="18" customHeight="1" thickBot="1">
      <c r="A38" s="1198" t="s">
        <v>1117</v>
      </c>
      <c r="B38" s="1199" t="s">
        <v>1163</v>
      </c>
      <c r="C38" s="1200">
        <f ca="1">ROUND(C5*F38,1)</f>
        <v>2.2000000000000002</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1187</v>
      </c>
      <c r="C39" s="316">
        <f ca="1">C5-C30</f>
        <v>49</v>
      </c>
      <c r="D39" s="1204" t="s">
        <v>1208</v>
      </c>
      <c r="E39" s="1205"/>
      <c r="F39" s="1206"/>
      <c r="G39" s="1515"/>
      <c r="H39" s="2874"/>
      <c r="I39" s="1529"/>
      <c r="J39" s="1530"/>
      <c r="K39" s="2878"/>
      <c r="L39" s="2874"/>
      <c r="M39" s="2874"/>
    </row>
    <row r="40" spans="1:18" ht="18" customHeight="1">
      <c r="A40" s="305" t="s">
        <v>819</v>
      </c>
      <c r="B40" s="306" t="s">
        <v>1209</v>
      </c>
      <c r="C40" s="307">
        <f ca="1">ROUND(C39*(1-((1+F42)/(1+F40))^F41)/(F40-F42),0)</f>
        <v>655</v>
      </c>
      <c r="D40" s="330" t="s">
        <v>1193</v>
      </c>
      <c r="E40" s="308" t="s">
        <v>1194</v>
      </c>
      <c r="F40" s="318">
        <f ca="1">INDIRECT("'数据-取费表'!I"&amp;$G$1)</f>
        <v>0.05</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22.6</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3371</v>
      </c>
      <c r="D43" s="343" t="s">
        <v>1212</v>
      </c>
      <c r="E43" s="344" t="s">
        <v>1213</v>
      </c>
      <c r="F43" s="345">
        <f ca="1">INDIRECT("'数据-取费表'!k"&amp;$G$1)</f>
        <v>1943.05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-1644</v>
      </c>
      <c r="D46" s="1537" t="str">
        <f>C2</f>
        <v>万元</v>
      </c>
      <c r="E46" s="1531"/>
      <c r="F46" s="1531"/>
      <c r="I46" s="1538" t="s">
        <v>1245</v>
      </c>
      <c r="J46" s="1539"/>
      <c r="K46" s="1540"/>
      <c r="L46" s="1541">
        <f ca="1">IF(M47="住宅",0,IF(L48&gt;J51,L60,J60))</f>
        <v>68</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非住宅</v>
      </c>
      <c r="O47" s="1549" t="s">
        <v>827</v>
      </c>
      <c r="P47" s="1550" t="s">
        <v>1252</v>
      </c>
      <c r="Q47" s="1551">
        <f ca="1">C40+J29</f>
        <v>655</v>
      </c>
      <c r="R47" s="1551" t="s">
        <v>1253</v>
      </c>
    </row>
    <row r="48" spans="1:18" s="1515" customFormat="1" ht="28.5" thickBot="1">
      <c r="A48" s="1219" t="s">
        <v>863</v>
      </c>
      <c r="B48" s="306" t="s">
        <v>1125</v>
      </c>
      <c r="C48" s="3309">
        <f ca="1">C49+C53+C55</f>
        <v>0</v>
      </c>
      <c r="D48" s="1221"/>
      <c r="E48" s="1222"/>
      <c r="F48" s="1071"/>
      <c r="G48" s="728"/>
      <c r="H48" s="729"/>
      <c r="I48" s="1552" t="s">
        <v>1254</v>
      </c>
      <c r="J48" s="1553" t="s">
        <v>3660</v>
      </c>
      <c r="K48" s="1554" t="s">
        <v>1255</v>
      </c>
      <c r="L48" s="1555">
        <f ca="1">INDIRECT("'数据-取费表'!f"&amp;$G$1)</f>
        <v>22.6</v>
      </c>
      <c r="O48" s="1549" t="s">
        <v>828</v>
      </c>
      <c r="P48" s="1550" t="s">
        <v>1256</v>
      </c>
      <c r="Q48" s="1551">
        <f ca="1">J60</f>
        <v>68</v>
      </c>
      <c r="R48" s="1551" t="s">
        <v>1257</v>
      </c>
    </row>
    <row r="49" spans="1:18" s="1515" customFormat="1" ht="13.5" thickBot="1">
      <c r="A49" s="1084" t="s">
        <v>864</v>
      </c>
      <c r="B49" s="1502" t="s">
        <v>1214</v>
      </c>
      <c r="C49" s="1223">
        <f ca="1">ROUND(F49*F51*F50*(1-F52)/10000,0)</f>
        <v>0</v>
      </c>
      <c r="D49" s="1163" t="s">
        <v>2607</v>
      </c>
      <c r="E49" s="1503" t="s">
        <v>1215</v>
      </c>
      <c r="F49" s="1168"/>
      <c r="G49" s="1556"/>
      <c r="H49" s="729"/>
      <c r="I49" s="1552" t="s">
        <v>1258</v>
      </c>
      <c r="J49" s="3469">
        <f>'数据-取费表'!M23</f>
        <v>1999</v>
      </c>
      <c r="K49" s="1554" t="s">
        <v>1259</v>
      </c>
      <c r="L49" s="1558"/>
      <c r="O49" s="1559" t="s">
        <v>829</v>
      </c>
      <c r="P49" s="1550" t="s">
        <v>1260</v>
      </c>
      <c r="Q49" s="1551">
        <f ca="1">C29</f>
        <v>781</v>
      </c>
      <c r="R49" s="1551" t="s">
        <v>1253</v>
      </c>
    </row>
    <row r="50" spans="1:18" s="1515" customFormat="1" ht="13.5" thickBot="1">
      <c r="A50" s="1085"/>
      <c r="B50" s="1088"/>
      <c r="C50" s="1227"/>
      <c r="D50" s="1062"/>
      <c r="E50" s="1164" t="s">
        <v>1130</v>
      </c>
      <c r="F50" s="1165">
        <f ca="1">F7</f>
        <v>80</v>
      </c>
      <c r="H50" s="729"/>
      <c r="I50" s="1552" t="s">
        <v>1261</v>
      </c>
      <c r="J50" s="1560">
        <f>SUMPRODUCT((I63:I65=J47)*(J62:L62=J48)*(J63:L65))</f>
        <v>60</v>
      </c>
      <c r="K50" s="1554" t="s">
        <v>1262</v>
      </c>
      <c r="L50" s="1558"/>
      <c r="M50" s="1561"/>
      <c r="O50" s="1559" t="s">
        <v>830</v>
      </c>
      <c r="P50" s="1550" t="s">
        <v>1263</v>
      </c>
      <c r="Q50" s="1562">
        <f ca="1">J58</f>
        <v>0.4</v>
      </c>
      <c r="R50" s="1551"/>
    </row>
    <row r="51" spans="1:18" s="1515" customFormat="1" ht="13.5" thickBot="1">
      <c r="A51" s="1086"/>
      <c r="B51" s="1088"/>
      <c r="C51" s="1089"/>
      <c r="D51" s="1062"/>
      <c r="E51" s="1090" t="s">
        <v>1131</v>
      </c>
      <c r="F51" s="309">
        <f ca="1">F8</f>
        <v>12</v>
      </c>
      <c r="I51" s="1563" t="s">
        <v>1264</v>
      </c>
      <c r="J51" s="1564">
        <f>IF(J49="",J50,J49+J50-YEAR('数据-取费表'!B2))</f>
        <v>37</v>
      </c>
      <c r="K51" s="1565" t="s">
        <v>1265</v>
      </c>
      <c r="L51" s="1566">
        <f ca="1">ROUND(-PV(INDIRECT("'数据-取费表'!h"&amp;$G$1),J51,(C39-C13*C76),0),0)</f>
        <v>90</v>
      </c>
      <c r="M51" s="1567"/>
      <c r="O51" s="1559" t="s">
        <v>831</v>
      </c>
      <c r="P51" s="1550" t="s">
        <v>1266</v>
      </c>
      <c r="Q51" s="1562">
        <f>J52</f>
        <v>7.0000000000000007E-2</v>
      </c>
      <c r="R51" s="1551"/>
    </row>
    <row r="52" spans="1:18" s="1515" customFormat="1" ht="13.5" thickBot="1">
      <c r="A52" s="1086"/>
      <c r="B52" s="1088"/>
      <c r="C52" s="1089"/>
      <c r="D52" s="1062"/>
      <c r="E52" s="1090" t="s">
        <v>1132</v>
      </c>
      <c r="F52" s="1162"/>
      <c r="I52" s="1568" t="s">
        <v>1267</v>
      </c>
      <c r="J52" s="3476">
        <v>7.0000000000000007E-2</v>
      </c>
      <c r="K52" s="1568" t="s">
        <v>1268</v>
      </c>
      <c r="L52" s="1569"/>
      <c r="O52" s="1559" t="s">
        <v>832</v>
      </c>
      <c r="P52" s="1550" t="s">
        <v>1269</v>
      </c>
      <c r="Q52" s="1551">
        <f ca="1">J53</f>
        <v>22.6</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22.6</v>
      </c>
      <c r="K53" s="3721" t="s">
        <v>1272</v>
      </c>
      <c r="L53" s="3722"/>
      <c r="O53" s="1549" t="s">
        <v>833</v>
      </c>
      <c r="P53" s="1550" t="s">
        <v>1273</v>
      </c>
      <c r="Q53" s="1551">
        <f ca="1">Q47+Q48</f>
        <v>723</v>
      </c>
      <c r="R53" s="1551" t="s">
        <v>834</v>
      </c>
    </row>
    <row r="54" spans="1:18" s="1515" customFormat="1" ht="13.5" thickBot="1">
      <c r="A54" s="1264"/>
      <c r="B54" s="1498" t="s">
        <v>1112</v>
      </c>
      <c r="C54" s="1068"/>
      <c r="D54" s="1497"/>
      <c r="E54" s="3302"/>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302"/>
      <c r="F55" s="1571"/>
      <c r="I55" s="1574" t="s">
        <v>1275</v>
      </c>
      <c r="J55" s="1575">
        <f ca="1">ROUND(IF(J47="钢混",J57/J50,1-(1-2%)*(J50-J57)/J50),3)</f>
        <v>0.24</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586</v>
      </c>
      <c r="D56" s="1578"/>
      <c r="E56" s="1579"/>
      <c r="F56" s="1571"/>
      <c r="I56" s="1580" t="s">
        <v>1278</v>
      </c>
      <c r="J56" s="1581" t="s">
        <v>3661</v>
      </c>
      <c r="K56" s="1552" t="s">
        <v>1279</v>
      </c>
      <c r="L56" s="1555" t="str">
        <f ca="1">IF(L48&lt;J51,"——",L48-J53)</f>
        <v>——</v>
      </c>
      <c r="O56" s="1549" t="s">
        <v>827</v>
      </c>
      <c r="P56" s="1550" t="s">
        <v>1252</v>
      </c>
      <c r="Q56" s="1551">
        <f ca="1">C40+J29</f>
        <v>655</v>
      </c>
      <c r="R56" s="1551" t="s">
        <v>1253</v>
      </c>
    </row>
    <row r="57" spans="1:18" s="1515" customFormat="1" ht="24.75" thickBot="1">
      <c r="A57" s="1582"/>
      <c r="B57" s="1059" t="s">
        <v>1202</v>
      </c>
      <c r="C57" s="244">
        <f ca="1">C29</f>
        <v>781</v>
      </c>
      <c r="D57" s="1583"/>
      <c r="E57" s="1584"/>
      <c r="F57" s="1585"/>
      <c r="I57" s="1586" t="s">
        <v>1280</v>
      </c>
      <c r="J57" s="1587">
        <f ca="1">IF(OR(M47="住宅",J51&lt;L48,J56="是"),"——",J51-L48)</f>
        <v>14.399999999999999</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1" t="s">
        <v>817</v>
      </c>
      <c r="B58" s="1067" t="s">
        <v>1148</v>
      </c>
      <c r="C58" s="322">
        <f ca="1">ROUND(C59+C64+C65+C66,0)</f>
        <v>74</v>
      </c>
      <c r="D58" s="1069" t="s">
        <v>1149</v>
      </c>
      <c r="E58" s="1070"/>
      <c r="F58" s="1071"/>
      <c r="I58" s="1586" t="s">
        <v>1284</v>
      </c>
      <c r="J58" s="1588">
        <f ca="1">IF(J55&lt;0.4,0.4,J55)</f>
        <v>0.4</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66</v>
      </c>
      <c r="D59" s="1072" t="s">
        <v>1154</v>
      </c>
      <c r="E59" s="1073" t="s">
        <v>1155</v>
      </c>
      <c r="F59" s="2479" t="str">
        <f>IF(项目基本情况!B11="企业","——",IF('数据-取费表'!B10="住宅",IF(F49*F50*F51/12/(1+'数据-取费表'!F30)&gt;100000,4%,2.5%),IF(F49*F50*F51/12/(1+'数据-取费表'!F30)&gt;100000,12%,7%)))</f>
        <v>——</v>
      </c>
      <c r="I59" s="1586" t="s">
        <v>1287</v>
      </c>
      <c r="J59" s="1587">
        <f ca="1">IF(OR(M47="住宅",J51&lt;L48,J56="是"),"——",ROUND(C29*J58,0))</f>
        <v>312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f ca="1">IF(OR(M47="住宅",J51&lt;L48,J56="是"),"0",ROUND(J59/(1+J52)^J53,0))</f>
        <v>68</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65.599999999999994</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0.44</v>
      </c>
      <c r="D62" s="1074" t="s">
        <v>1221</v>
      </c>
      <c r="E62" s="1059" t="s">
        <v>1222</v>
      </c>
      <c r="F62" s="331">
        <f t="shared" si="0"/>
        <v>12</v>
      </c>
      <c r="I62" s="1593" t="s">
        <v>1294</v>
      </c>
      <c r="J62" s="1594" t="s">
        <v>1295</v>
      </c>
      <c r="K62" s="1594" t="s">
        <v>1296</v>
      </c>
      <c r="L62" s="1594" t="s">
        <v>1297</v>
      </c>
      <c r="M62" s="1595" t="s">
        <v>1298</v>
      </c>
      <c r="O62" s="1549" t="s">
        <v>833</v>
      </c>
      <c r="P62" s="1550" t="s">
        <v>1273</v>
      </c>
      <c r="Q62" s="1551">
        <f ca="1">Q56+Q57</f>
        <v>655</v>
      </c>
      <c r="R62" s="1551" t="s">
        <v>834</v>
      </c>
    </row>
    <row r="63" spans="1:18" s="1515" customFormat="1" ht="13.5" thickBot="1">
      <c r="A63" s="332"/>
      <c r="B63" s="1065"/>
      <c r="C63" s="29"/>
      <c r="D63" s="1075"/>
      <c r="E63" s="1059" t="s">
        <v>1223</v>
      </c>
      <c r="F63" s="309">
        <f t="shared" ca="1" si="0"/>
        <v>365.48</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4">
        <f ca="1">ROUND(C57*F64,1)</f>
        <v>7.8</v>
      </c>
      <c r="D64" s="1073" t="s">
        <v>1206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0.6</v>
      </c>
      <c r="D65" s="1073" t="s">
        <v>1178</v>
      </c>
      <c r="E65" s="1059" t="s">
        <v>1179</v>
      </c>
      <c r="F65" s="336">
        <f t="shared" ca="1" si="0"/>
        <v>1E-3</v>
      </c>
      <c r="I65" s="1593" t="s">
        <v>1303</v>
      </c>
      <c r="J65" s="1594">
        <v>40</v>
      </c>
      <c r="K65" s="1594">
        <v>30</v>
      </c>
      <c r="L65" s="1594">
        <v>50</v>
      </c>
      <c r="M65" s="1596">
        <v>0.02</v>
      </c>
      <c r="O65" s="1549" t="s">
        <v>827</v>
      </c>
      <c r="P65" s="1550" t="s">
        <v>1252</v>
      </c>
      <c r="Q65" s="1551">
        <f ca="1">C40+J29</f>
        <v>655</v>
      </c>
      <c r="R65" s="1551" t="s">
        <v>1253</v>
      </c>
    </row>
    <row r="66" spans="1:18" s="1515" customFormat="1" ht="16.5" thickBot="1">
      <c r="A66" s="1091" t="s">
        <v>1228</v>
      </c>
      <c r="B66" s="1059" t="s">
        <v>1163</v>
      </c>
      <c r="C66" s="24">
        <f ca="1">ROUND(C48*F66,1)</f>
        <v>0</v>
      </c>
      <c r="D66" s="1073" t="s">
        <v>1183</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-74</v>
      </c>
      <c r="D67" s="1072" t="s">
        <v>1188</v>
      </c>
      <c r="E67" s="1077"/>
      <c r="F67" s="1078"/>
      <c r="O67" s="1559" t="s">
        <v>829</v>
      </c>
      <c r="P67" s="1550" t="s">
        <v>1286</v>
      </c>
      <c r="Q67" s="1597">
        <f ca="1">L51</f>
        <v>90</v>
      </c>
      <c r="R67" s="1551" t="s">
        <v>1306</v>
      </c>
    </row>
    <row r="68" spans="1:18" s="1515" customFormat="1" ht="16.5" thickBot="1">
      <c r="A68" s="1056" t="s">
        <v>819</v>
      </c>
      <c r="B68" s="1057" t="s">
        <v>1209</v>
      </c>
      <c r="C68" s="307">
        <f ca="1">ROUND(C67*(1-((1+F70)/(1+F68))^F69)/(F68-F70),0)</f>
        <v>-989</v>
      </c>
      <c r="D68" s="1074" t="s">
        <v>1193</v>
      </c>
      <c r="E68" s="1059" t="s">
        <v>1194</v>
      </c>
      <c r="F68" s="318">
        <f ca="1">F40</f>
        <v>0.05</v>
      </c>
      <c r="O68" s="1559" t="s">
        <v>830</v>
      </c>
      <c r="P68" s="1598" t="s">
        <v>1307</v>
      </c>
      <c r="Q68" s="1551">
        <f ca="1">ROUND(Q69-Q70*Q71,0)</f>
        <v>5</v>
      </c>
      <c r="R68" s="1551" t="s">
        <v>838</v>
      </c>
    </row>
    <row r="69" spans="1:18" s="1515" customFormat="1" ht="13.5" thickBot="1">
      <c r="A69" s="1060"/>
      <c r="B69" s="1061"/>
      <c r="C69" s="312"/>
      <c r="D69" s="1079" t="s">
        <v>1197</v>
      </c>
      <c r="E69" s="1059" t="s">
        <v>1198</v>
      </c>
      <c r="F69" s="339">
        <f ca="1">F41</f>
        <v>22.6</v>
      </c>
      <c r="O69" s="1559" t="s">
        <v>835</v>
      </c>
      <c r="P69" s="1598" t="s">
        <v>1308</v>
      </c>
      <c r="Q69" s="1551">
        <f ca="1">C39</f>
        <v>49</v>
      </c>
      <c r="R69" s="1551" t="s">
        <v>1253</v>
      </c>
    </row>
    <row r="70" spans="1:18" s="1515" customFormat="1" ht="13.5" thickBot="1">
      <c r="A70" s="1063"/>
      <c r="B70" s="1064"/>
      <c r="C70" s="316"/>
      <c r="D70" s="1075"/>
      <c r="E70" s="1059" t="s">
        <v>1201</v>
      </c>
      <c r="F70" s="1162"/>
      <c r="O70" s="1559" t="s">
        <v>836</v>
      </c>
      <c r="P70" s="1598" t="s">
        <v>1309</v>
      </c>
      <c r="Q70" s="1551">
        <f ca="1">C13</f>
        <v>586</v>
      </c>
      <c r="R70" s="1551" t="s">
        <v>1253</v>
      </c>
    </row>
    <row r="71" spans="1:18" s="1515" customFormat="1" ht="13.5" thickBot="1">
      <c r="A71" s="1080" t="s">
        <v>820</v>
      </c>
      <c r="B71" s="1081" t="s">
        <v>1211</v>
      </c>
      <c r="C71" s="342">
        <f ca="1">ROUND(C68*10000/F71,0)</f>
        <v>-5090</v>
      </c>
      <c r="D71" s="1082" t="s">
        <v>1212</v>
      </c>
      <c r="E71" s="1083" t="s">
        <v>1213</v>
      </c>
      <c r="F71" s="345">
        <f ca="1">F43</f>
        <v>1943.05</v>
      </c>
      <c r="O71" s="1559" t="s">
        <v>837</v>
      </c>
      <c r="P71" s="1598" t="s">
        <v>1310</v>
      </c>
      <c r="Q71" s="1562">
        <f ca="1">C76</f>
        <v>7.4999999999999997E-2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44</v>
      </c>
      <c r="D75" s="1515"/>
      <c r="E75" s="1515"/>
      <c r="F75" s="1515"/>
      <c r="K75" s="1533"/>
      <c r="L75" s="1515"/>
      <c r="O75" s="1549" t="s">
        <v>833</v>
      </c>
      <c r="P75" s="1550" t="s">
        <v>1273</v>
      </c>
      <c r="Q75" s="1551">
        <f ca="1">Q65+Q66</f>
        <v>655</v>
      </c>
      <c r="R75" s="1551" t="s">
        <v>834</v>
      </c>
    </row>
    <row r="76" spans="1:18">
      <c r="B76" s="348" t="s">
        <v>1231</v>
      </c>
      <c r="C76" s="349">
        <f ca="1">INDIRECT("'数据-取费表'!j"&amp;$G$1)</f>
        <v>7.4999999999999997E-2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0.10199999999999998</v>
      </c>
    </row>
    <row r="80" spans="1:18">
      <c r="B80" s="346" t="s">
        <v>1235</v>
      </c>
      <c r="C80" s="280">
        <f ca="1">ROUND(C75/C39,3)</f>
        <v>0.89800000000000002</v>
      </c>
    </row>
    <row r="81" spans="2:3">
      <c r="B81" s="276" t="s">
        <v>1236</v>
      </c>
      <c r="C81" s="244"/>
    </row>
    <row r="82" spans="2:3">
      <c r="B82" s="279" t="s">
        <v>1237</v>
      </c>
      <c r="C82" s="281">
        <f ca="1">1-C83</f>
        <v>0.10499999999999998</v>
      </c>
    </row>
    <row r="83" spans="2:3">
      <c r="B83" s="279" t="s">
        <v>1238</v>
      </c>
      <c r="C83" s="280">
        <f ca="1">ROUND(C13/C40,3)</f>
        <v>0.89500000000000002</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44496</v>
      </c>
      <c r="C2" s="2" t="s">
        <v>133</v>
      </c>
      <c r="D2" s="205"/>
      <c r="E2" s="205"/>
      <c r="F2" s="205"/>
      <c r="G2" s="205"/>
    </row>
    <row r="3" spans="1:7" s="206" customFormat="1" ht="18" customHeight="1" thickBot="1">
      <c r="A3" s="209" t="s">
        <v>85</v>
      </c>
      <c r="B3" s="210">
        <f ca="1">ROUND(B2*10000/'数据-汇总表'!E3,0)</f>
        <v>13879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30117.4</v>
      </c>
      <c r="E9" s="231">
        <f>'数据-取费表'!B27</f>
        <v>0</v>
      </c>
      <c r="F9" s="227"/>
      <c r="G9" s="232"/>
    </row>
    <row r="10" spans="1:7" s="220" customFormat="1" ht="13.5" customHeight="1">
      <c r="A10" s="865" t="s">
        <v>620</v>
      </c>
      <c r="B10" s="230" t="s">
        <v>94</v>
      </c>
      <c r="C10" s="231">
        <f>ROUND(D10*E10/10000,0)</f>
        <v>39</v>
      </c>
      <c r="D10" s="932">
        <f>'数据-汇总表'!E6</f>
        <v>1943.0499999999993</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641</v>
      </c>
      <c r="D19" s="936">
        <f>'数据-汇总表'!E3</f>
        <v>32060.45</v>
      </c>
      <c r="E19" s="217">
        <f>'数据-取费表'!B31</f>
        <v>200</v>
      </c>
      <c r="F19" s="237"/>
      <c r="G19" s="1" t="s">
        <v>861</v>
      </c>
    </row>
    <row r="20" spans="1:7" s="220" customFormat="1" ht="13.5" customHeight="1">
      <c r="A20" s="863" t="s">
        <v>844</v>
      </c>
      <c r="B20" s="216" t="s">
        <v>104</v>
      </c>
      <c r="C20" s="238">
        <f>ROUND((C5+C19)*F20,0)</f>
        <v>425</v>
      </c>
      <c r="D20" s="238"/>
      <c r="E20" s="238"/>
      <c r="F20" s="239">
        <f>'数据-取费表'!B37</f>
        <v>0.02</v>
      </c>
      <c r="G20" s="1176"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3">
        <f ca="1">ROUND(SUM(C23:C25),0)</f>
        <v>1818</v>
      </c>
      <c r="D22" s="241">
        <f ca="1">C26</f>
        <v>8.0000000000000004E-4</v>
      </c>
      <c r="E22" s="242" t="s">
        <v>126</v>
      </c>
      <c r="F22" s="243">
        <f ca="1">'数据-取费表'!B40</f>
        <v>4.1499999999999995E-2</v>
      </c>
      <c r="G22" s="1176" t="str">
        <f>IF('数据-取费表'!B22&lt;=1,"单利计息","复利计息")</f>
        <v>复利计息</v>
      </c>
    </row>
    <row r="23" spans="1:7" s="220" customFormat="1" ht="13.5" customHeight="1">
      <c r="A23" s="866" t="s">
        <v>613</v>
      </c>
      <c r="B23" s="221" t="s">
        <v>848</v>
      </c>
      <c r="C23" s="1214">
        <f ca="1">ROUND(IF('数据-取费表'!B22&lt;=1,C5*F22*'数据-取费表'!B23,C5*(POWER((1+F22),'数据-取费表'!B23)-1)),0)</f>
        <v>1746</v>
      </c>
      <c r="D23" s="244"/>
      <c r="E23" s="244"/>
      <c r="F23" s="245"/>
      <c r="G23" s="246" t="s">
        <v>108</v>
      </c>
    </row>
    <row r="24" spans="1:7" s="220" customFormat="1" ht="13.5" customHeight="1">
      <c r="A24" s="866" t="s">
        <v>611</v>
      </c>
      <c r="B24" s="221" t="s">
        <v>843</v>
      </c>
      <c r="C24" s="1214">
        <f ca="1">ROUND(IF('数据-取费表'!B22&lt;=1,C19*F22*('数据-取费表'!B19/2+'数据-取费表'!B21),C19*(POWER((1+F22),('数据-取费表'!B19/2+'数据-取费表'!B21))-1)),0)</f>
        <v>54</v>
      </c>
      <c r="D24" s="244"/>
      <c r="E24" s="244"/>
      <c r="F24" s="245"/>
      <c r="G24" s="246" t="s">
        <v>109</v>
      </c>
    </row>
    <row r="25" spans="1:7" s="220" customFormat="1" ht="24">
      <c r="A25" s="866" t="s">
        <v>612</v>
      </c>
      <c r="B25" s="221" t="s">
        <v>845</v>
      </c>
      <c r="C25" s="1214">
        <f ca="1">ROUND(IF('数据-取费表'!B22&lt;=1,C20*F22*'数据-取费表'!B23/2,C20*(POWER((1+F22),'数据-取费表'!B23/2)-1)),0)</f>
        <v>18</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3035</v>
      </c>
      <c r="D27" s="241">
        <f>C29</f>
        <v>2.8E-3</v>
      </c>
      <c r="E27" s="242" t="s">
        <v>126</v>
      </c>
      <c r="F27" s="252">
        <f>'数据-取费表'!Q16</f>
        <v>0.14000000000000001</v>
      </c>
      <c r="G27" s="253" t="s">
        <v>856</v>
      </c>
    </row>
    <row r="28" spans="1:7" s="220" customFormat="1" ht="13.5" customHeight="1">
      <c r="A28" s="866" t="s">
        <v>613</v>
      </c>
      <c r="B28" s="254" t="s">
        <v>849</v>
      </c>
      <c r="C28" s="255">
        <f>ROUND((C5+C19+C20)*F27*'数据-取费表'!B21/'数据-取费表'!B20,0)</f>
        <v>3035</v>
      </c>
      <c r="D28" s="241"/>
      <c r="E28" s="242"/>
      <c r="F28" s="252"/>
      <c r="G28" s="253"/>
    </row>
    <row r="29" spans="1:7" s="220" customFormat="1" ht="13.5" customHeight="1">
      <c r="A29" s="866" t="s">
        <v>611</v>
      </c>
      <c r="B29" s="254" t="s">
        <v>850</v>
      </c>
      <c r="C29" s="244">
        <f>ROUND(C21*F27*'数据-取费表'!B21/'数据-取费表'!B20,4)</f>
        <v>2.8E-3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28740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16091</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14136</v>
      </c>
      <c r="D34" s="223"/>
      <c r="E34" s="226"/>
      <c r="F34" s="263">
        <f>IF('数据-取费表'!B24=0,1,'数据-取费表'!N16)</f>
        <v>1</v>
      </c>
      <c r="G34" s="225" t="s">
        <v>116</v>
      </c>
    </row>
    <row r="35" spans="1:7" ht="13.5" customHeight="1">
      <c r="A35" s="866" t="s">
        <v>615</v>
      </c>
      <c r="B35" s="221" t="s">
        <v>60</v>
      </c>
      <c r="C35" s="226">
        <f>ROUND(C34*F35,0)</f>
        <v>424</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678</v>
      </c>
      <c r="D36" s="226"/>
      <c r="E36" s="226"/>
      <c r="F36" s="265">
        <f>'数据-取费表'!B34</f>
        <v>0.05</v>
      </c>
      <c r="G36" s="266" t="s">
        <v>62</v>
      </c>
    </row>
    <row r="37" spans="1:7" s="264" customFormat="1" ht="13.5" customHeight="1">
      <c r="A37" s="866" t="s">
        <v>617</v>
      </c>
      <c r="B37" s="221" t="s">
        <v>118</v>
      </c>
      <c r="C37" s="255">
        <f>ROUND(E37*D37*F34/10000,0)</f>
        <v>641</v>
      </c>
      <c r="D37" s="223">
        <f>'数据-汇总表'!E3</f>
        <v>32060.45</v>
      </c>
      <c r="E37" s="255">
        <f>'数据-取费表'!B35</f>
        <v>200</v>
      </c>
      <c r="F37" s="265"/>
      <c r="G37" s="267" t="s">
        <v>119</v>
      </c>
    </row>
    <row r="38" spans="1:7" ht="13.5" customHeight="1">
      <c r="A38" s="866" t="s">
        <v>618</v>
      </c>
      <c r="B38" s="221" t="s">
        <v>63</v>
      </c>
      <c r="C38" s="226">
        <f>ROUND(C34*F38,0)</f>
        <v>212</v>
      </c>
      <c r="D38" s="226"/>
      <c r="E38" s="226"/>
      <c r="F38" s="265">
        <f>'数据-取费表'!B36</f>
        <v>1.4999999999999999E-2</v>
      </c>
      <c r="G38" s="225" t="s">
        <v>117</v>
      </c>
    </row>
    <row r="39" spans="1:7" s="220" customFormat="1" ht="13.5" customHeight="1">
      <c r="A39" s="863" t="s">
        <v>602</v>
      </c>
      <c r="B39" s="216" t="s">
        <v>104</v>
      </c>
      <c r="C39" s="238">
        <f>ROUND(C33*F20,0)</f>
        <v>322</v>
      </c>
      <c r="D39" s="238"/>
      <c r="E39" s="238"/>
      <c r="F39" s="239"/>
      <c r="G39" s="1176"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681</v>
      </c>
      <c r="D41" s="241">
        <f ca="1">C44</f>
        <v>8.0000000000000004E-4</v>
      </c>
      <c r="E41" s="242" t="s">
        <v>129</v>
      </c>
      <c r="F41" s="243"/>
      <c r="G41" s="1176" t="str">
        <f>IF('数据-取费表'!B22&lt;=1,"单利计息","复利计息")</f>
        <v>复利计息</v>
      </c>
    </row>
    <row r="42" spans="1:7" ht="13.5" customHeight="1">
      <c r="A42" s="866" t="s">
        <v>613</v>
      </c>
      <c r="B42" s="221" t="s">
        <v>848</v>
      </c>
      <c r="C42" s="244">
        <f ca="1">ROUND(IF('数据-取费表'!B22&lt;=1,C33*F22*'数据-取费表'!B21/2,C33*(POWER((1+F22),'数据-取费表'!B21/2)-1)),0)</f>
        <v>668</v>
      </c>
      <c r="D42" s="244"/>
      <c r="E42" s="244"/>
      <c r="F42" s="245"/>
      <c r="G42" s="3666" t="s">
        <v>121</v>
      </c>
    </row>
    <row r="43" spans="1:7" ht="13.5" customHeight="1">
      <c r="A43" s="866" t="s">
        <v>611</v>
      </c>
      <c r="B43" s="221" t="s">
        <v>851</v>
      </c>
      <c r="C43" s="244">
        <f ca="1">ROUND(IF('数据-取费表'!B22&lt;=1,C39*F22*'数据-取费表'!B21/2,C39*(POWER((1+F22),'数据-取费表'!B21/2)-1)),0)</f>
        <v>13</v>
      </c>
      <c r="D43" s="244"/>
      <c r="E43" s="244"/>
      <c r="F43" s="245"/>
      <c r="G43" s="3667"/>
    </row>
    <row r="44" spans="1:7" ht="13.5" customHeight="1">
      <c r="A44" s="866" t="s">
        <v>612</v>
      </c>
      <c r="B44" s="221" t="s">
        <v>853</v>
      </c>
      <c r="C44" s="244">
        <f ca="1">ROUND(IF('数据-取费表'!B22&lt;=1,C40*F22*'数据-取费表'!B21/2,C40*(POWER((1+F22),'数据-取费表'!B21/2)-1)),4)</f>
        <v>8.0000000000000004E-4</v>
      </c>
      <c r="D44" s="244"/>
      <c r="E44" s="244"/>
      <c r="F44" s="245"/>
      <c r="G44" s="3668"/>
    </row>
    <row r="45" spans="1:7" s="220" customFormat="1" ht="13.5" customHeight="1">
      <c r="A45" s="863" t="s">
        <v>605</v>
      </c>
      <c r="B45" s="250" t="s">
        <v>112</v>
      </c>
      <c r="C45" s="251">
        <f>C46</f>
        <v>2298</v>
      </c>
      <c r="D45" s="241">
        <f>C47</f>
        <v>2.8E-3</v>
      </c>
      <c r="E45" s="242" t="s">
        <v>129</v>
      </c>
      <c r="F45" s="252"/>
      <c r="G45" s="253" t="s">
        <v>859</v>
      </c>
    </row>
    <row r="46" spans="1:7" s="220" customFormat="1" ht="13.5" customHeight="1">
      <c r="A46" s="866" t="s">
        <v>613</v>
      </c>
      <c r="B46" s="254" t="s">
        <v>852</v>
      </c>
      <c r="C46" s="255">
        <f>ROUND((C33+C39)*F27,0)</f>
        <v>2298</v>
      </c>
      <c r="D46" s="269"/>
      <c r="E46" s="242"/>
      <c r="F46" s="252"/>
      <c r="G46" s="253"/>
    </row>
    <row r="47" spans="1:7" s="220" customFormat="1" ht="13.5" customHeight="1">
      <c r="A47" s="866" t="s">
        <v>611</v>
      </c>
      <c r="B47" s="254" t="s">
        <v>854</v>
      </c>
      <c r="C47" s="244">
        <f>ROUND(C40*F27,4)</f>
        <v>2.8E-3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21008</v>
      </c>
      <c r="D49" s="238"/>
      <c r="E49" s="238"/>
      <c r="F49" s="270"/>
      <c r="G49" s="240" t="s">
        <v>860</v>
      </c>
    </row>
    <row r="50" spans="1:7" s="264" customFormat="1" ht="24">
      <c r="A50" s="863" t="s">
        <v>608</v>
      </c>
      <c r="B50" s="216" t="s">
        <v>124</v>
      </c>
      <c r="C50" s="238"/>
      <c r="D50" s="238"/>
      <c r="E50" s="238"/>
      <c r="F50" s="270">
        <f>IF('数据-取费表'!B24=0,'数据-取费表'!N16,1)</f>
        <v>0.75</v>
      </c>
      <c r="G50" s="253" t="s">
        <v>125</v>
      </c>
    </row>
    <row r="51" spans="1:7" ht="16.5" customHeight="1">
      <c r="A51" s="863" t="s">
        <v>609</v>
      </c>
      <c r="B51" s="216" t="s">
        <v>132</v>
      </c>
      <c r="C51" s="238">
        <f ca="1">ROUND(C49*F50,0)</f>
        <v>15756</v>
      </c>
      <c r="D51" s="238"/>
      <c r="E51" s="238"/>
      <c r="F51" s="270"/>
      <c r="G51" s="240" t="s">
        <v>64</v>
      </c>
    </row>
    <row r="52" spans="1:7" s="214" customFormat="1" ht="16.5" thickBot="1">
      <c r="A52" s="271" t="s">
        <v>65</v>
      </c>
      <c r="B52" s="272"/>
      <c r="C52" s="273">
        <f ca="1">C31+C51</f>
        <v>44496</v>
      </c>
      <c r="D52" s="272"/>
      <c r="E52" s="272"/>
      <c r="F52" s="272"/>
      <c r="G52" s="274"/>
    </row>
    <row r="55" spans="1:7" ht="15">
      <c r="B55" s="276" t="s">
        <v>66</v>
      </c>
      <c r="C55" s="277"/>
    </row>
    <row r="56" spans="1:7">
      <c r="B56" s="279" t="s">
        <v>67</v>
      </c>
      <c r="C56" s="280">
        <f ca="1">ROUND(C51/C52,3)</f>
        <v>0.35399999999999998</v>
      </c>
    </row>
    <row r="57" spans="1:7">
      <c r="B57" s="279" t="s">
        <v>68</v>
      </c>
      <c r="C57" s="281">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822" t="s">
        <v>156</v>
      </c>
      <c r="B1" s="3822"/>
      <c r="C1" s="3822"/>
      <c r="D1" s="3822"/>
      <c r="E1" s="3822"/>
      <c r="F1" s="382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823" t="s">
        <v>169</v>
      </c>
      <c r="B2" s="3823"/>
      <c r="C2" s="3823"/>
      <c r="D2" s="3823"/>
      <c r="E2" s="3823"/>
      <c r="F2" s="382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24"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825"/>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822" t="s">
        <v>658</v>
      </c>
      <c r="B1" s="3822"/>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44901</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7">
        <v>44795</v>
      </c>
      <c r="D13" s="2998">
        <v>3.65</v>
      </c>
      <c r="E13" s="2998">
        <f>D13</f>
        <v>3.65</v>
      </c>
      <c r="F13" s="2998">
        <f>D13</f>
        <v>3.65</v>
      </c>
      <c r="G13" s="2998">
        <f>D13</f>
        <v>3.65</v>
      </c>
      <c r="H13" s="2998">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2"/>
      <c r="C14" s="2994">
        <v>44701</v>
      </c>
      <c r="D14" s="2993">
        <v>3.7</v>
      </c>
      <c r="E14" s="2993">
        <v>3.7</v>
      </c>
      <c r="F14" s="2993">
        <v>3.7</v>
      </c>
      <c r="G14" s="2993">
        <v>3.7</v>
      </c>
      <c r="H14" s="2993">
        <v>4.45</v>
      </c>
      <c r="I14" s="2998"/>
      <c r="J14" s="2998"/>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2"/>
      <c r="C15" s="2994">
        <v>44581</v>
      </c>
      <c r="D15" s="2993">
        <v>3.7</v>
      </c>
      <c r="E15" s="2993">
        <f>D15</f>
        <v>3.7</v>
      </c>
      <c r="F15" s="2993">
        <f>D15</f>
        <v>3.7</v>
      </c>
      <c r="G15" s="2993">
        <f>D15</f>
        <v>3.7</v>
      </c>
      <c r="H15" s="2993">
        <v>4.5999999999999996</v>
      </c>
      <c r="I15" s="2998"/>
      <c r="J15" s="2998"/>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3"/>
      <c r="C16" s="2994">
        <v>44550</v>
      </c>
      <c r="D16" s="2993">
        <v>3.8</v>
      </c>
      <c r="E16" s="2993">
        <f>D16</f>
        <v>3.8</v>
      </c>
      <c r="F16" s="2993">
        <f>D16</f>
        <v>3.8</v>
      </c>
      <c r="G16" s="2993">
        <f>D16</f>
        <v>3.8</v>
      </c>
      <c r="H16" s="2993">
        <v>4.6500000000000004</v>
      </c>
      <c r="I16" s="2993"/>
      <c r="J16" s="2998"/>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3"/>
      <c r="C17" s="2994">
        <v>43941</v>
      </c>
      <c r="D17" s="2993">
        <v>3.85</v>
      </c>
      <c r="E17" s="2993">
        <v>3.85</v>
      </c>
      <c r="F17" s="2993">
        <v>3.85</v>
      </c>
      <c r="G17" s="2993">
        <v>3.85</v>
      </c>
      <c r="H17" s="2993">
        <v>4.6500000000000004</v>
      </c>
      <c r="I17" s="2993"/>
      <c r="J17" s="2993"/>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1"/>
      <c r="B19" s="2993"/>
      <c r="C19" s="2994">
        <v>43789</v>
      </c>
      <c r="D19" s="2993">
        <v>4.1500000000000004</v>
      </c>
      <c r="E19" s="2993">
        <v>4.1500000000000004</v>
      </c>
      <c r="F19" s="2993">
        <v>4.1500000000000004</v>
      </c>
      <c r="G19" s="2993">
        <v>4.1500000000000004</v>
      </c>
      <c r="H19" s="2993">
        <v>4.8</v>
      </c>
      <c r="I19" s="2993"/>
      <c r="J19" s="2993"/>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3"/>
      <c r="C20" s="2994">
        <v>43728</v>
      </c>
      <c r="D20" s="2993">
        <v>4.2</v>
      </c>
      <c r="E20" s="2993">
        <v>4.2</v>
      </c>
      <c r="F20" s="2993">
        <v>4.2</v>
      </c>
      <c r="G20" s="2993">
        <v>4.2</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2" t="s">
        <v>2814</v>
      </c>
      <c r="C21" s="2995">
        <v>43697</v>
      </c>
      <c r="D21" s="2996">
        <v>4.25</v>
      </c>
      <c r="E21" s="2996">
        <v>4.25</v>
      </c>
      <c r="F21" s="2996">
        <v>4.25</v>
      </c>
      <c r="G21" s="2996">
        <v>4.25</v>
      </c>
      <c r="H21" s="2996">
        <v>4.8499999999999996</v>
      </c>
      <c r="I21" s="2996"/>
      <c r="J21" s="2996"/>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2999"/>
      <c r="B22" s="3000"/>
      <c r="C22" s="3001">
        <v>42301</v>
      </c>
      <c r="D22" s="3002">
        <v>4.3499999999999996</v>
      </c>
      <c r="E22" s="3002">
        <v>4.3499999999999996</v>
      </c>
      <c r="F22" s="3002">
        <v>4.75</v>
      </c>
      <c r="G22" s="3002">
        <v>4.75</v>
      </c>
      <c r="H22" s="3002">
        <v>4.9000000000000004</v>
      </c>
      <c r="I22" s="3002"/>
      <c r="J22" s="3002"/>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1"/>
  <sheetViews>
    <sheetView workbookViewId="0">
      <pane ySplit="7" topLeftCell="A200" activePane="bottomLeft" state="frozen"/>
      <selection pane="bottomLeft" activeCell="B201" sqref="B114:B201"/>
    </sheetView>
  </sheetViews>
  <sheetFormatPr defaultColWidth="9.125" defaultRowHeight="12"/>
  <cols>
    <col min="1" max="1" width="5.625" style="3250" customWidth="1"/>
    <col min="2" max="2" width="5.25" style="3250" customWidth="1"/>
    <col min="3" max="3" width="14.25" style="3250" customWidth="1"/>
    <col min="4" max="4" width="8.375" style="3250" customWidth="1"/>
    <col min="5" max="5" width="6.75" style="3250" customWidth="1"/>
    <col min="6" max="6" width="6.875" style="3250" customWidth="1"/>
    <col min="7" max="7" width="9.125" style="3250" customWidth="1"/>
    <col min="8" max="8" width="8.5" style="3250" customWidth="1"/>
    <col min="9" max="9" width="8.875" style="3250" customWidth="1"/>
    <col min="10" max="11" width="10.625" style="3250" customWidth="1"/>
    <col min="12" max="12" width="37.5" style="3250" customWidth="1"/>
    <col min="13" max="256" width="9.125" style="3250"/>
    <col min="257" max="257" width="5.625" style="3250" customWidth="1"/>
    <col min="258" max="258" width="5.25" style="3250" customWidth="1"/>
    <col min="259" max="259" width="8" style="3250" customWidth="1"/>
    <col min="260" max="260" width="8.375" style="3250" customWidth="1"/>
    <col min="261" max="261" width="6.75" style="3250" customWidth="1"/>
    <col min="262" max="262" width="6.875" style="3250" customWidth="1"/>
    <col min="263" max="263" width="9.125" style="3250" customWidth="1"/>
    <col min="264" max="264" width="8.5" style="3250" customWidth="1"/>
    <col min="265" max="265" width="8.875" style="3250" customWidth="1"/>
    <col min="266" max="267" width="10.625" style="3250" customWidth="1"/>
    <col min="268" max="268" width="37.5" style="3250" customWidth="1"/>
    <col min="269" max="512" width="9.125" style="3250"/>
    <col min="513" max="513" width="5.625" style="3250" customWidth="1"/>
    <col min="514" max="514" width="5.25" style="3250" customWidth="1"/>
    <col min="515" max="515" width="8" style="3250" customWidth="1"/>
    <col min="516" max="516" width="8.375" style="3250" customWidth="1"/>
    <col min="517" max="517" width="6.75" style="3250" customWidth="1"/>
    <col min="518" max="518" width="6.875" style="3250" customWidth="1"/>
    <col min="519" max="519" width="9.125" style="3250" customWidth="1"/>
    <col min="520" max="520" width="8.5" style="3250" customWidth="1"/>
    <col min="521" max="521" width="8.875" style="3250" customWidth="1"/>
    <col min="522" max="523" width="10.625" style="3250" customWidth="1"/>
    <col min="524" max="524" width="37.5" style="3250" customWidth="1"/>
    <col min="525" max="768" width="9.125" style="3250"/>
    <col min="769" max="769" width="5.625" style="3250" customWidth="1"/>
    <col min="770" max="770" width="5.25" style="3250" customWidth="1"/>
    <col min="771" max="771" width="8" style="3250" customWidth="1"/>
    <col min="772" max="772" width="8.375" style="3250" customWidth="1"/>
    <col min="773" max="773" width="6.75" style="3250" customWidth="1"/>
    <col min="774" max="774" width="6.875" style="3250" customWidth="1"/>
    <col min="775" max="775" width="9.125" style="3250" customWidth="1"/>
    <col min="776" max="776" width="8.5" style="3250" customWidth="1"/>
    <col min="777" max="777" width="8.875" style="3250" customWidth="1"/>
    <col min="778" max="779" width="10.625" style="3250" customWidth="1"/>
    <col min="780" max="780" width="37.5" style="3250" customWidth="1"/>
    <col min="781" max="1024" width="9.125" style="3250"/>
    <col min="1025" max="1025" width="5.625" style="3250" customWidth="1"/>
    <col min="1026" max="1026" width="5.25" style="3250" customWidth="1"/>
    <col min="1027" max="1027" width="8" style="3250" customWidth="1"/>
    <col min="1028" max="1028" width="8.375" style="3250" customWidth="1"/>
    <col min="1029" max="1029" width="6.75" style="3250" customWidth="1"/>
    <col min="1030" max="1030" width="6.875" style="3250" customWidth="1"/>
    <col min="1031" max="1031" width="9.125" style="3250" customWidth="1"/>
    <col min="1032" max="1032" width="8.5" style="3250" customWidth="1"/>
    <col min="1033" max="1033" width="8.875" style="3250" customWidth="1"/>
    <col min="1034" max="1035" width="10.625" style="3250" customWidth="1"/>
    <col min="1036" max="1036" width="37.5" style="3250" customWidth="1"/>
    <col min="1037" max="1280" width="9.125" style="3250"/>
    <col min="1281" max="1281" width="5.625" style="3250" customWidth="1"/>
    <col min="1282" max="1282" width="5.25" style="3250" customWidth="1"/>
    <col min="1283" max="1283" width="8" style="3250" customWidth="1"/>
    <col min="1284" max="1284" width="8.375" style="3250" customWidth="1"/>
    <col min="1285" max="1285" width="6.75" style="3250" customWidth="1"/>
    <col min="1286" max="1286" width="6.875" style="3250" customWidth="1"/>
    <col min="1287" max="1287" width="9.125" style="3250" customWidth="1"/>
    <col min="1288" max="1288" width="8.5" style="3250" customWidth="1"/>
    <col min="1289" max="1289" width="8.875" style="3250" customWidth="1"/>
    <col min="1290" max="1291" width="10.625" style="3250" customWidth="1"/>
    <col min="1292" max="1292" width="37.5" style="3250" customWidth="1"/>
    <col min="1293" max="1536" width="9.125" style="3250"/>
    <col min="1537" max="1537" width="5.625" style="3250" customWidth="1"/>
    <col min="1538" max="1538" width="5.25" style="3250" customWidth="1"/>
    <col min="1539" max="1539" width="8" style="3250" customWidth="1"/>
    <col min="1540" max="1540" width="8.375" style="3250" customWidth="1"/>
    <col min="1541" max="1541" width="6.75" style="3250" customWidth="1"/>
    <col min="1542" max="1542" width="6.875" style="3250" customWidth="1"/>
    <col min="1543" max="1543" width="9.125" style="3250" customWidth="1"/>
    <col min="1544" max="1544" width="8.5" style="3250" customWidth="1"/>
    <col min="1545" max="1545" width="8.875" style="3250" customWidth="1"/>
    <col min="1546" max="1547" width="10.625" style="3250" customWidth="1"/>
    <col min="1548" max="1548" width="37.5" style="3250" customWidth="1"/>
    <col min="1549" max="1792" width="9.125" style="3250"/>
    <col min="1793" max="1793" width="5.625" style="3250" customWidth="1"/>
    <col min="1794" max="1794" width="5.25" style="3250" customWidth="1"/>
    <col min="1795" max="1795" width="8" style="3250" customWidth="1"/>
    <col min="1796" max="1796" width="8.375" style="3250" customWidth="1"/>
    <col min="1797" max="1797" width="6.75" style="3250" customWidth="1"/>
    <col min="1798" max="1798" width="6.875" style="3250" customWidth="1"/>
    <col min="1799" max="1799" width="9.125" style="3250" customWidth="1"/>
    <col min="1800" max="1800" width="8.5" style="3250" customWidth="1"/>
    <col min="1801" max="1801" width="8.875" style="3250" customWidth="1"/>
    <col min="1802" max="1803" width="10.625" style="3250" customWidth="1"/>
    <col min="1804" max="1804" width="37.5" style="3250" customWidth="1"/>
    <col min="1805" max="2048" width="9.125" style="3250"/>
    <col min="2049" max="2049" width="5.625" style="3250" customWidth="1"/>
    <col min="2050" max="2050" width="5.25" style="3250" customWidth="1"/>
    <col min="2051" max="2051" width="8" style="3250" customWidth="1"/>
    <col min="2052" max="2052" width="8.375" style="3250" customWidth="1"/>
    <col min="2053" max="2053" width="6.75" style="3250" customWidth="1"/>
    <col min="2054" max="2054" width="6.875" style="3250" customWidth="1"/>
    <col min="2055" max="2055" width="9.125" style="3250" customWidth="1"/>
    <col min="2056" max="2056" width="8.5" style="3250" customWidth="1"/>
    <col min="2057" max="2057" width="8.875" style="3250" customWidth="1"/>
    <col min="2058" max="2059" width="10.625" style="3250" customWidth="1"/>
    <col min="2060" max="2060" width="37.5" style="3250" customWidth="1"/>
    <col min="2061" max="2304" width="9.125" style="3250"/>
    <col min="2305" max="2305" width="5.625" style="3250" customWidth="1"/>
    <col min="2306" max="2306" width="5.25" style="3250" customWidth="1"/>
    <col min="2307" max="2307" width="8" style="3250" customWidth="1"/>
    <col min="2308" max="2308" width="8.375" style="3250" customWidth="1"/>
    <col min="2309" max="2309" width="6.75" style="3250" customWidth="1"/>
    <col min="2310" max="2310" width="6.875" style="3250" customWidth="1"/>
    <col min="2311" max="2311" width="9.125" style="3250" customWidth="1"/>
    <col min="2312" max="2312" width="8.5" style="3250" customWidth="1"/>
    <col min="2313" max="2313" width="8.875" style="3250" customWidth="1"/>
    <col min="2314" max="2315" width="10.625" style="3250" customWidth="1"/>
    <col min="2316" max="2316" width="37.5" style="3250" customWidth="1"/>
    <col min="2317" max="2560" width="9.125" style="3250"/>
    <col min="2561" max="2561" width="5.625" style="3250" customWidth="1"/>
    <col min="2562" max="2562" width="5.25" style="3250" customWidth="1"/>
    <col min="2563" max="2563" width="8" style="3250" customWidth="1"/>
    <col min="2564" max="2564" width="8.375" style="3250" customWidth="1"/>
    <col min="2565" max="2565" width="6.75" style="3250" customWidth="1"/>
    <col min="2566" max="2566" width="6.875" style="3250" customWidth="1"/>
    <col min="2567" max="2567" width="9.125" style="3250" customWidth="1"/>
    <col min="2568" max="2568" width="8.5" style="3250" customWidth="1"/>
    <col min="2569" max="2569" width="8.875" style="3250" customWidth="1"/>
    <col min="2570" max="2571" width="10.625" style="3250" customWidth="1"/>
    <col min="2572" max="2572" width="37.5" style="3250" customWidth="1"/>
    <col min="2573" max="2816" width="9.125" style="3250"/>
    <col min="2817" max="2817" width="5.625" style="3250" customWidth="1"/>
    <col min="2818" max="2818" width="5.25" style="3250" customWidth="1"/>
    <col min="2819" max="2819" width="8" style="3250" customWidth="1"/>
    <col min="2820" max="2820" width="8.375" style="3250" customWidth="1"/>
    <col min="2821" max="2821" width="6.75" style="3250" customWidth="1"/>
    <col min="2822" max="2822" width="6.875" style="3250" customWidth="1"/>
    <col min="2823" max="2823" width="9.125" style="3250" customWidth="1"/>
    <col min="2824" max="2824" width="8.5" style="3250" customWidth="1"/>
    <col min="2825" max="2825" width="8.875" style="3250" customWidth="1"/>
    <col min="2826" max="2827" width="10.625" style="3250" customWidth="1"/>
    <col min="2828" max="2828" width="37.5" style="3250" customWidth="1"/>
    <col min="2829" max="3072" width="9.125" style="3250"/>
    <col min="3073" max="3073" width="5.625" style="3250" customWidth="1"/>
    <col min="3074" max="3074" width="5.25" style="3250" customWidth="1"/>
    <col min="3075" max="3075" width="8" style="3250" customWidth="1"/>
    <col min="3076" max="3076" width="8.375" style="3250" customWidth="1"/>
    <col min="3077" max="3077" width="6.75" style="3250" customWidth="1"/>
    <col min="3078" max="3078" width="6.875" style="3250" customWidth="1"/>
    <col min="3079" max="3079" width="9.125" style="3250" customWidth="1"/>
    <col min="3080" max="3080" width="8.5" style="3250" customWidth="1"/>
    <col min="3081" max="3081" width="8.875" style="3250" customWidth="1"/>
    <col min="3082" max="3083" width="10.625" style="3250" customWidth="1"/>
    <col min="3084" max="3084" width="37.5" style="3250" customWidth="1"/>
    <col min="3085" max="3328" width="9.125" style="3250"/>
    <col min="3329" max="3329" width="5.625" style="3250" customWidth="1"/>
    <col min="3330" max="3330" width="5.25" style="3250" customWidth="1"/>
    <col min="3331" max="3331" width="8" style="3250" customWidth="1"/>
    <col min="3332" max="3332" width="8.375" style="3250" customWidth="1"/>
    <col min="3333" max="3333" width="6.75" style="3250" customWidth="1"/>
    <col min="3334" max="3334" width="6.875" style="3250" customWidth="1"/>
    <col min="3335" max="3335" width="9.125" style="3250" customWidth="1"/>
    <col min="3336" max="3336" width="8.5" style="3250" customWidth="1"/>
    <col min="3337" max="3337" width="8.875" style="3250" customWidth="1"/>
    <col min="3338" max="3339" width="10.625" style="3250" customWidth="1"/>
    <col min="3340" max="3340" width="37.5" style="3250" customWidth="1"/>
    <col min="3341" max="3584" width="9.125" style="3250"/>
    <col min="3585" max="3585" width="5.625" style="3250" customWidth="1"/>
    <col min="3586" max="3586" width="5.25" style="3250" customWidth="1"/>
    <col min="3587" max="3587" width="8" style="3250" customWidth="1"/>
    <col min="3588" max="3588" width="8.375" style="3250" customWidth="1"/>
    <col min="3589" max="3589" width="6.75" style="3250" customWidth="1"/>
    <col min="3590" max="3590" width="6.875" style="3250" customWidth="1"/>
    <col min="3591" max="3591" width="9.125" style="3250" customWidth="1"/>
    <col min="3592" max="3592" width="8.5" style="3250" customWidth="1"/>
    <col min="3593" max="3593" width="8.875" style="3250" customWidth="1"/>
    <col min="3594" max="3595" width="10.625" style="3250" customWidth="1"/>
    <col min="3596" max="3596" width="37.5" style="3250" customWidth="1"/>
    <col min="3597" max="3840" width="9.125" style="3250"/>
    <col min="3841" max="3841" width="5.625" style="3250" customWidth="1"/>
    <col min="3842" max="3842" width="5.25" style="3250" customWidth="1"/>
    <col min="3843" max="3843" width="8" style="3250" customWidth="1"/>
    <col min="3844" max="3844" width="8.375" style="3250" customWidth="1"/>
    <col min="3845" max="3845" width="6.75" style="3250" customWidth="1"/>
    <col min="3846" max="3846" width="6.875" style="3250" customWidth="1"/>
    <col min="3847" max="3847" width="9.125" style="3250" customWidth="1"/>
    <col min="3848" max="3848" width="8.5" style="3250" customWidth="1"/>
    <col min="3849" max="3849" width="8.875" style="3250" customWidth="1"/>
    <col min="3850" max="3851" width="10.625" style="3250" customWidth="1"/>
    <col min="3852" max="3852" width="37.5" style="3250" customWidth="1"/>
    <col min="3853" max="4096" width="9.125" style="3250"/>
    <col min="4097" max="4097" width="5.625" style="3250" customWidth="1"/>
    <col min="4098" max="4098" width="5.25" style="3250" customWidth="1"/>
    <col min="4099" max="4099" width="8" style="3250" customWidth="1"/>
    <col min="4100" max="4100" width="8.375" style="3250" customWidth="1"/>
    <col min="4101" max="4101" width="6.75" style="3250" customWidth="1"/>
    <col min="4102" max="4102" width="6.875" style="3250" customWidth="1"/>
    <col min="4103" max="4103" width="9.125" style="3250" customWidth="1"/>
    <col min="4104" max="4104" width="8.5" style="3250" customWidth="1"/>
    <col min="4105" max="4105" width="8.875" style="3250" customWidth="1"/>
    <col min="4106" max="4107" width="10.625" style="3250" customWidth="1"/>
    <col min="4108" max="4108" width="37.5" style="3250" customWidth="1"/>
    <col min="4109" max="4352" width="9.125" style="3250"/>
    <col min="4353" max="4353" width="5.625" style="3250" customWidth="1"/>
    <col min="4354" max="4354" width="5.25" style="3250" customWidth="1"/>
    <col min="4355" max="4355" width="8" style="3250" customWidth="1"/>
    <col min="4356" max="4356" width="8.375" style="3250" customWidth="1"/>
    <col min="4357" max="4357" width="6.75" style="3250" customWidth="1"/>
    <col min="4358" max="4358" width="6.875" style="3250" customWidth="1"/>
    <col min="4359" max="4359" width="9.125" style="3250" customWidth="1"/>
    <col min="4360" max="4360" width="8.5" style="3250" customWidth="1"/>
    <col min="4361" max="4361" width="8.875" style="3250" customWidth="1"/>
    <col min="4362" max="4363" width="10.625" style="3250" customWidth="1"/>
    <col min="4364" max="4364" width="37.5" style="3250" customWidth="1"/>
    <col min="4365" max="4608" width="9.125" style="3250"/>
    <col min="4609" max="4609" width="5.625" style="3250" customWidth="1"/>
    <col min="4610" max="4610" width="5.25" style="3250" customWidth="1"/>
    <col min="4611" max="4611" width="8" style="3250" customWidth="1"/>
    <col min="4612" max="4612" width="8.375" style="3250" customWidth="1"/>
    <col min="4613" max="4613" width="6.75" style="3250" customWidth="1"/>
    <col min="4614" max="4614" width="6.875" style="3250" customWidth="1"/>
    <col min="4615" max="4615" width="9.125" style="3250" customWidth="1"/>
    <col min="4616" max="4616" width="8.5" style="3250" customWidth="1"/>
    <col min="4617" max="4617" width="8.875" style="3250" customWidth="1"/>
    <col min="4618" max="4619" width="10.625" style="3250" customWidth="1"/>
    <col min="4620" max="4620" width="37.5" style="3250" customWidth="1"/>
    <col min="4621" max="4864" width="9.125" style="3250"/>
    <col min="4865" max="4865" width="5.625" style="3250" customWidth="1"/>
    <col min="4866" max="4866" width="5.25" style="3250" customWidth="1"/>
    <col min="4867" max="4867" width="8" style="3250" customWidth="1"/>
    <col min="4868" max="4868" width="8.375" style="3250" customWidth="1"/>
    <col min="4869" max="4869" width="6.75" style="3250" customWidth="1"/>
    <col min="4870" max="4870" width="6.875" style="3250" customWidth="1"/>
    <col min="4871" max="4871" width="9.125" style="3250" customWidth="1"/>
    <col min="4872" max="4872" width="8.5" style="3250" customWidth="1"/>
    <col min="4873" max="4873" width="8.875" style="3250" customWidth="1"/>
    <col min="4874" max="4875" width="10.625" style="3250" customWidth="1"/>
    <col min="4876" max="4876" width="37.5" style="3250" customWidth="1"/>
    <col min="4877" max="5120" width="9.125" style="3250"/>
    <col min="5121" max="5121" width="5.625" style="3250" customWidth="1"/>
    <col min="5122" max="5122" width="5.25" style="3250" customWidth="1"/>
    <col min="5123" max="5123" width="8" style="3250" customWidth="1"/>
    <col min="5124" max="5124" width="8.375" style="3250" customWidth="1"/>
    <col min="5125" max="5125" width="6.75" style="3250" customWidth="1"/>
    <col min="5126" max="5126" width="6.875" style="3250" customWidth="1"/>
    <col min="5127" max="5127" width="9.125" style="3250" customWidth="1"/>
    <col min="5128" max="5128" width="8.5" style="3250" customWidth="1"/>
    <col min="5129" max="5129" width="8.875" style="3250" customWidth="1"/>
    <col min="5130" max="5131" width="10.625" style="3250" customWidth="1"/>
    <col min="5132" max="5132" width="37.5" style="3250" customWidth="1"/>
    <col min="5133" max="5376" width="9.125" style="3250"/>
    <col min="5377" max="5377" width="5.625" style="3250" customWidth="1"/>
    <col min="5378" max="5378" width="5.25" style="3250" customWidth="1"/>
    <col min="5379" max="5379" width="8" style="3250" customWidth="1"/>
    <col min="5380" max="5380" width="8.375" style="3250" customWidth="1"/>
    <col min="5381" max="5381" width="6.75" style="3250" customWidth="1"/>
    <col min="5382" max="5382" width="6.875" style="3250" customWidth="1"/>
    <col min="5383" max="5383" width="9.125" style="3250" customWidth="1"/>
    <col min="5384" max="5384" width="8.5" style="3250" customWidth="1"/>
    <col min="5385" max="5385" width="8.875" style="3250" customWidth="1"/>
    <col min="5386" max="5387" width="10.625" style="3250" customWidth="1"/>
    <col min="5388" max="5388" width="37.5" style="3250" customWidth="1"/>
    <col min="5389" max="5632" width="9.125" style="3250"/>
    <col min="5633" max="5633" width="5.625" style="3250" customWidth="1"/>
    <col min="5634" max="5634" width="5.25" style="3250" customWidth="1"/>
    <col min="5635" max="5635" width="8" style="3250" customWidth="1"/>
    <col min="5636" max="5636" width="8.375" style="3250" customWidth="1"/>
    <col min="5637" max="5637" width="6.75" style="3250" customWidth="1"/>
    <col min="5638" max="5638" width="6.875" style="3250" customWidth="1"/>
    <col min="5639" max="5639" width="9.125" style="3250" customWidth="1"/>
    <col min="5640" max="5640" width="8.5" style="3250" customWidth="1"/>
    <col min="5641" max="5641" width="8.875" style="3250" customWidth="1"/>
    <col min="5642" max="5643" width="10.625" style="3250" customWidth="1"/>
    <col min="5644" max="5644" width="37.5" style="3250" customWidth="1"/>
    <col min="5645" max="5888" width="9.125" style="3250"/>
    <col min="5889" max="5889" width="5.625" style="3250" customWidth="1"/>
    <col min="5890" max="5890" width="5.25" style="3250" customWidth="1"/>
    <col min="5891" max="5891" width="8" style="3250" customWidth="1"/>
    <col min="5892" max="5892" width="8.375" style="3250" customWidth="1"/>
    <col min="5893" max="5893" width="6.75" style="3250" customWidth="1"/>
    <col min="5894" max="5894" width="6.875" style="3250" customWidth="1"/>
    <col min="5895" max="5895" width="9.125" style="3250" customWidth="1"/>
    <col min="5896" max="5896" width="8.5" style="3250" customWidth="1"/>
    <col min="5897" max="5897" width="8.875" style="3250" customWidth="1"/>
    <col min="5898" max="5899" width="10.625" style="3250" customWidth="1"/>
    <col min="5900" max="5900" width="37.5" style="3250" customWidth="1"/>
    <col min="5901" max="6144" width="9.125" style="3250"/>
    <col min="6145" max="6145" width="5.625" style="3250" customWidth="1"/>
    <col min="6146" max="6146" width="5.25" style="3250" customWidth="1"/>
    <col min="6147" max="6147" width="8" style="3250" customWidth="1"/>
    <col min="6148" max="6148" width="8.375" style="3250" customWidth="1"/>
    <col min="6149" max="6149" width="6.75" style="3250" customWidth="1"/>
    <col min="6150" max="6150" width="6.875" style="3250" customWidth="1"/>
    <col min="6151" max="6151" width="9.125" style="3250" customWidth="1"/>
    <col min="6152" max="6152" width="8.5" style="3250" customWidth="1"/>
    <col min="6153" max="6153" width="8.875" style="3250" customWidth="1"/>
    <col min="6154" max="6155" width="10.625" style="3250" customWidth="1"/>
    <col min="6156" max="6156" width="37.5" style="3250" customWidth="1"/>
    <col min="6157" max="6400" width="9.125" style="3250"/>
    <col min="6401" max="6401" width="5.625" style="3250" customWidth="1"/>
    <col min="6402" max="6402" width="5.25" style="3250" customWidth="1"/>
    <col min="6403" max="6403" width="8" style="3250" customWidth="1"/>
    <col min="6404" max="6404" width="8.375" style="3250" customWidth="1"/>
    <col min="6405" max="6405" width="6.75" style="3250" customWidth="1"/>
    <col min="6406" max="6406" width="6.875" style="3250" customWidth="1"/>
    <col min="6407" max="6407" width="9.125" style="3250" customWidth="1"/>
    <col min="6408" max="6408" width="8.5" style="3250" customWidth="1"/>
    <col min="6409" max="6409" width="8.875" style="3250" customWidth="1"/>
    <col min="6410" max="6411" width="10.625" style="3250" customWidth="1"/>
    <col min="6412" max="6412" width="37.5" style="3250" customWidth="1"/>
    <col min="6413" max="6656" width="9.125" style="3250"/>
    <col min="6657" max="6657" width="5.625" style="3250" customWidth="1"/>
    <col min="6658" max="6658" width="5.25" style="3250" customWidth="1"/>
    <col min="6659" max="6659" width="8" style="3250" customWidth="1"/>
    <col min="6660" max="6660" width="8.375" style="3250" customWidth="1"/>
    <col min="6661" max="6661" width="6.75" style="3250" customWidth="1"/>
    <col min="6662" max="6662" width="6.875" style="3250" customWidth="1"/>
    <col min="6663" max="6663" width="9.125" style="3250" customWidth="1"/>
    <col min="6664" max="6664" width="8.5" style="3250" customWidth="1"/>
    <col min="6665" max="6665" width="8.875" style="3250" customWidth="1"/>
    <col min="6666" max="6667" width="10.625" style="3250" customWidth="1"/>
    <col min="6668" max="6668" width="37.5" style="3250" customWidth="1"/>
    <col min="6669" max="6912" width="9.125" style="3250"/>
    <col min="6913" max="6913" width="5.625" style="3250" customWidth="1"/>
    <col min="6914" max="6914" width="5.25" style="3250" customWidth="1"/>
    <col min="6915" max="6915" width="8" style="3250" customWidth="1"/>
    <col min="6916" max="6916" width="8.375" style="3250" customWidth="1"/>
    <col min="6917" max="6917" width="6.75" style="3250" customWidth="1"/>
    <col min="6918" max="6918" width="6.875" style="3250" customWidth="1"/>
    <col min="6919" max="6919" width="9.125" style="3250" customWidth="1"/>
    <col min="6920" max="6920" width="8.5" style="3250" customWidth="1"/>
    <col min="6921" max="6921" width="8.875" style="3250" customWidth="1"/>
    <col min="6922" max="6923" width="10.625" style="3250" customWidth="1"/>
    <col min="6924" max="6924" width="37.5" style="3250" customWidth="1"/>
    <col min="6925" max="7168" width="9.125" style="3250"/>
    <col min="7169" max="7169" width="5.625" style="3250" customWidth="1"/>
    <col min="7170" max="7170" width="5.25" style="3250" customWidth="1"/>
    <col min="7171" max="7171" width="8" style="3250" customWidth="1"/>
    <col min="7172" max="7172" width="8.375" style="3250" customWidth="1"/>
    <col min="7173" max="7173" width="6.75" style="3250" customWidth="1"/>
    <col min="7174" max="7174" width="6.875" style="3250" customWidth="1"/>
    <col min="7175" max="7175" width="9.125" style="3250" customWidth="1"/>
    <col min="7176" max="7176" width="8.5" style="3250" customWidth="1"/>
    <col min="7177" max="7177" width="8.875" style="3250" customWidth="1"/>
    <col min="7178" max="7179" width="10.625" style="3250" customWidth="1"/>
    <col min="7180" max="7180" width="37.5" style="3250" customWidth="1"/>
    <col min="7181" max="7424" width="9.125" style="3250"/>
    <col min="7425" max="7425" width="5.625" style="3250" customWidth="1"/>
    <col min="7426" max="7426" width="5.25" style="3250" customWidth="1"/>
    <col min="7427" max="7427" width="8" style="3250" customWidth="1"/>
    <col min="7428" max="7428" width="8.375" style="3250" customWidth="1"/>
    <col min="7429" max="7429" width="6.75" style="3250" customWidth="1"/>
    <col min="7430" max="7430" width="6.875" style="3250" customWidth="1"/>
    <col min="7431" max="7431" width="9.125" style="3250" customWidth="1"/>
    <col min="7432" max="7432" width="8.5" style="3250" customWidth="1"/>
    <col min="7433" max="7433" width="8.875" style="3250" customWidth="1"/>
    <col min="7434" max="7435" width="10.625" style="3250" customWidth="1"/>
    <col min="7436" max="7436" width="37.5" style="3250" customWidth="1"/>
    <col min="7437" max="7680" width="9.125" style="3250"/>
    <col min="7681" max="7681" width="5.625" style="3250" customWidth="1"/>
    <col min="7682" max="7682" width="5.25" style="3250" customWidth="1"/>
    <col min="7683" max="7683" width="8" style="3250" customWidth="1"/>
    <col min="7684" max="7684" width="8.375" style="3250" customWidth="1"/>
    <col min="7685" max="7685" width="6.75" style="3250" customWidth="1"/>
    <col min="7686" max="7686" width="6.875" style="3250" customWidth="1"/>
    <col min="7687" max="7687" width="9.125" style="3250" customWidth="1"/>
    <col min="7688" max="7688" width="8.5" style="3250" customWidth="1"/>
    <col min="7689" max="7689" width="8.875" style="3250" customWidth="1"/>
    <col min="7690" max="7691" width="10.625" style="3250" customWidth="1"/>
    <col min="7692" max="7692" width="37.5" style="3250" customWidth="1"/>
    <col min="7693" max="7936" width="9.125" style="3250"/>
    <col min="7937" max="7937" width="5.625" style="3250" customWidth="1"/>
    <col min="7938" max="7938" width="5.25" style="3250" customWidth="1"/>
    <col min="7939" max="7939" width="8" style="3250" customWidth="1"/>
    <col min="7940" max="7940" width="8.375" style="3250" customWidth="1"/>
    <col min="7941" max="7941" width="6.75" style="3250" customWidth="1"/>
    <col min="7942" max="7942" width="6.875" style="3250" customWidth="1"/>
    <col min="7943" max="7943" width="9.125" style="3250" customWidth="1"/>
    <col min="7944" max="7944" width="8.5" style="3250" customWidth="1"/>
    <col min="7945" max="7945" width="8.875" style="3250" customWidth="1"/>
    <col min="7946" max="7947" width="10.625" style="3250" customWidth="1"/>
    <col min="7948" max="7948" width="37.5" style="3250" customWidth="1"/>
    <col min="7949" max="8192" width="9.125" style="3250"/>
    <col min="8193" max="8193" width="5.625" style="3250" customWidth="1"/>
    <col min="8194" max="8194" width="5.25" style="3250" customWidth="1"/>
    <col min="8195" max="8195" width="8" style="3250" customWidth="1"/>
    <col min="8196" max="8196" width="8.375" style="3250" customWidth="1"/>
    <col min="8197" max="8197" width="6.75" style="3250" customWidth="1"/>
    <col min="8198" max="8198" width="6.875" style="3250" customWidth="1"/>
    <col min="8199" max="8199" width="9.125" style="3250" customWidth="1"/>
    <col min="8200" max="8200" width="8.5" style="3250" customWidth="1"/>
    <col min="8201" max="8201" width="8.875" style="3250" customWidth="1"/>
    <col min="8202" max="8203" width="10.625" style="3250" customWidth="1"/>
    <col min="8204" max="8204" width="37.5" style="3250" customWidth="1"/>
    <col min="8205" max="8448" width="9.125" style="3250"/>
    <col min="8449" max="8449" width="5.625" style="3250" customWidth="1"/>
    <col min="8450" max="8450" width="5.25" style="3250" customWidth="1"/>
    <col min="8451" max="8451" width="8" style="3250" customWidth="1"/>
    <col min="8452" max="8452" width="8.375" style="3250" customWidth="1"/>
    <col min="8453" max="8453" width="6.75" style="3250" customWidth="1"/>
    <col min="8454" max="8454" width="6.875" style="3250" customWidth="1"/>
    <col min="8455" max="8455" width="9.125" style="3250" customWidth="1"/>
    <col min="8456" max="8456" width="8.5" style="3250" customWidth="1"/>
    <col min="8457" max="8457" width="8.875" style="3250" customWidth="1"/>
    <col min="8458" max="8459" width="10.625" style="3250" customWidth="1"/>
    <col min="8460" max="8460" width="37.5" style="3250" customWidth="1"/>
    <col min="8461" max="8704" width="9.125" style="3250"/>
    <col min="8705" max="8705" width="5.625" style="3250" customWidth="1"/>
    <col min="8706" max="8706" width="5.25" style="3250" customWidth="1"/>
    <col min="8707" max="8707" width="8" style="3250" customWidth="1"/>
    <col min="8708" max="8708" width="8.375" style="3250" customWidth="1"/>
    <col min="8709" max="8709" width="6.75" style="3250" customWidth="1"/>
    <col min="8710" max="8710" width="6.875" style="3250" customWidth="1"/>
    <col min="8711" max="8711" width="9.125" style="3250" customWidth="1"/>
    <col min="8712" max="8712" width="8.5" style="3250" customWidth="1"/>
    <col min="8713" max="8713" width="8.875" style="3250" customWidth="1"/>
    <col min="8714" max="8715" width="10.625" style="3250" customWidth="1"/>
    <col min="8716" max="8716" width="37.5" style="3250" customWidth="1"/>
    <col min="8717" max="8960" width="9.125" style="3250"/>
    <col min="8961" max="8961" width="5.625" style="3250" customWidth="1"/>
    <col min="8962" max="8962" width="5.25" style="3250" customWidth="1"/>
    <col min="8963" max="8963" width="8" style="3250" customWidth="1"/>
    <col min="8964" max="8964" width="8.375" style="3250" customWidth="1"/>
    <col min="8965" max="8965" width="6.75" style="3250" customWidth="1"/>
    <col min="8966" max="8966" width="6.875" style="3250" customWidth="1"/>
    <col min="8967" max="8967" width="9.125" style="3250" customWidth="1"/>
    <col min="8968" max="8968" width="8.5" style="3250" customWidth="1"/>
    <col min="8969" max="8969" width="8.875" style="3250" customWidth="1"/>
    <col min="8970" max="8971" width="10.625" style="3250" customWidth="1"/>
    <col min="8972" max="8972" width="37.5" style="3250" customWidth="1"/>
    <col min="8973" max="9216" width="9.125" style="3250"/>
    <col min="9217" max="9217" width="5.625" style="3250" customWidth="1"/>
    <col min="9218" max="9218" width="5.25" style="3250" customWidth="1"/>
    <col min="9219" max="9219" width="8" style="3250" customWidth="1"/>
    <col min="9220" max="9220" width="8.375" style="3250" customWidth="1"/>
    <col min="9221" max="9221" width="6.75" style="3250" customWidth="1"/>
    <col min="9222" max="9222" width="6.875" style="3250" customWidth="1"/>
    <col min="9223" max="9223" width="9.125" style="3250" customWidth="1"/>
    <col min="9224" max="9224" width="8.5" style="3250" customWidth="1"/>
    <col min="9225" max="9225" width="8.875" style="3250" customWidth="1"/>
    <col min="9226" max="9227" width="10.625" style="3250" customWidth="1"/>
    <col min="9228" max="9228" width="37.5" style="3250" customWidth="1"/>
    <col min="9229" max="9472" width="9.125" style="3250"/>
    <col min="9473" max="9473" width="5.625" style="3250" customWidth="1"/>
    <col min="9474" max="9474" width="5.25" style="3250" customWidth="1"/>
    <col min="9475" max="9475" width="8" style="3250" customWidth="1"/>
    <col min="9476" max="9476" width="8.375" style="3250" customWidth="1"/>
    <col min="9477" max="9477" width="6.75" style="3250" customWidth="1"/>
    <col min="9478" max="9478" width="6.875" style="3250" customWidth="1"/>
    <col min="9479" max="9479" width="9.125" style="3250" customWidth="1"/>
    <col min="9480" max="9480" width="8.5" style="3250" customWidth="1"/>
    <col min="9481" max="9481" width="8.875" style="3250" customWidth="1"/>
    <col min="9482" max="9483" width="10.625" style="3250" customWidth="1"/>
    <col min="9484" max="9484" width="37.5" style="3250" customWidth="1"/>
    <col min="9485" max="9728" width="9.125" style="3250"/>
    <col min="9729" max="9729" width="5.625" style="3250" customWidth="1"/>
    <col min="9730" max="9730" width="5.25" style="3250" customWidth="1"/>
    <col min="9731" max="9731" width="8" style="3250" customWidth="1"/>
    <col min="9732" max="9732" width="8.375" style="3250" customWidth="1"/>
    <col min="9733" max="9733" width="6.75" style="3250" customWidth="1"/>
    <col min="9734" max="9734" width="6.875" style="3250" customWidth="1"/>
    <col min="9735" max="9735" width="9.125" style="3250" customWidth="1"/>
    <col min="9736" max="9736" width="8.5" style="3250" customWidth="1"/>
    <col min="9737" max="9737" width="8.875" style="3250" customWidth="1"/>
    <col min="9738" max="9739" width="10.625" style="3250" customWidth="1"/>
    <col min="9740" max="9740" width="37.5" style="3250" customWidth="1"/>
    <col min="9741" max="9984" width="9.125" style="3250"/>
    <col min="9985" max="9985" width="5.625" style="3250" customWidth="1"/>
    <col min="9986" max="9986" width="5.25" style="3250" customWidth="1"/>
    <col min="9987" max="9987" width="8" style="3250" customWidth="1"/>
    <col min="9988" max="9988" width="8.375" style="3250" customWidth="1"/>
    <col min="9989" max="9989" width="6.75" style="3250" customWidth="1"/>
    <col min="9990" max="9990" width="6.875" style="3250" customWidth="1"/>
    <col min="9991" max="9991" width="9.125" style="3250" customWidth="1"/>
    <col min="9992" max="9992" width="8.5" style="3250" customWidth="1"/>
    <col min="9993" max="9993" width="8.875" style="3250" customWidth="1"/>
    <col min="9994" max="9995" width="10.625" style="3250" customWidth="1"/>
    <col min="9996" max="9996" width="37.5" style="3250" customWidth="1"/>
    <col min="9997" max="10240" width="9.125" style="3250"/>
    <col min="10241" max="10241" width="5.625" style="3250" customWidth="1"/>
    <col min="10242" max="10242" width="5.25" style="3250" customWidth="1"/>
    <col min="10243" max="10243" width="8" style="3250" customWidth="1"/>
    <col min="10244" max="10244" width="8.375" style="3250" customWidth="1"/>
    <col min="10245" max="10245" width="6.75" style="3250" customWidth="1"/>
    <col min="10246" max="10246" width="6.875" style="3250" customWidth="1"/>
    <col min="10247" max="10247" width="9.125" style="3250" customWidth="1"/>
    <col min="10248" max="10248" width="8.5" style="3250" customWidth="1"/>
    <col min="10249" max="10249" width="8.875" style="3250" customWidth="1"/>
    <col min="10250" max="10251" width="10.625" style="3250" customWidth="1"/>
    <col min="10252" max="10252" width="37.5" style="3250" customWidth="1"/>
    <col min="10253" max="10496" width="9.125" style="3250"/>
    <col min="10497" max="10497" width="5.625" style="3250" customWidth="1"/>
    <col min="10498" max="10498" width="5.25" style="3250" customWidth="1"/>
    <col min="10499" max="10499" width="8" style="3250" customWidth="1"/>
    <col min="10500" max="10500" width="8.375" style="3250" customWidth="1"/>
    <col min="10501" max="10501" width="6.75" style="3250" customWidth="1"/>
    <col min="10502" max="10502" width="6.875" style="3250" customWidth="1"/>
    <col min="10503" max="10503" width="9.125" style="3250" customWidth="1"/>
    <col min="10504" max="10504" width="8.5" style="3250" customWidth="1"/>
    <col min="10505" max="10505" width="8.875" style="3250" customWidth="1"/>
    <col min="10506" max="10507" width="10.625" style="3250" customWidth="1"/>
    <col min="10508" max="10508" width="37.5" style="3250" customWidth="1"/>
    <col min="10509" max="10752" width="9.125" style="3250"/>
    <col min="10753" max="10753" width="5.625" style="3250" customWidth="1"/>
    <col min="10754" max="10754" width="5.25" style="3250" customWidth="1"/>
    <col min="10755" max="10755" width="8" style="3250" customWidth="1"/>
    <col min="10756" max="10756" width="8.375" style="3250" customWidth="1"/>
    <col min="10757" max="10757" width="6.75" style="3250" customWidth="1"/>
    <col min="10758" max="10758" width="6.875" style="3250" customWidth="1"/>
    <col min="10759" max="10759" width="9.125" style="3250" customWidth="1"/>
    <col min="10760" max="10760" width="8.5" style="3250" customWidth="1"/>
    <col min="10761" max="10761" width="8.875" style="3250" customWidth="1"/>
    <col min="10762" max="10763" width="10.625" style="3250" customWidth="1"/>
    <col min="10764" max="10764" width="37.5" style="3250" customWidth="1"/>
    <col min="10765" max="11008" width="9.125" style="3250"/>
    <col min="11009" max="11009" width="5.625" style="3250" customWidth="1"/>
    <col min="11010" max="11010" width="5.25" style="3250" customWidth="1"/>
    <col min="11011" max="11011" width="8" style="3250" customWidth="1"/>
    <col min="11012" max="11012" width="8.375" style="3250" customWidth="1"/>
    <col min="11013" max="11013" width="6.75" style="3250" customWidth="1"/>
    <col min="11014" max="11014" width="6.875" style="3250" customWidth="1"/>
    <col min="11015" max="11015" width="9.125" style="3250" customWidth="1"/>
    <col min="11016" max="11016" width="8.5" style="3250" customWidth="1"/>
    <col min="11017" max="11017" width="8.875" style="3250" customWidth="1"/>
    <col min="11018" max="11019" width="10.625" style="3250" customWidth="1"/>
    <col min="11020" max="11020" width="37.5" style="3250" customWidth="1"/>
    <col min="11021" max="11264" width="9.125" style="3250"/>
    <col min="11265" max="11265" width="5.625" style="3250" customWidth="1"/>
    <col min="11266" max="11266" width="5.25" style="3250" customWidth="1"/>
    <col min="11267" max="11267" width="8" style="3250" customWidth="1"/>
    <col min="11268" max="11268" width="8.375" style="3250" customWidth="1"/>
    <col min="11269" max="11269" width="6.75" style="3250" customWidth="1"/>
    <col min="11270" max="11270" width="6.875" style="3250" customWidth="1"/>
    <col min="11271" max="11271" width="9.125" style="3250" customWidth="1"/>
    <col min="11272" max="11272" width="8.5" style="3250" customWidth="1"/>
    <col min="11273" max="11273" width="8.875" style="3250" customWidth="1"/>
    <col min="11274" max="11275" width="10.625" style="3250" customWidth="1"/>
    <col min="11276" max="11276" width="37.5" style="3250" customWidth="1"/>
    <col min="11277" max="11520" width="9.125" style="3250"/>
    <col min="11521" max="11521" width="5.625" style="3250" customWidth="1"/>
    <col min="11522" max="11522" width="5.25" style="3250" customWidth="1"/>
    <col min="11523" max="11523" width="8" style="3250" customWidth="1"/>
    <col min="11524" max="11524" width="8.375" style="3250" customWidth="1"/>
    <col min="11525" max="11525" width="6.75" style="3250" customWidth="1"/>
    <col min="11526" max="11526" width="6.875" style="3250" customWidth="1"/>
    <col min="11527" max="11527" width="9.125" style="3250" customWidth="1"/>
    <col min="11528" max="11528" width="8.5" style="3250" customWidth="1"/>
    <col min="11529" max="11529" width="8.875" style="3250" customWidth="1"/>
    <col min="11530" max="11531" width="10.625" style="3250" customWidth="1"/>
    <col min="11532" max="11532" width="37.5" style="3250" customWidth="1"/>
    <col min="11533" max="11776" width="9.125" style="3250"/>
    <col min="11777" max="11777" width="5.625" style="3250" customWidth="1"/>
    <col min="11778" max="11778" width="5.25" style="3250" customWidth="1"/>
    <col min="11779" max="11779" width="8" style="3250" customWidth="1"/>
    <col min="11780" max="11780" width="8.375" style="3250" customWidth="1"/>
    <col min="11781" max="11781" width="6.75" style="3250" customWidth="1"/>
    <col min="11782" max="11782" width="6.875" style="3250" customWidth="1"/>
    <col min="11783" max="11783" width="9.125" style="3250" customWidth="1"/>
    <col min="11784" max="11784" width="8.5" style="3250" customWidth="1"/>
    <col min="11785" max="11785" width="8.875" style="3250" customWidth="1"/>
    <col min="11786" max="11787" width="10.625" style="3250" customWidth="1"/>
    <col min="11788" max="11788" width="37.5" style="3250" customWidth="1"/>
    <col min="11789" max="12032" width="9.125" style="3250"/>
    <col min="12033" max="12033" width="5.625" style="3250" customWidth="1"/>
    <col min="12034" max="12034" width="5.25" style="3250" customWidth="1"/>
    <col min="12035" max="12035" width="8" style="3250" customWidth="1"/>
    <col min="12036" max="12036" width="8.375" style="3250" customWidth="1"/>
    <col min="12037" max="12037" width="6.75" style="3250" customWidth="1"/>
    <col min="12038" max="12038" width="6.875" style="3250" customWidth="1"/>
    <col min="12039" max="12039" width="9.125" style="3250" customWidth="1"/>
    <col min="12040" max="12040" width="8.5" style="3250" customWidth="1"/>
    <col min="12041" max="12041" width="8.875" style="3250" customWidth="1"/>
    <col min="12042" max="12043" width="10.625" style="3250" customWidth="1"/>
    <col min="12044" max="12044" width="37.5" style="3250" customWidth="1"/>
    <col min="12045" max="12288" width="9.125" style="3250"/>
    <col min="12289" max="12289" width="5.625" style="3250" customWidth="1"/>
    <col min="12290" max="12290" width="5.25" style="3250" customWidth="1"/>
    <col min="12291" max="12291" width="8" style="3250" customWidth="1"/>
    <col min="12292" max="12292" width="8.375" style="3250" customWidth="1"/>
    <col min="12293" max="12293" width="6.75" style="3250" customWidth="1"/>
    <col min="12294" max="12294" width="6.875" style="3250" customWidth="1"/>
    <col min="12295" max="12295" width="9.125" style="3250" customWidth="1"/>
    <col min="12296" max="12296" width="8.5" style="3250" customWidth="1"/>
    <col min="12297" max="12297" width="8.875" style="3250" customWidth="1"/>
    <col min="12298" max="12299" width="10.625" style="3250" customWidth="1"/>
    <col min="12300" max="12300" width="37.5" style="3250" customWidth="1"/>
    <col min="12301" max="12544" width="9.125" style="3250"/>
    <col min="12545" max="12545" width="5.625" style="3250" customWidth="1"/>
    <col min="12546" max="12546" width="5.25" style="3250" customWidth="1"/>
    <col min="12547" max="12547" width="8" style="3250" customWidth="1"/>
    <col min="12548" max="12548" width="8.375" style="3250" customWidth="1"/>
    <col min="12549" max="12549" width="6.75" style="3250" customWidth="1"/>
    <col min="12550" max="12550" width="6.875" style="3250" customWidth="1"/>
    <col min="12551" max="12551" width="9.125" style="3250" customWidth="1"/>
    <col min="12552" max="12552" width="8.5" style="3250" customWidth="1"/>
    <col min="12553" max="12553" width="8.875" style="3250" customWidth="1"/>
    <col min="12554" max="12555" width="10.625" style="3250" customWidth="1"/>
    <col min="12556" max="12556" width="37.5" style="3250" customWidth="1"/>
    <col min="12557" max="12800" width="9.125" style="3250"/>
    <col min="12801" max="12801" width="5.625" style="3250" customWidth="1"/>
    <col min="12802" max="12802" width="5.25" style="3250" customWidth="1"/>
    <col min="12803" max="12803" width="8" style="3250" customWidth="1"/>
    <col min="12804" max="12804" width="8.375" style="3250" customWidth="1"/>
    <col min="12805" max="12805" width="6.75" style="3250" customWidth="1"/>
    <col min="12806" max="12806" width="6.875" style="3250" customWidth="1"/>
    <col min="12807" max="12807" width="9.125" style="3250" customWidth="1"/>
    <col min="12808" max="12808" width="8.5" style="3250" customWidth="1"/>
    <col min="12809" max="12809" width="8.875" style="3250" customWidth="1"/>
    <col min="12810" max="12811" width="10.625" style="3250" customWidth="1"/>
    <col min="12812" max="12812" width="37.5" style="3250" customWidth="1"/>
    <col min="12813" max="13056" width="9.125" style="3250"/>
    <col min="13057" max="13057" width="5.625" style="3250" customWidth="1"/>
    <col min="13058" max="13058" width="5.25" style="3250" customWidth="1"/>
    <col min="13059" max="13059" width="8" style="3250" customWidth="1"/>
    <col min="13060" max="13060" width="8.375" style="3250" customWidth="1"/>
    <col min="13061" max="13061" width="6.75" style="3250" customWidth="1"/>
    <col min="13062" max="13062" width="6.875" style="3250" customWidth="1"/>
    <col min="13063" max="13063" width="9.125" style="3250" customWidth="1"/>
    <col min="13064" max="13064" width="8.5" style="3250" customWidth="1"/>
    <col min="13065" max="13065" width="8.875" style="3250" customWidth="1"/>
    <col min="13066" max="13067" width="10.625" style="3250" customWidth="1"/>
    <col min="13068" max="13068" width="37.5" style="3250" customWidth="1"/>
    <col min="13069" max="13312" width="9.125" style="3250"/>
    <col min="13313" max="13313" width="5.625" style="3250" customWidth="1"/>
    <col min="13314" max="13314" width="5.25" style="3250" customWidth="1"/>
    <col min="13315" max="13315" width="8" style="3250" customWidth="1"/>
    <col min="13316" max="13316" width="8.375" style="3250" customWidth="1"/>
    <col min="13317" max="13317" width="6.75" style="3250" customWidth="1"/>
    <col min="13318" max="13318" width="6.875" style="3250" customWidth="1"/>
    <col min="13319" max="13319" width="9.125" style="3250" customWidth="1"/>
    <col min="13320" max="13320" width="8.5" style="3250" customWidth="1"/>
    <col min="13321" max="13321" width="8.875" style="3250" customWidth="1"/>
    <col min="13322" max="13323" width="10.625" style="3250" customWidth="1"/>
    <col min="13324" max="13324" width="37.5" style="3250" customWidth="1"/>
    <col min="13325" max="13568" width="9.125" style="3250"/>
    <col min="13569" max="13569" width="5.625" style="3250" customWidth="1"/>
    <col min="13570" max="13570" width="5.25" style="3250" customWidth="1"/>
    <col min="13571" max="13571" width="8" style="3250" customWidth="1"/>
    <col min="13572" max="13572" width="8.375" style="3250" customWidth="1"/>
    <col min="13573" max="13573" width="6.75" style="3250" customWidth="1"/>
    <col min="13574" max="13574" width="6.875" style="3250" customWidth="1"/>
    <col min="13575" max="13575" width="9.125" style="3250" customWidth="1"/>
    <col min="13576" max="13576" width="8.5" style="3250" customWidth="1"/>
    <col min="13577" max="13577" width="8.875" style="3250" customWidth="1"/>
    <col min="13578" max="13579" width="10.625" style="3250" customWidth="1"/>
    <col min="13580" max="13580" width="37.5" style="3250" customWidth="1"/>
    <col min="13581" max="13824" width="9.125" style="3250"/>
    <col min="13825" max="13825" width="5.625" style="3250" customWidth="1"/>
    <col min="13826" max="13826" width="5.25" style="3250" customWidth="1"/>
    <col min="13827" max="13827" width="8" style="3250" customWidth="1"/>
    <col min="13828" max="13828" width="8.375" style="3250" customWidth="1"/>
    <col min="13829" max="13829" width="6.75" style="3250" customWidth="1"/>
    <col min="13830" max="13830" width="6.875" style="3250" customWidth="1"/>
    <col min="13831" max="13831" width="9.125" style="3250" customWidth="1"/>
    <col min="13832" max="13832" width="8.5" style="3250" customWidth="1"/>
    <col min="13833" max="13833" width="8.875" style="3250" customWidth="1"/>
    <col min="13834" max="13835" width="10.625" style="3250" customWidth="1"/>
    <col min="13836" max="13836" width="37.5" style="3250" customWidth="1"/>
    <col min="13837" max="14080" width="9.125" style="3250"/>
    <col min="14081" max="14081" width="5.625" style="3250" customWidth="1"/>
    <col min="14082" max="14082" width="5.25" style="3250" customWidth="1"/>
    <col min="14083" max="14083" width="8" style="3250" customWidth="1"/>
    <col min="14084" max="14084" width="8.375" style="3250" customWidth="1"/>
    <col min="14085" max="14085" width="6.75" style="3250" customWidth="1"/>
    <col min="14086" max="14086" width="6.875" style="3250" customWidth="1"/>
    <col min="14087" max="14087" width="9.125" style="3250" customWidth="1"/>
    <col min="14088" max="14088" width="8.5" style="3250" customWidth="1"/>
    <col min="14089" max="14089" width="8.875" style="3250" customWidth="1"/>
    <col min="14090" max="14091" width="10.625" style="3250" customWidth="1"/>
    <col min="14092" max="14092" width="37.5" style="3250" customWidth="1"/>
    <col min="14093" max="14336" width="9.125" style="3250"/>
    <col min="14337" max="14337" width="5.625" style="3250" customWidth="1"/>
    <col min="14338" max="14338" width="5.25" style="3250" customWidth="1"/>
    <col min="14339" max="14339" width="8" style="3250" customWidth="1"/>
    <col min="14340" max="14340" width="8.375" style="3250" customWidth="1"/>
    <col min="14341" max="14341" width="6.75" style="3250" customWidth="1"/>
    <col min="14342" max="14342" width="6.875" style="3250" customWidth="1"/>
    <col min="14343" max="14343" width="9.125" style="3250" customWidth="1"/>
    <col min="14344" max="14344" width="8.5" style="3250" customWidth="1"/>
    <col min="14345" max="14345" width="8.875" style="3250" customWidth="1"/>
    <col min="14346" max="14347" width="10.625" style="3250" customWidth="1"/>
    <col min="14348" max="14348" width="37.5" style="3250" customWidth="1"/>
    <col min="14349" max="14592" width="9.125" style="3250"/>
    <col min="14593" max="14593" width="5.625" style="3250" customWidth="1"/>
    <col min="14594" max="14594" width="5.25" style="3250" customWidth="1"/>
    <col min="14595" max="14595" width="8" style="3250" customWidth="1"/>
    <col min="14596" max="14596" width="8.375" style="3250" customWidth="1"/>
    <col min="14597" max="14597" width="6.75" style="3250" customWidth="1"/>
    <col min="14598" max="14598" width="6.875" style="3250" customWidth="1"/>
    <col min="14599" max="14599" width="9.125" style="3250" customWidth="1"/>
    <col min="14600" max="14600" width="8.5" style="3250" customWidth="1"/>
    <col min="14601" max="14601" width="8.875" style="3250" customWidth="1"/>
    <col min="14602" max="14603" width="10.625" style="3250" customWidth="1"/>
    <col min="14604" max="14604" width="37.5" style="3250" customWidth="1"/>
    <col min="14605" max="14848" width="9.125" style="3250"/>
    <col min="14849" max="14849" width="5.625" style="3250" customWidth="1"/>
    <col min="14850" max="14850" width="5.25" style="3250" customWidth="1"/>
    <col min="14851" max="14851" width="8" style="3250" customWidth="1"/>
    <col min="14852" max="14852" width="8.375" style="3250" customWidth="1"/>
    <col min="14853" max="14853" width="6.75" style="3250" customWidth="1"/>
    <col min="14854" max="14854" width="6.875" style="3250" customWidth="1"/>
    <col min="14855" max="14855" width="9.125" style="3250" customWidth="1"/>
    <col min="14856" max="14856" width="8.5" style="3250" customWidth="1"/>
    <col min="14857" max="14857" width="8.875" style="3250" customWidth="1"/>
    <col min="14858" max="14859" width="10.625" style="3250" customWidth="1"/>
    <col min="14860" max="14860" width="37.5" style="3250" customWidth="1"/>
    <col min="14861" max="15104" width="9.125" style="3250"/>
    <col min="15105" max="15105" width="5.625" style="3250" customWidth="1"/>
    <col min="15106" max="15106" width="5.25" style="3250" customWidth="1"/>
    <col min="15107" max="15107" width="8" style="3250" customWidth="1"/>
    <col min="15108" max="15108" width="8.375" style="3250" customWidth="1"/>
    <col min="15109" max="15109" width="6.75" style="3250" customWidth="1"/>
    <col min="15110" max="15110" width="6.875" style="3250" customWidth="1"/>
    <col min="15111" max="15111" width="9.125" style="3250" customWidth="1"/>
    <col min="15112" max="15112" width="8.5" style="3250" customWidth="1"/>
    <col min="15113" max="15113" width="8.875" style="3250" customWidth="1"/>
    <col min="15114" max="15115" width="10.625" style="3250" customWidth="1"/>
    <col min="15116" max="15116" width="37.5" style="3250" customWidth="1"/>
    <col min="15117" max="15360" width="9.125" style="3250"/>
    <col min="15361" max="15361" width="5.625" style="3250" customWidth="1"/>
    <col min="15362" max="15362" width="5.25" style="3250" customWidth="1"/>
    <col min="15363" max="15363" width="8" style="3250" customWidth="1"/>
    <col min="15364" max="15364" width="8.375" style="3250" customWidth="1"/>
    <col min="15365" max="15365" width="6.75" style="3250" customWidth="1"/>
    <col min="15366" max="15366" width="6.875" style="3250" customWidth="1"/>
    <col min="15367" max="15367" width="9.125" style="3250" customWidth="1"/>
    <col min="15368" max="15368" width="8.5" style="3250" customWidth="1"/>
    <col min="15369" max="15369" width="8.875" style="3250" customWidth="1"/>
    <col min="15370" max="15371" width="10.625" style="3250" customWidth="1"/>
    <col min="15372" max="15372" width="37.5" style="3250" customWidth="1"/>
    <col min="15373" max="15616" width="9.125" style="3250"/>
    <col min="15617" max="15617" width="5.625" style="3250" customWidth="1"/>
    <col min="15618" max="15618" width="5.25" style="3250" customWidth="1"/>
    <col min="15619" max="15619" width="8" style="3250" customWidth="1"/>
    <col min="15620" max="15620" width="8.375" style="3250" customWidth="1"/>
    <col min="15621" max="15621" width="6.75" style="3250" customWidth="1"/>
    <col min="15622" max="15622" width="6.875" style="3250" customWidth="1"/>
    <col min="15623" max="15623" width="9.125" style="3250" customWidth="1"/>
    <col min="15624" max="15624" width="8.5" style="3250" customWidth="1"/>
    <col min="15625" max="15625" width="8.875" style="3250" customWidth="1"/>
    <col min="15626" max="15627" width="10.625" style="3250" customWidth="1"/>
    <col min="15628" max="15628" width="37.5" style="3250" customWidth="1"/>
    <col min="15629" max="15872" width="9.125" style="3250"/>
    <col min="15873" max="15873" width="5.625" style="3250" customWidth="1"/>
    <col min="15874" max="15874" width="5.25" style="3250" customWidth="1"/>
    <col min="15875" max="15875" width="8" style="3250" customWidth="1"/>
    <col min="15876" max="15876" width="8.375" style="3250" customWidth="1"/>
    <col min="15877" max="15877" width="6.75" style="3250" customWidth="1"/>
    <col min="15878" max="15878" width="6.875" style="3250" customWidth="1"/>
    <col min="15879" max="15879" width="9.125" style="3250" customWidth="1"/>
    <col min="15880" max="15880" width="8.5" style="3250" customWidth="1"/>
    <col min="15881" max="15881" width="8.875" style="3250" customWidth="1"/>
    <col min="15882" max="15883" width="10.625" style="3250" customWidth="1"/>
    <col min="15884" max="15884" width="37.5" style="3250" customWidth="1"/>
    <col min="15885" max="16128" width="9.125" style="3250"/>
    <col min="16129" max="16129" width="5.625" style="3250" customWidth="1"/>
    <col min="16130" max="16130" width="5.25" style="3250" customWidth="1"/>
    <col min="16131" max="16131" width="8" style="3250" customWidth="1"/>
    <col min="16132" max="16132" width="8.375" style="3250" customWidth="1"/>
    <col min="16133" max="16133" width="6.75" style="3250" customWidth="1"/>
    <col min="16134" max="16134" width="6.875" style="3250" customWidth="1"/>
    <col min="16135" max="16135" width="9.125" style="3250" customWidth="1"/>
    <col min="16136" max="16136" width="8.5" style="3250" customWidth="1"/>
    <col min="16137" max="16137" width="8.875" style="3250" customWidth="1"/>
    <col min="16138" max="16139" width="10.625" style="3250" customWidth="1"/>
    <col min="16140" max="16140" width="37.5" style="3250" customWidth="1"/>
    <col min="16141" max="16384" width="9.125" style="3250"/>
  </cols>
  <sheetData>
    <row r="1" spans="1:21">
      <c r="A1" s="3249"/>
      <c r="B1" s="3249"/>
      <c r="C1" s="3249"/>
      <c r="D1" s="3249"/>
      <c r="E1" s="3249"/>
      <c r="F1" s="3249"/>
      <c r="G1" s="3249"/>
      <c r="H1" s="3249"/>
      <c r="I1" s="3249"/>
      <c r="J1" s="3249"/>
      <c r="K1" s="3249"/>
      <c r="L1" s="3249"/>
    </row>
    <row r="2" spans="1:21" ht="20.25">
      <c r="A2" s="3829" t="s">
        <v>3644</v>
      </c>
      <c r="B2" s="3829"/>
      <c r="C2" s="3829"/>
      <c r="D2" s="3829"/>
      <c r="E2" s="3829"/>
      <c r="F2" s="3829"/>
      <c r="G2" s="3829"/>
      <c r="H2" s="3829"/>
      <c r="I2" s="3829"/>
      <c r="J2" s="3829"/>
      <c r="K2" s="3829"/>
      <c r="L2" s="3829"/>
    </row>
    <row r="3" spans="1:21">
      <c r="A3" s="3251"/>
      <c r="B3" s="3251"/>
      <c r="C3" s="3251"/>
      <c r="D3" s="3251"/>
      <c r="E3" s="3251"/>
      <c r="F3" s="3251"/>
      <c r="G3" s="3252"/>
      <c r="H3" s="3252"/>
      <c r="I3" s="3251"/>
      <c r="J3" s="3251"/>
      <c r="K3" s="3251"/>
      <c r="L3" s="3251"/>
    </row>
    <row r="4" spans="1:21" ht="12.75" thickBot="1">
      <c r="A4" s="3226" t="s">
        <v>3174</v>
      </c>
      <c r="B4" s="3828" t="s">
        <v>3175</v>
      </c>
      <c r="C4" s="3828" t="s">
        <v>3176</v>
      </c>
      <c r="D4" s="3226" t="s">
        <v>3177</v>
      </c>
      <c r="E4" s="3226" t="s">
        <v>3178</v>
      </c>
      <c r="F4" s="3226" t="s">
        <v>3179</v>
      </c>
      <c r="G4" s="3226" t="s">
        <v>3180</v>
      </c>
      <c r="H4" s="3226" t="s">
        <v>3181</v>
      </c>
      <c r="I4" s="3828" t="s">
        <v>3182</v>
      </c>
      <c r="J4" s="3828"/>
      <c r="K4" s="3828"/>
      <c r="L4" s="3828"/>
    </row>
    <row r="5" spans="1:21">
      <c r="A5" s="3253"/>
      <c r="B5" s="3254"/>
      <c r="C5" s="3254"/>
      <c r="D5" s="3830" t="s">
        <v>3183</v>
      </c>
      <c r="E5" s="3830" t="s">
        <v>3184</v>
      </c>
      <c r="F5" s="3830"/>
      <c r="G5" s="3830" t="s">
        <v>1100</v>
      </c>
      <c r="H5" s="3830"/>
      <c r="I5" s="3830" t="s">
        <v>3185</v>
      </c>
      <c r="J5" s="3830" t="s">
        <v>3186</v>
      </c>
      <c r="K5" s="3831" t="s">
        <v>3187</v>
      </c>
      <c r="L5" s="3832" t="s">
        <v>3188</v>
      </c>
    </row>
    <row r="6" spans="1:21">
      <c r="A6" s="3255" t="s">
        <v>3189</v>
      </c>
      <c r="B6" s="3256" t="s">
        <v>3190</v>
      </c>
      <c r="C6" s="3256" t="s">
        <v>3191</v>
      </c>
      <c r="D6" s="3826"/>
      <c r="E6" s="3257" t="s">
        <v>3192</v>
      </c>
      <c r="F6" s="3826" t="s">
        <v>3193</v>
      </c>
      <c r="G6" s="3257" t="s">
        <v>3194</v>
      </c>
      <c r="H6" s="3257" t="s">
        <v>3195</v>
      </c>
      <c r="I6" s="3826"/>
      <c r="J6" s="3826"/>
      <c r="K6" s="3826"/>
      <c r="L6" s="3833"/>
    </row>
    <row r="7" spans="1:21">
      <c r="A7" s="3258"/>
      <c r="B7" s="3259"/>
      <c r="C7" s="3259"/>
      <c r="D7" s="3826"/>
      <c r="E7" s="3257" t="s">
        <v>3196</v>
      </c>
      <c r="F7" s="3826"/>
      <c r="G7" s="3257" t="s">
        <v>3197</v>
      </c>
      <c r="H7" s="3257" t="s">
        <v>3198</v>
      </c>
      <c r="I7" s="3826"/>
      <c r="J7" s="3826"/>
      <c r="K7" s="3826"/>
      <c r="L7" s="3833"/>
    </row>
    <row r="8" spans="1:21" ht="12.75">
      <c r="A8" s="3227" t="s">
        <v>3199</v>
      </c>
      <c r="B8" s="3227" t="s">
        <v>3200</v>
      </c>
      <c r="C8" s="3227" t="s">
        <v>3201</v>
      </c>
      <c r="D8" s="3228" t="s">
        <v>3180</v>
      </c>
      <c r="E8" s="3228" t="s">
        <v>3202</v>
      </c>
      <c r="F8" s="3228" t="s">
        <v>3203</v>
      </c>
      <c r="G8" s="3228" t="s">
        <v>3204</v>
      </c>
      <c r="H8" s="3228" t="s">
        <v>3205</v>
      </c>
      <c r="I8" s="3229" t="s">
        <v>3206</v>
      </c>
      <c r="J8" s="3229">
        <v>544.91999999999996</v>
      </c>
      <c r="K8" s="3229" t="s">
        <v>3207</v>
      </c>
      <c r="L8" s="3230" t="s">
        <v>3208</v>
      </c>
      <c r="O8" s="3260"/>
      <c r="T8" s="3248">
        <v>101</v>
      </c>
      <c r="U8" s="3248">
        <v>15000</v>
      </c>
    </row>
    <row r="9" spans="1:21" ht="12.75">
      <c r="A9" s="3227" t="s">
        <v>3199</v>
      </c>
      <c r="B9" s="3227" t="s">
        <v>3209</v>
      </c>
      <c r="C9" s="3227" t="s">
        <v>3201</v>
      </c>
      <c r="D9" s="3228" t="s">
        <v>3180</v>
      </c>
      <c r="E9" s="3228" t="s">
        <v>3202</v>
      </c>
      <c r="F9" s="3228" t="s">
        <v>3203</v>
      </c>
      <c r="G9" s="3228" t="s">
        <v>3204</v>
      </c>
      <c r="H9" s="3228" t="s">
        <v>3180</v>
      </c>
      <c r="I9" s="3229" t="s">
        <v>3206</v>
      </c>
      <c r="J9" s="3229">
        <v>157.66</v>
      </c>
      <c r="K9" s="3229" t="s">
        <v>3210</v>
      </c>
      <c r="L9" s="3230" t="s">
        <v>3211</v>
      </c>
      <c r="O9" s="3260"/>
      <c r="T9" s="3248">
        <v>112</v>
      </c>
      <c r="U9" s="3248">
        <v>17000</v>
      </c>
    </row>
    <row r="10" spans="1:21" ht="12.75">
      <c r="A10" s="3227" t="s">
        <v>3199</v>
      </c>
      <c r="B10" s="3227" t="s">
        <v>3212</v>
      </c>
      <c r="C10" s="3227" t="s">
        <v>3201</v>
      </c>
      <c r="D10" s="3228" t="s">
        <v>3180</v>
      </c>
      <c r="E10" s="3228" t="s">
        <v>3202</v>
      </c>
      <c r="F10" s="3228" t="s">
        <v>3213</v>
      </c>
      <c r="G10" s="3228" t="s">
        <v>3204</v>
      </c>
      <c r="H10" s="3228" t="s">
        <v>3205</v>
      </c>
      <c r="I10" s="3229" t="s">
        <v>3214</v>
      </c>
      <c r="J10" s="3229">
        <v>158.19999999999999</v>
      </c>
      <c r="K10" s="3229" t="s">
        <v>3215</v>
      </c>
      <c r="L10" s="3230" t="s">
        <v>3216</v>
      </c>
      <c r="N10" s="3250">
        <f>U12</f>
        <v>20000</v>
      </c>
      <c r="O10" s="3263">
        <f>N10*12</f>
        <v>240000</v>
      </c>
      <c r="T10" s="3248">
        <v>136</v>
      </c>
      <c r="U10" s="3248">
        <v>18000</v>
      </c>
    </row>
    <row r="11" spans="1:21" ht="12.75">
      <c r="A11" s="3231" t="s">
        <v>3199</v>
      </c>
      <c r="B11" s="3228" t="s">
        <v>3217</v>
      </c>
      <c r="C11" s="3228" t="s">
        <v>3201</v>
      </c>
      <c r="D11" s="3228" t="s">
        <v>3180</v>
      </c>
      <c r="E11" s="3228" t="s">
        <v>3202</v>
      </c>
      <c r="F11" s="3228" t="s">
        <v>3213</v>
      </c>
      <c r="G11" s="3228" t="s">
        <v>3204</v>
      </c>
      <c r="H11" s="3228" t="s">
        <v>3205</v>
      </c>
      <c r="I11" s="3229" t="s">
        <v>3214</v>
      </c>
      <c r="J11" s="3229">
        <v>154.30000000000001</v>
      </c>
      <c r="K11" s="3229" t="s">
        <v>3218</v>
      </c>
      <c r="L11" s="3230" t="s">
        <v>3219</v>
      </c>
      <c r="N11" s="3250">
        <f>U12</f>
        <v>20000</v>
      </c>
      <c r="O11" s="3263">
        <f t="shared" ref="O11:O74" si="0">N11*12</f>
        <v>240000</v>
      </c>
      <c r="T11" s="3248">
        <v>147</v>
      </c>
      <c r="U11" s="3248">
        <v>19000</v>
      </c>
    </row>
    <row r="12" spans="1:21" ht="12.75">
      <c r="A12" s="3231" t="s">
        <v>3199</v>
      </c>
      <c r="B12" s="3228" t="s">
        <v>3220</v>
      </c>
      <c r="C12" s="3228" t="s">
        <v>3201</v>
      </c>
      <c r="D12" s="3228" t="s">
        <v>3180</v>
      </c>
      <c r="E12" s="3228" t="s">
        <v>3202</v>
      </c>
      <c r="F12" s="3228" t="s">
        <v>3213</v>
      </c>
      <c r="G12" s="3228" t="s">
        <v>3204</v>
      </c>
      <c r="H12" s="3228" t="s">
        <v>3205</v>
      </c>
      <c r="I12" s="3229" t="s">
        <v>3214</v>
      </c>
      <c r="J12" s="3229">
        <v>176.26</v>
      </c>
      <c r="K12" s="3229" t="s">
        <v>3221</v>
      </c>
      <c r="L12" s="3230" t="s">
        <v>3222</v>
      </c>
      <c r="N12" s="3250">
        <f>U13</f>
        <v>22000</v>
      </c>
      <c r="O12" s="3263">
        <f t="shared" si="0"/>
        <v>264000</v>
      </c>
      <c r="T12" s="3248">
        <v>158</v>
      </c>
      <c r="U12" s="3248">
        <v>20000</v>
      </c>
    </row>
    <row r="13" spans="1:21" ht="12.75">
      <c r="A13" s="3231" t="s">
        <v>3199</v>
      </c>
      <c r="B13" s="3228" t="s">
        <v>3223</v>
      </c>
      <c r="C13" s="3228" t="s">
        <v>3201</v>
      </c>
      <c r="D13" s="3228" t="s">
        <v>3180</v>
      </c>
      <c r="E13" s="3228" t="s">
        <v>3202</v>
      </c>
      <c r="F13" s="3228" t="s">
        <v>3213</v>
      </c>
      <c r="G13" s="3228" t="s">
        <v>3204</v>
      </c>
      <c r="H13" s="3228" t="s">
        <v>3205</v>
      </c>
      <c r="I13" s="3229" t="s">
        <v>3214</v>
      </c>
      <c r="J13" s="3229">
        <v>155.13</v>
      </c>
      <c r="K13" s="3229" t="s">
        <v>3224</v>
      </c>
      <c r="L13" s="3230" t="s">
        <v>3225</v>
      </c>
      <c r="N13" s="3250">
        <f>U12</f>
        <v>20000</v>
      </c>
      <c r="O13" s="3263">
        <f t="shared" si="0"/>
        <v>240000</v>
      </c>
      <c r="T13" s="3248">
        <v>176</v>
      </c>
      <c r="U13" s="3248">
        <v>22000</v>
      </c>
    </row>
    <row r="14" spans="1:21" ht="12.75">
      <c r="A14" s="3231" t="s">
        <v>3199</v>
      </c>
      <c r="B14" s="3228" t="s">
        <v>3226</v>
      </c>
      <c r="C14" s="3228" t="s">
        <v>3201</v>
      </c>
      <c r="D14" s="3228" t="s">
        <v>3180</v>
      </c>
      <c r="E14" s="3228" t="s">
        <v>3202</v>
      </c>
      <c r="F14" s="3228" t="s">
        <v>3213</v>
      </c>
      <c r="G14" s="3228" t="s">
        <v>3204</v>
      </c>
      <c r="H14" s="3228" t="s">
        <v>3205</v>
      </c>
      <c r="I14" s="3229" t="s">
        <v>3227</v>
      </c>
      <c r="J14" s="3229">
        <v>111.52</v>
      </c>
      <c r="K14" s="3229" t="s">
        <v>3228</v>
      </c>
      <c r="L14" s="3230" t="s">
        <v>3229</v>
      </c>
      <c r="N14" s="3250">
        <f>U9</f>
        <v>17000</v>
      </c>
      <c r="O14" s="3263">
        <f t="shared" si="0"/>
        <v>204000</v>
      </c>
      <c r="T14" s="3248">
        <v>195</v>
      </c>
      <c r="U14" s="3248">
        <v>25000</v>
      </c>
    </row>
    <row r="15" spans="1:21" ht="12.75">
      <c r="A15" s="3231" t="s">
        <v>3199</v>
      </c>
      <c r="B15" s="3228" t="s">
        <v>3230</v>
      </c>
      <c r="C15" s="3228" t="s">
        <v>3201</v>
      </c>
      <c r="D15" s="3228" t="s">
        <v>3180</v>
      </c>
      <c r="E15" s="3228" t="s">
        <v>3202</v>
      </c>
      <c r="F15" s="3228" t="s">
        <v>3213</v>
      </c>
      <c r="G15" s="3228" t="s">
        <v>3204</v>
      </c>
      <c r="H15" s="3228" t="s">
        <v>3205</v>
      </c>
      <c r="I15" s="3229" t="s">
        <v>3227</v>
      </c>
      <c r="J15" s="3229">
        <v>100.84</v>
      </c>
      <c r="K15" s="3229" t="s">
        <v>3231</v>
      </c>
      <c r="L15" s="3230" t="s">
        <v>3232</v>
      </c>
      <c r="N15" s="3250">
        <f>U8</f>
        <v>15000</v>
      </c>
      <c r="O15" s="3263">
        <f t="shared" si="0"/>
        <v>180000</v>
      </c>
      <c r="T15" s="3248">
        <v>223</v>
      </c>
      <c r="U15" s="3248">
        <v>27000</v>
      </c>
    </row>
    <row r="16" spans="1:21" ht="12.75">
      <c r="A16" s="3231" t="s">
        <v>3199</v>
      </c>
      <c r="B16" s="3228" t="s">
        <v>3233</v>
      </c>
      <c r="C16" s="3228" t="s">
        <v>3201</v>
      </c>
      <c r="D16" s="3228" t="s">
        <v>3180</v>
      </c>
      <c r="E16" s="3228" t="s">
        <v>3202</v>
      </c>
      <c r="F16" s="3228" t="s">
        <v>3234</v>
      </c>
      <c r="G16" s="3228" t="s">
        <v>3204</v>
      </c>
      <c r="H16" s="3228" t="s">
        <v>3205</v>
      </c>
      <c r="I16" s="3229" t="s">
        <v>3214</v>
      </c>
      <c r="J16" s="3229">
        <v>158.19999999999999</v>
      </c>
      <c r="K16" s="3229" t="s">
        <v>3215</v>
      </c>
      <c r="L16" s="3230" t="s">
        <v>3235</v>
      </c>
      <c r="N16" s="3250">
        <f>U12</f>
        <v>20000</v>
      </c>
      <c r="O16" s="3263">
        <f t="shared" si="0"/>
        <v>240000</v>
      </c>
      <c r="T16" s="3248">
        <v>282</v>
      </c>
      <c r="U16" s="3248">
        <v>30000</v>
      </c>
    </row>
    <row r="17" spans="1:15" ht="12.75">
      <c r="A17" s="3231" t="s">
        <v>3199</v>
      </c>
      <c r="B17" s="3228" t="s">
        <v>3236</v>
      </c>
      <c r="C17" s="3228" t="s">
        <v>3201</v>
      </c>
      <c r="D17" s="3228" t="s">
        <v>3180</v>
      </c>
      <c r="E17" s="3228" t="s">
        <v>3202</v>
      </c>
      <c r="F17" s="3228" t="s">
        <v>3234</v>
      </c>
      <c r="G17" s="3228" t="s">
        <v>3204</v>
      </c>
      <c r="H17" s="3228" t="s">
        <v>3205</v>
      </c>
      <c r="I17" s="3229" t="s">
        <v>3214</v>
      </c>
      <c r="J17" s="3229">
        <v>154.30000000000001</v>
      </c>
      <c r="K17" s="3229" t="s">
        <v>3218</v>
      </c>
      <c r="L17" s="3230" t="s">
        <v>3237</v>
      </c>
      <c r="N17" s="3250">
        <f>U12</f>
        <v>20000</v>
      </c>
      <c r="O17" s="3263">
        <f t="shared" si="0"/>
        <v>240000</v>
      </c>
    </row>
    <row r="18" spans="1:15" ht="12.75">
      <c r="A18" s="3231" t="s">
        <v>3199</v>
      </c>
      <c r="B18" s="3228" t="s">
        <v>3238</v>
      </c>
      <c r="C18" s="3228" t="s">
        <v>3201</v>
      </c>
      <c r="D18" s="3228" t="s">
        <v>3180</v>
      </c>
      <c r="E18" s="3228" t="s">
        <v>3202</v>
      </c>
      <c r="F18" s="3228" t="s">
        <v>3234</v>
      </c>
      <c r="G18" s="3228" t="s">
        <v>3204</v>
      </c>
      <c r="H18" s="3228" t="s">
        <v>3205</v>
      </c>
      <c r="I18" s="3229" t="s">
        <v>3214</v>
      </c>
      <c r="J18" s="3229">
        <v>176.26</v>
      </c>
      <c r="K18" s="3229" t="s">
        <v>3221</v>
      </c>
      <c r="L18" s="3230" t="s">
        <v>3239</v>
      </c>
      <c r="N18" s="3250">
        <f>U13</f>
        <v>22000</v>
      </c>
      <c r="O18" s="3263">
        <f t="shared" si="0"/>
        <v>264000</v>
      </c>
    </row>
    <row r="19" spans="1:15" ht="12.75">
      <c r="A19" s="3231" t="s">
        <v>3199</v>
      </c>
      <c r="B19" s="3228" t="s">
        <v>3240</v>
      </c>
      <c r="C19" s="3228" t="s">
        <v>3201</v>
      </c>
      <c r="D19" s="3228" t="s">
        <v>3180</v>
      </c>
      <c r="E19" s="3228" t="s">
        <v>3202</v>
      </c>
      <c r="F19" s="3228" t="s">
        <v>3234</v>
      </c>
      <c r="G19" s="3228" t="s">
        <v>3204</v>
      </c>
      <c r="H19" s="3228" t="s">
        <v>3205</v>
      </c>
      <c r="I19" s="3229" t="s">
        <v>3214</v>
      </c>
      <c r="J19" s="3229">
        <v>155.13</v>
      </c>
      <c r="K19" s="3229" t="s">
        <v>3224</v>
      </c>
      <c r="L19" s="3230" t="s">
        <v>3241</v>
      </c>
      <c r="N19" s="3250">
        <f>U12</f>
        <v>20000</v>
      </c>
      <c r="O19" s="3263">
        <f t="shared" si="0"/>
        <v>240000</v>
      </c>
    </row>
    <row r="20" spans="1:15" ht="12.75">
      <c r="A20" s="3231" t="s">
        <v>3199</v>
      </c>
      <c r="B20" s="3228" t="s">
        <v>3242</v>
      </c>
      <c r="C20" s="3228" t="s">
        <v>3201</v>
      </c>
      <c r="D20" s="3228" t="s">
        <v>3180</v>
      </c>
      <c r="E20" s="3228" t="s">
        <v>3202</v>
      </c>
      <c r="F20" s="3228" t="s">
        <v>3234</v>
      </c>
      <c r="G20" s="3228" t="s">
        <v>3204</v>
      </c>
      <c r="H20" s="3228" t="s">
        <v>3205</v>
      </c>
      <c r="I20" s="3229" t="s">
        <v>3227</v>
      </c>
      <c r="J20" s="3229">
        <v>111.52</v>
      </c>
      <c r="K20" s="3229" t="s">
        <v>3228</v>
      </c>
      <c r="L20" s="3230" t="s">
        <v>3243</v>
      </c>
      <c r="N20" s="3250">
        <f>U9</f>
        <v>17000</v>
      </c>
      <c r="O20" s="3263">
        <f t="shared" si="0"/>
        <v>204000</v>
      </c>
    </row>
    <row r="21" spans="1:15" ht="12.75">
      <c r="A21" s="3231" t="s">
        <v>3199</v>
      </c>
      <c r="B21" s="3228" t="s">
        <v>3244</v>
      </c>
      <c r="C21" s="3228" t="s">
        <v>3201</v>
      </c>
      <c r="D21" s="3228" t="s">
        <v>3180</v>
      </c>
      <c r="E21" s="3228" t="s">
        <v>3202</v>
      </c>
      <c r="F21" s="3228" t="s">
        <v>3234</v>
      </c>
      <c r="G21" s="3228" t="s">
        <v>3204</v>
      </c>
      <c r="H21" s="3228" t="s">
        <v>3205</v>
      </c>
      <c r="I21" s="3229" t="s">
        <v>3227</v>
      </c>
      <c r="J21" s="3229">
        <v>100.84</v>
      </c>
      <c r="K21" s="3229" t="s">
        <v>3231</v>
      </c>
      <c r="L21" s="3230" t="s">
        <v>3245</v>
      </c>
      <c r="N21" s="3250">
        <f>U8</f>
        <v>15000</v>
      </c>
      <c r="O21" s="3263">
        <f t="shared" si="0"/>
        <v>180000</v>
      </c>
    </row>
    <row r="22" spans="1:15" ht="12.75">
      <c r="A22" s="3231" t="s">
        <v>3199</v>
      </c>
      <c r="B22" s="3228" t="s">
        <v>3246</v>
      </c>
      <c r="C22" s="3228" t="s">
        <v>3201</v>
      </c>
      <c r="D22" s="3228" t="s">
        <v>3180</v>
      </c>
      <c r="E22" s="3228" t="s">
        <v>3202</v>
      </c>
      <c r="F22" s="3228" t="s">
        <v>3247</v>
      </c>
      <c r="G22" s="3228" t="s">
        <v>3204</v>
      </c>
      <c r="H22" s="3228" t="s">
        <v>3205</v>
      </c>
      <c r="I22" s="3229" t="s">
        <v>3214</v>
      </c>
      <c r="J22" s="3229">
        <v>158.19999999999999</v>
      </c>
      <c r="K22" s="3229" t="s">
        <v>3215</v>
      </c>
      <c r="L22" s="3230" t="s">
        <v>3248</v>
      </c>
      <c r="N22" s="3250">
        <f>U12</f>
        <v>20000</v>
      </c>
      <c r="O22" s="3263">
        <f t="shared" si="0"/>
        <v>240000</v>
      </c>
    </row>
    <row r="23" spans="1:15" ht="12.75">
      <c r="A23" s="3231" t="s">
        <v>3199</v>
      </c>
      <c r="B23" s="3228" t="s">
        <v>3249</v>
      </c>
      <c r="C23" s="3228" t="s">
        <v>3201</v>
      </c>
      <c r="D23" s="3228" t="s">
        <v>3180</v>
      </c>
      <c r="E23" s="3228" t="s">
        <v>3202</v>
      </c>
      <c r="F23" s="3228" t="s">
        <v>3247</v>
      </c>
      <c r="G23" s="3228" t="s">
        <v>3204</v>
      </c>
      <c r="H23" s="3228" t="s">
        <v>3205</v>
      </c>
      <c r="I23" s="3229" t="s">
        <v>3214</v>
      </c>
      <c r="J23" s="3229">
        <v>154.30000000000001</v>
      </c>
      <c r="K23" s="3229" t="s">
        <v>3218</v>
      </c>
      <c r="L23" s="3230" t="s">
        <v>3250</v>
      </c>
      <c r="N23" s="3250">
        <f>U12</f>
        <v>20000</v>
      </c>
      <c r="O23" s="3263">
        <f t="shared" si="0"/>
        <v>240000</v>
      </c>
    </row>
    <row r="24" spans="1:15" ht="12.75">
      <c r="A24" s="3231" t="s">
        <v>3199</v>
      </c>
      <c r="B24" s="3228" t="s">
        <v>3251</v>
      </c>
      <c r="C24" s="3228" t="s">
        <v>3201</v>
      </c>
      <c r="D24" s="3228" t="s">
        <v>3180</v>
      </c>
      <c r="E24" s="3228" t="s">
        <v>3202</v>
      </c>
      <c r="F24" s="3228" t="s">
        <v>3247</v>
      </c>
      <c r="G24" s="3228" t="s">
        <v>3204</v>
      </c>
      <c r="H24" s="3228" t="s">
        <v>3205</v>
      </c>
      <c r="I24" s="3229" t="s">
        <v>3214</v>
      </c>
      <c r="J24" s="3229">
        <v>176.26</v>
      </c>
      <c r="K24" s="3229" t="s">
        <v>3221</v>
      </c>
      <c r="L24" s="3230" t="s">
        <v>3252</v>
      </c>
      <c r="N24" s="3250">
        <f>U13</f>
        <v>22000</v>
      </c>
      <c r="O24" s="3263">
        <f t="shared" si="0"/>
        <v>264000</v>
      </c>
    </row>
    <row r="25" spans="1:15" ht="12.75">
      <c r="A25" s="3231" t="s">
        <v>3199</v>
      </c>
      <c r="B25" s="3228" t="s">
        <v>3253</v>
      </c>
      <c r="C25" s="3228" t="s">
        <v>3201</v>
      </c>
      <c r="D25" s="3228" t="s">
        <v>3180</v>
      </c>
      <c r="E25" s="3228" t="s">
        <v>3202</v>
      </c>
      <c r="F25" s="3228" t="s">
        <v>3247</v>
      </c>
      <c r="G25" s="3228" t="s">
        <v>3204</v>
      </c>
      <c r="H25" s="3228" t="s">
        <v>3205</v>
      </c>
      <c r="I25" s="3229" t="s">
        <v>3214</v>
      </c>
      <c r="J25" s="3229">
        <v>155.13</v>
      </c>
      <c r="K25" s="3229" t="s">
        <v>3224</v>
      </c>
      <c r="L25" s="3230" t="s">
        <v>3254</v>
      </c>
      <c r="N25" s="3250">
        <f>U12</f>
        <v>20000</v>
      </c>
      <c r="O25" s="3263">
        <f t="shared" si="0"/>
        <v>240000</v>
      </c>
    </row>
    <row r="26" spans="1:15" ht="12.75">
      <c r="A26" s="3231" t="s">
        <v>3199</v>
      </c>
      <c r="B26" s="3228" t="s">
        <v>3255</v>
      </c>
      <c r="C26" s="3228" t="s">
        <v>3201</v>
      </c>
      <c r="D26" s="3228" t="s">
        <v>3180</v>
      </c>
      <c r="E26" s="3228" t="s">
        <v>3202</v>
      </c>
      <c r="F26" s="3228" t="s">
        <v>3247</v>
      </c>
      <c r="G26" s="3228" t="s">
        <v>3204</v>
      </c>
      <c r="H26" s="3228" t="s">
        <v>3205</v>
      </c>
      <c r="I26" s="3229" t="s">
        <v>3227</v>
      </c>
      <c r="J26" s="3229">
        <v>111.52</v>
      </c>
      <c r="K26" s="3229" t="s">
        <v>3228</v>
      </c>
      <c r="L26" s="3230" t="s">
        <v>3256</v>
      </c>
      <c r="N26" s="3250">
        <f>U9</f>
        <v>17000</v>
      </c>
      <c r="O26" s="3263">
        <f t="shared" si="0"/>
        <v>204000</v>
      </c>
    </row>
    <row r="27" spans="1:15" ht="12.75">
      <c r="A27" s="3231" t="s">
        <v>3199</v>
      </c>
      <c r="B27" s="3228" t="s">
        <v>3257</v>
      </c>
      <c r="C27" s="3228" t="s">
        <v>3201</v>
      </c>
      <c r="D27" s="3228" t="s">
        <v>3180</v>
      </c>
      <c r="E27" s="3228" t="s">
        <v>3202</v>
      </c>
      <c r="F27" s="3228" t="s">
        <v>3247</v>
      </c>
      <c r="G27" s="3228" t="s">
        <v>3204</v>
      </c>
      <c r="H27" s="3228" t="s">
        <v>3205</v>
      </c>
      <c r="I27" s="3229" t="s">
        <v>3227</v>
      </c>
      <c r="J27" s="3229">
        <v>100.84</v>
      </c>
      <c r="K27" s="3229" t="s">
        <v>3231</v>
      </c>
      <c r="L27" s="3230" t="s">
        <v>3258</v>
      </c>
      <c r="N27" s="3250">
        <f>U8</f>
        <v>15000</v>
      </c>
      <c r="O27" s="3263">
        <f t="shared" si="0"/>
        <v>180000</v>
      </c>
    </row>
    <row r="28" spans="1:15" ht="12.75">
      <c r="A28" s="3231" t="s">
        <v>3199</v>
      </c>
      <c r="B28" s="3228" t="s">
        <v>3259</v>
      </c>
      <c r="C28" s="3228" t="s">
        <v>3201</v>
      </c>
      <c r="D28" s="3228" t="s">
        <v>3180</v>
      </c>
      <c r="E28" s="3228" t="s">
        <v>3202</v>
      </c>
      <c r="F28" s="3228" t="s">
        <v>3260</v>
      </c>
      <c r="G28" s="3228" t="s">
        <v>3204</v>
      </c>
      <c r="H28" s="3228" t="s">
        <v>3205</v>
      </c>
      <c r="I28" s="3229" t="s">
        <v>3214</v>
      </c>
      <c r="J28" s="3229">
        <v>158.19999999999999</v>
      </c>
      <c r="K28" s="3229" t="s">
        <v>3215</v>
      </c>
      <c r="L28" s="3230" t="s">
        <v>3261</v>
      </c>
      <c r="N28" s="3250">
        <f>U12</f>
        <v>20000</v>
      </c>
      <c r="O28" s="3263">
        <f t="shared" si="0"/>
        <v>240000</v>
      </c>
    </row>
    <row r="29" spans="1:15" ht="12.75">
      <c r="A29" s="3231" t="s">
        <v>3199</v>
      </c>
      <c r="B29" s="3228" t="s">
        <v>3262</v>
      </c>
      <c r="C29" s="3228" t="s">
        <v>3201</v>
      </c>
      <c r="D29" s="3228" t="s">
        <v>3180</v>
      </c>
      <c r="E29" s="3228" t="s">
        <v>3202</v>
      </c>
      <c r="F29" s="3228" t="s">
        <v>3260</v>
      </c>
      <c r="G29" s="3228" t="s">
        <v>3204</v>
      </c>
      <c r="H29" s="3228" t="s">
        <v>3205</v>
      </c>
      <c r="I29" s="3229" t="s">
        <v>3214</v>
      </c>
      <c r="J29" s="3229">
        <v>154.30000000000001</v>
      </c>
      <c r="K29" s="3229" t="s">
        <v>3218</v>
      </c>
      <c r="L29" s="3230" t="s">
        <v>3263</v>
      </c>
      <c r="N29" s="3250">
        <f>U12</f>
        <v>20000</v>
      </c>
      <c r="O29" s="3263">
        <f t="shared" si="0"/>
        <v>240000</v>
      </c>
    </row>
    <row r="30" spans="1:15" ht="12.75">
      <c r="A30" s="3231" t="s">
        <v>3199</v>
      </c>
      <c r="B30" s="3228" t="s">
        <v>3264</v>
      </c>
      <c r="C30" s="3228" t="s">
        <v>3201</v>
      </c>
      <c r="D30" s="3228" t="s">
        <v>3180</v>
      </c>
      <c r="E30" s="3228" t="s">
        <v>3202</v>
      </c>
      <c r="F30" s="3228" t="s">
        <v>3260</v>
      </c>
      <c r="G30" s="3228" t="s">
        <v>3204</v>
      </c>
      <c r="H30" s="3228" t="s">
        <v>3205</v>
      </c>
      <c r="I30" s="3229" t="s">
        <v>3214</v>
      </c>
      <c r="J30" s="3229">
        <v>176.26</v>
      </c>
      <c r="K30" s="3229" t="s">
        <v>3221</v>
      </c>
      <c r="L30" s="3230" t="s">
        <v>3265</v>
      </c>
      <c r="N30" s="3250">
        <f>U13</f>
        <v>22000</v>
      </c>
      <c r="O30" s="3263">
        <f t="shared" si="0"/>
        <v>264000</v>
      </c>
    </row>
    <row r="31" spans="1:15" ht="12.75">
      <c r="A31" s="3231" t="s">
        <v>3199</v>
      </c>
      <c r="B31" s="3228" t="s">
        <v>3266</v>
      </c>
      <c r="C31" s="3228" t="s">
        <v>3201</v>
      </c>
      <c r="D31" s="3228" t="s">
        <v>3180</v>
      </c>
      <c r="E31" s="3228" t="s">
        <v>3202</v>
      </c>
      <c r="F31" s="3228" t="s">
        <v>3260</v>
      </c>
      <c r="G31" s="3228" t="s">
        <v>3204</v>
      </c>
      <c r="H31" s="3228" t="s">
        <v>3205</v>
      </c>
      <c r="I31" s="3229" t="s">
        <v>3214</v>
      </c>
      <c r="J31" s="3229">
        <v>155.13</v>
      </c>
      <c r="K31" s="3229" t="s">
        <v>3224</v>
      </c>
      <c r="L31" s="3230" t="s">
        <v>3267</v>
      </c>
      <c r="N31" s="3250">
        <f>U12</f>
        <v>20000</v>
      </c>
      <c r="O31" s="3263">
        <f t="shared" si="0"/>
        <v>240000</v>
      </c>
    </row>
    <row r="32" spans="1:15" ht="12.75">
      <c r="A32" s="3231" t="s">
        <v>3199</v>
      </c>
      <c r="B32" s="3228" t="s">
        <v>3268</v>
      </c>
      <c r="C32" s="3228" t="s">
        <v>3201</v>
      </c>
      <c r="D32" s="3228" t="s">
        <v>3180</v>
      </c>
      <c r="E32" s="3228" t="s">
        <v>3202</v>
      </c>
      <c r="F32" s="3228" t="s">
        <v>3260</v>
      </c>
      <c r="G32" s="3228" t="s">
        <v>3204</v>
      </c>
      <c r="H32" s="3228" t="s">
        <v>3205</v>
      </c>
      <c r="I32" s="3229" t="s">
        <v>3227</v>
      </c>
      <c r="J32" s="3229">
        <v>111.52</v>
      </c>
      <c r="K32" s="3229" t="s">
        <v>3228</v>
      </c>
      <c r="L32" s="3230" t="s">
        <v>3269</v>
      </c>
      <c r="N32" s="3250">
        <f>U9</f>
        <v>17000</v>
      </c>
      <c r="O32" s="3263">
        <f t="shared" si="0"/>
        <v>204000</v>
      </c>
    </row>
    <row r="33" spans="1:15" ht="12.75">
      <c r="A33" s="3231" t="s">
        <v>3199</v>
      </c>
      <c r="B33" s="3228" t="s">
        <v>3270</v>
      </c>
      <c r="C33" s="3228" t="s">
        <v>3201</v>
      </c>
      <c r="D33" s="3228" t="s">
        <v>3180</v>
      </c>
      <c r="E33" s="3228" t="s">
        <v>3202</v>
      </c>
      <c r="F33" s="3228" t="s">
        <v>3260</v>
      </c>
      <c r="G33" s="3228" t="s">
        <v>3204</v>
      </c>
      <c r="H33" s="3228" t="s">
        <v>3205</v>
      </c>
      <c r="I33" s="3229" t="s">
        <v>3227</v>
      </c>
      <c r="J33" s="3229">
        <v>100.84</v>
      </c>
      <c r="K33" s="3229" t="s">
        <v>3231</v>
      </c>
      <c r="L33" s="3230" t="s">
        <v>3271</v>
      </c>
      <c r="N33" s="3250">
        <f>U8</f>
        <v>15000</v>
      </c>
      <c r="O33" s="3263">
        <f t="shared" si="0"/>
        <v>180000</v>
      </c>
    </row>
    <row r="34" spans="1:15" ht="12.75">
      <c r="A34" s="3231" t="s">
        <v>3199</v>
      </c>
      <c r="B34" s="3228" t="s">
        <v>3272</v>
      </c>
      <c r="C34" s="3228" t="s">
        <v>3201</v>
      </c>
      <c r="D34" s="3228" t="s">
        <v>3180</v>
      </c>
      <c r="E34" s="3228" t="s">
        <v>3202</v>
      </c>
      <c r="F34" s="3228" t="s">
        <v>3273</v>
      </c>
      <c r="G34" s="3228" t="s">
        <v>3204</v>
      </c>
      <c r="H34" s="3228" t="s">
        <v>3205</v>
      </c>
      <c r="I34" s="3229" t="s">
        <v>3214</v>
      </c>
      <c r="J34" s="3229">
        <v>158.19999999999999</v>
      </c>
      <c r="K34" s="3229" t="s">
        <v>3215</v>
      </c>
      <c r="L34" s="3230" t="s">
        <v>3274</v>
      </c>
      <c r="N34" s="3250">
        <f>U12</f>
        <v>20000</v>
      </c>
      <c r="O34" s="3263">
        <f t="shared" si="0"/>
        <v>240000</v>
      </c>
    </row>
    <row r="35" spans="1:15" ht="12.75">
      <c r="A35" s="3231" t="s">
        <v>3199</v>
      </c>
      <c r="B35" s="3228" t="s">
        <v>3275</v>
      </c>
      <c r="C35" s="3228" t="s">
        <v>3201</v>
      </c>
      <c r="D35" s="3228" t="s">
        <v>3180</v>
      </c>
      <c r="E35" s="3228" t="s">
        <v>3202</v>
      </c>
      <c r="F35" s="3228" t="s">
        <v>3273</v>
      </c>
      <c r="G35" s="3228" t="s">
        <v>3204</v>
      </c>
      <c r="H35" s="3228" t="s">
        <v>3205</v>
      </c>
      <c r="I35" s="3229" t="s">
        <v>3214</v>
      </c>
      <c r="J35" s="3229">
        <v>154.30000000000001</v>
      </c>
      <c r="K35" s="3229" t="s">
        <v>3218</v>
      </c>
      <c r="L35" s="3230" t="s">
        <v>3276</v>
      </c>
      <c r="N35" s="3250">
        <f>U12</f>
        <v>20000</v>
      </c>
      <c r="O35" s="3263">
        <f t="shared" si="0"/>
        <v>240000</v>
      </c>
    </row>
    <row r="36" spans="1:15" ht="12.75">
      <c r="A36" s="3231" t="s">
        <v>3199</v>
      </c>
      <c r="B36" s="3228" t="s">
        <v>3277</v>
      </c>
      <c r="C36" s="3228" t="s">
        <v>3201</v>
      </c>
      <c r="D36" s="3228" t="s">
        <v>3180</v>
      </c>
      <c r="E36" s="3228" t="s">
        <v>3202</v>
      </c>
      <c r="F36" s="3228" t="s">
        <v>3273</v>
      </c>
      <c r="G36" s="3228" t="s">
        <v>3204</v>
      </c>
      <c r="H36" s="3228" t="s">
        <v>3205</v>
      </c>
      <c r="I36" s="3229" t="s">
        <v>3214</v>
      </c>
      <c r="J36" s="3229">
        <v>176.26</v>
      </c>
      <c r="K36" s="3229" t="s">
        <v>3221</v>
      </c>
      <c r="L36" s="3230" t="s">
        <v>3278</v>
      </c>
      <c r="N36" s="3250">
        <f>U13</f>
        <v>22000</v>
      </c>
      <c r="O36" s="3263">
        <f t="shared" si="0"/>
        <v>264000</v>
      </c>
    </row>
    <row r="37" spans="1:15" ht="12.75">
      <c r="A37" s="3231" t="s">
        <v>3199</v>
      </c>
      <c r="B37" s="3228" t="s">
        <v>3279</v>
      </c>
      <c r="C37" s="3228" t="s">
        <v>3201</v>
      </c>
      <c r="D37" s="3228" t="s">
        <v>3180</v>
      </c>
      <c r="E37" s="3228" t="s">
        <v>3202</v>
      </c>
      <c r="F37" s="3228" t="s">
        <v>3273</v>
      </c>
      <c r="G37" s="3228" t="s">
        <v>3204</v>
      </c>
      <c r="H37" s="3228" t="s">
        <v>3205</v>
      </c>
      <c r="I37" s="3229" t="s">
        <v>3214</v>
      </c>
      <c r="J37" s="3229">
        <v>155.13</v>
      </c>
      <c r="K37" s="3229" t="s">
        <v>3224</v>
      </c>
      <c r="L37" s="3230" t="s">
        <v>3280</v>
      </c>
      <c r="N37" s="3250">
        <f>U12</f>
        <v>20000</v>
      </c>
      <c r="O37" s="3263">
        <f t="shared" si="0"/>
        <v>240000</v>
      </c>
    </row>
    <row r="38" spans="1:15" ht="12.75">
      <c r="A38" s="3231" t="s">
        <v>3199</v>
      </c>
      <c r="B38" s="3228" t="s">
        <v>3281</v>
      </c>
      <c r="C38" s="3228" t="s">
        <v>3201</v>
      </c>
      <c r="D38" s="3228" t="s">
        <v>3180</v>
      </c>
      <c r="E38" s="3228" t="s">
        <v>3202</v>
      </c>
      <c r="F38" s="3228" t="s">
        <v>3273</v>
      </c>
      <c r="G38" s="3228" t="s">
        <v>3204</v>
      </c>
      <c r="H38" s="3228" t="s">
        <v>3205</v>
      </c>
      <c r="I38" s="3229" t="s">
        <v>3227</v>
      </c>
      <c r="J38" s="3229">
        <v>111.52</v>
      </c>
      <c r="K38" s="3229" t="s">
        <v>3228</v>
      </c>
      <c r="L38" s="3230" t="s">
        <v>3282</v>
      </c>
      <c r="N38" s="3250">
        <f>U9</f>
        <v>17000</v>
      </c>
      <c r="O38" s="3263">
        <f t="shared" si="0"/>
        <v>204000</v>
      </c>
    </row>
    <row r="39" spans="1:15" ht="12.75">
      <c r="A39" s="3231" t="s">
        <v>3199</v>
      </c>
      <c r="B39" s="3228" t="s">
        <v>3283</v>
      </c>
      <c r="C39" s="3228" t="s">
        <v>3201</v>
      </c>
      <c r="D39" s="3228" t="s">
        <v>3180</v>
      </c>
      <c r="E39" s="3228" t="s">
        <v>3202</v>
      </c>
      <c r="F39" s="3228" t="s">
        <v>3273</v>
      </c>
      <c r="G39" s="3228" t="s">
        <v>3204</v>
      </c>
      <c r="H39" s="3228" t="s">
        <v>3205</v>
      </c>
      <c r="I39" s="3229" t="s">
        <v>3227</v>
      </c>
      <c r="J39" s="3229">
        <v>100.84</v>
      </c>
      <c r="K39" s="3229" t="s">
        <v>3231</v>
      </c>
      <c r="L39" s="3230" t="s">
        <v>3284</v>
      </c>
      <c r="N39" s="3250">
        <f>U8</f>
        <v>15000</v>
      </c>
      <c r="O39" s="3263">
        <f t="shared" si="0"/>
        <v>180000</v>
      </c>
    </row>
    <row r="40" spans="1:15" ht="12.75">
      <c r="A40" s="3231" t="s">
        <v>3199</v>
      </c>
      <c r="B40" s="3228" t="s">
        <v>3285</v>
      </c>
      <c r="C40" s="3228" t="s">
        <v>3201</v>
      </c>
      <c r="D40" s="3228" t="s">
        <v>3180</v>
      </c>
      <c r="E40" s="3228" t="s">
        <v>3202</v>
      </c>
      <c r="F40" s="3228" t="s">
        <v>3286</v>
      </c>
      <c r="G40" s="3228" t="s">
        <v>3204</v>
      </c>
      <c r="H40" s="3228" t="s">
        <v>3205</v>
      </c>
      <c r="I40" s="3229" t="s">
        <v>3214</v>
      </c>
      <c r="J40" s="3229">
        <v>158.19999999999999</v>
      </c>
      <c r="K40" s="3229" t="s">
        <v>3215</v>
      </c>
      <c r="L40" s="3230" t="s">
        <v>3287</v>
      </c>
      <c r="N40" s="3250">
        <f>U12</f>
        <v>20000</v>
      </c>
      <c r="O40" s="3263">
        <f t="shared" si="0"/>
        <v>240000</v>
      </c>
    </row>
    <row r="41" spans="1:15" ht="12.75">
      <c r="A41" s="3231" t="s">
        <v>3199</v>
      </c>
      <c r="B41" s="3228" t="s">
        <v>3288</v>
      </c>
      <c r="C41" s="3228" t="s">
        <v>3201</v>
      </c>
      <c r="D41" s="3228" t="s">
        <v>3180</v>
      </c>
      <c r="E41" s="3228" t="s">
        <v>3202</v>
      </c>
      <c r="F41" s="3228" t="s">
        <v>3286</v>
      </c>
      <c r="G41" s="3228" t="s">
        <v>3204</v>
      </c>
      <c r="H41" s="3228" t="s">
        <v>3205</v>
      </c>
      <c r="I41" s="3229" t="s">
        <v>3214</v>
      </c>
      <c r="J41" s="3229">
        <v>154.30000000000001</v>
      </c>
      <c r="K41" s="3229" t="s">
        <v>3218</v>
      </c>
      <c r="L41" s="3230" t="s">
        <v>3289</v>
      </c>
      <c r="N41" s="3250">
        <f>U12</f>
        <v>20000</v>
      </c>
      <c r="O41" s="3263">
        <f t="shared" si="0"/>
        <v>240000</v>
      </c>
    </row>
    <row r="42" spans="1:15" ht="12.75">
      <c r="A42" s="3231" t="s">
        <v>3199</v>
      </c>
      <c r="B42" s="3228" t="s">
        <v>3290</v>
      </c>
      <c r="C42" s="3228" t="s">
        <v>3201</v>
      </c>
      <c r="D42" s="3228" t="s">
        <v>3180</v>
      </c>
      <c r="E42" s="3228" t="s">
        <v>3202</v>
      </c>
      <c r="F42" s="3228" t="s">
        <v>3286</v>
      </c>
      <c r="G42" s="3228" t="s">
        <v>3204</v>
      </c>
      <c r="H42" s="3228" t="s">
        <v>3205</v>
      </c>
      <c r="I42" s="3229" t="s">
        <v>3291</v>
      </c>
      <c r="J42" s="3229">
        <v>194.67</v>
      </c>
      <c r="K42" s="3229" t="s">
        <v>3292</v>
      </c>
      <c r="L42" s="3230" t="s">
        <v>3293</v>
      </c>
      <c r="N42" s="3250">
        <f>U14</f>
        <v>25000</v>
      </c>
      <c r="O42" s="3263">
        <f t="shared" si="0"/>
        <v>300000</v>
      </c>
    </row>
    <row r="43" spans="1:15" ht="12.75">
      <c r="A43" s="3231" t="s">
        <v>3199</v>
      </c>
      <c r="B43" s="3228" t="s">
        <v>3294</v>
      </c>
      <c r="C43" s="3228" t="s">
        <v>3201</v>
      </c>
      <c r="D43" s="3228" t="s">
        <v>3180</v>
      </c>
      <c r="E43" s="3228" t="s">
        <v>3202</v>
      </c>
      <c r="F43" s="3228" t="s">
        <v>3286</v>
      </c>
      <c r="G43" s="3228" t="s">
        <v>3204</v>
      </c>
      <c r="H43" s="3228" t="s">
        <v>3205</v>
      </c>
      <c r="I43" s="3229" t="s">
        <v>3214</v>
      </c>
      <c r="J43" s="3229">
        <v>135.66</v>
      </c>
      <c r="K43" s="3229" t="s">
        <v>3295</v>
      </c>
      <c r="L43" s="3230" t="s">
        <v>3296</v>
      </c>
      <c r="N43" s="3250">
        <f>U10</f>
        <v>18000</v>
      </c>
      <c r="O43" s="3263">
        <f t="shared" si="0"/>
        <v>216000</v>
      </c>
    </row>
    <row r="44" spans="1:15" ht="12.75">
      <c r="A44" s="3231" t="s">
        <v>3199</v>
      </c>
      <c r="B44" s="3228" t="s">
        <v>3297</v>
      </c>
      <c r="C44" s="3228" t="s">
        <v>3201</v>
      </c>
      <c r="D44" s="3228" t="s">
        <v>3180</v>
      </c>
      <c r="E44" s="3228" t="s">
        <v>3202</v>
      </c>
      <c r="F44" s="3228" t="s">
        <v>3286</v>
      </c>
      <c r="G44" s="3228" t="s">
        <v>3204</v>
      </c>
      <c r="H44" s="3228" t="s">
        <v>3205</v>
      </c>
      <c r="I44" s="3229" t="s">
        <v>3214</v>
      </c>
      <c r="J44" s="3229">
        <v>147.19</v>
      </c>
      <c r="K44" s="3229" t="s">
        <v>3298</v>
      </c>
      <c r="L44" s="3230" t="s">
        <v>3299</v>
      </c>
      <c r="N44" s="3250">
        <f>U11</f>
        <v>19000</v>
      </c>
      <c r="O44" s="3263">
        <f t="shared" si="0"/>
        <v>228000</v>
      </c>
    </row>
    <row r="45" spans="1:15" ht="12.75">
      <c r="A45" s="3231" t="s">
        <v>3199</v>
      </c>
      <c r="B45" s="3228" t="s">
        <v>3300</v>
      </c>
      <c r="C45" s="3228" t="s">
        <v>3201</v>
      </c>
      <c r="D45" s="3228" t="s">
        <v>3180</v>
      </c>
      <c r="E45" s="3228" t="s">
        <v>3202</v>
      </c>
      <c r="F45" s="3228" t="s">
        <v>3301</v>
      </c>
      <c r="G45" s="3228" t="s">
        <v>3204</v>
      </c>
      <c r="H45" s="3228" t="s">
        <v>3205</v>
      </c>
      <c r="I45" s="3229" t="s">
        <v>3214</v>
      </c>
      <c r="J45" s="3229">
        <v>158.19999999999999</v>
      </c>
      <c r="K45" s="3229" t="s">
        <v>3215</v>
      </c>
      <c r="L45" s="3230" t="s">
        <v>3302</v>
      </c>
      <c r="N45" s="3250">
        <f>U12</f>
        <v>20000</v>
      </c>
      <c r="O45" s="3263">
        <f t="shared" si="0"/>
        <v>240000</v>
      </c>
    </row>
    <row r="46" spans="1:15" ht="12.75">
      <c r="A46" s="3231" t="s">
        <v>3199</v>
      </c>
      <c r="B46" s="3228" t="s">
        <v>3303</v>
      </c>
      <c r="C46" s="3228" t="s">
        <v>3201</v>
      </c>
      <c r="D46" s="3228" t="s">
        <v>3180</v>
      </c>
      <c r="E46" s="3228" t="s">
        <v>3202</v>
      </c>
      <c r="F46" s="3228" t="s">
        <v>3301</v>
      </c>
      <c r="G46" s="3228" t="s">
        <v>3204</v>
      </c>
      <c r="H46" s="3228" t="s">
        <v>3205</v>
      </c>
      <c r="I46" s="3229" t="s">
        <v>3214</v>
      </c>
      <c r="J46" s="3229">
        <v>154.30000000000001</v>
      </c>
      <c r="K46" s="3229" t="s">
        <v>3218</v>
      </c>
      <c r="L46" s="3230" t="s">
        <v>3304</v>
      </c>
      <c r="N46" s="3250">
        <f>U12</f>
        <v>20000</v>
      </c>
      <c r="O46" s="3263">
        <f t="shared" si="0"/>
        <v>240000</v>
      </c>
    </row>
    <row r="47" spans="1:15" ht="12.75">
      <c r="A47" s="3231" t="s">
        <v>3199</v>
      </c>
      <c r="B47" s="3228" t="s">
        <v>3305</v>
      </c>
      <c r="C47" s="3228" t="s">
        <v>3201</v>
      </c>
      <c r="D47" s="3228" t="s">
        <v>3180</v>
      </c>
      <c r="E47" s="3228" t="s">
        <v>3202</v>
      </c>
      <c r="F47" s="3228" t="s">
        <v>3301</v>
      </c>
      <c r="G47" s="3228" t="s">
        <v>3204</v>
      </c>
      <c r="H47" s="3228" t="s">
        <v>3205</v>
      </c>
      <c r="I47" s="3229" t="s">
        <v>3291</v>
      </c>
      <c r="J47" s="3229">
        <v>194.67</v>
      </c>
      <c r="K47" s="3229" t="s">
        <v>3292</v>
      </c>
      <c r="L47" s="3230" t="s">
        <v>3306</v>
      </c>
      <c r="N47" s="3250">
        <f>U14</f>
        <v>25000</v>
      </c>
      <c r="O47" s="3263">
        <f t="shared" si="0"/>
        <v>300000</v>
      </c>
    </row>
    <row r="48" spans="1:15" ht="12.75">
      <c r="A48" s="3266" t="s">
        <v>3199</v>
      </c>
      <c r="B48" s="3267" t="s">
        <v>3307</v>
      </c>
      <c r="C48" s="3267" t="s">
        <v>3201</v>
      </c>
      <c r="D48" s="3267" t="s">
        <v>3180</v>
      </c>
      <c r="E48" s="3267" t="s">
        <v>3202</v>
      </c>
      <c r="F48" s="3267" t="s">
        <v>3301</v>
      </c>
      <c r="G48" s="3267" t="s">
        <v>3204</v>
      </c>
      <c r="H48" s="3267" t="s">
        <v>3205</v>
      </c>
      <c r="I48" s="3268" t="s">
        <v>3214</v>
      </c>
      <c r="J48" s="3268">
        <v>135.66</v>
      </c>
      <c r="K48" s="3229" t="s">
        <v>3295</v>
      </c>
      <c r="L48" s="3230" t="s">
        <v>3308</v>
      </c>
      <c r="N48" s="3250">
        <f>U10</f>
        <v>18000</v>
      </c>
      <c r="O48" s="3263">
        <f t="shared" si="0"/>
        <v>216000</v>
      </c>
    </row>
    <row r="49" spans="1:15" ht="12.75">
      <c r="A49" s="3231" t="s">
        <v>3199</v>
      </c>
      <c r="B49" s="3228" t="s">
        <v>3309</v>
      </c>
      <c r="C49" s="3228" t="s">
        <v>3201</v>
      </c>
      <c r="D49" s="3228" t="s">
        <v>3180</v>
      </c>
      <c r="E49" s="3228" t="s">
        <v>3202</v>
      </c>
      <c r="F49" s="3228" t="s">
        <v>3301</v>
      </c>
      <c r="G49" s="3228" t="s">
        <v>3204</v>
      </c>
      <c r="H49" s="3228" t="s">
        <v>3205</v>
      </c>
      <c r="I49" s="3229" t="s">
        <v>3214</v>
      </c>
      <c r="J49" s="3229">
        <v>147.19</v>
      </c>
      <c r="K49" s="3229" t="s">
        <v>3298</v>
      </c>
      <c r="L49" s="3230" t="s">
        <v>3310</v>
      </c>
      <c r="N49" s="3250">
        <f>U11</f>
        <v>19000</v>
      </c>
      <c r="O49" s="3263">
        <f t="shared" si="0"/>
        <v>228000</v>
      </c>
    </row>
    <row r="50" spans="1:15" ht="12.75">
      <c r="A50" s="3231" t="s">
        <v>3199</v>
      </c>
      <c r="B50" s="3228" t="s">
        <v>3311</v>
      </c>
      <c r="C50" s="3228" t="s">
        <v>3201</v>
      </c>
      <c r="D50" s="3228" t="s">
        <v>3180</v>
      </c>
      <c r="E50" s="3228" t="s">
        <v>3202</v>
      </c>
      <c r="F50" s="3228" t="s">
        <v>3312</v>
      </c>
      <c r="G50" s="3228" t="s">
        <v>3204</v>
      </c>
      <c r="H50" s="3228" t="s">
        <v>3205</v>
      </c>
      <c r="I50" s="3229" t="s">
        <v>3214</v>
      </c>
      <c r="J50" s="3229">
        <v>158.19999999999999</v>
      </c>
      <c r="K50" s="3229" t="s">
        <v>3215</v>
      </c>
      <c r="L50" s="3230" t="s">
        <v>3313</v>
      </c>
      <c r="N50" s="3250">
        <f>U12</f>
        <v>20000</v>
      </c>
      <c r="O50" s="3263">
        <f t="shared" si="0"/>
        <v>240000</v>
      </c>
    </row>
    <row r="51" spans="1:15" ht="12.75">
      <c r="A51" s="3231" t="s">
        <v>3199</v>
      </c>
      <c r="B51" s="3228" t="s">
        <v>3314</v>
      </c>
      <c r="C51" s="3228" t="s">
        <v>3201</v>
      </c>
      <c r="D51" s="3228" t="s">
        <v>3180</v>
      </c>
      <c r="E51" s="3228" t="s">
        <v>3202</v>
      </c>
      <c r="F51" s="3228" t="s">
        <v>3312</v>
      </c>
      <c r="G51" s="3228" t="s">
        <v>3204</v>
      </c>
      <c r="H51" s="3228" t="s">
        <v>3205</v>
      </c>
      <c r="I51" s="3229" t="s">
        <v>3214</v>
      </c>
      <c r="J51" s="3229">
        <v>154.30000000000001</v>
      </c>
      <c r="K51" s="3229" t="s">
        <v>3218</v>
      </c>
      <c r="L51" s="3230" t="s">
        <v>3315</v>
      </c>
      <c r="N51" s="3250">
        <f>U12</f>
        <v>20000</v>
      </c>
      <c r="O51" s="3263">
        <f t="shared" si="0"/>
        <v>240000</v>
      </c>
    </row>
    <row r="52" spans="1:15" ht="12.75">
      <c r="A52" s="3231" t="s">
        <v>3199</v>
      </c>
      <c r="B52" s="3228" t="s">
        <v>3316</v>
      </c>
      <c r="C52" s="3228" t="s">
        <v>3201</v>
      </c>
      <c r="D52" s="3228" t="s">
        <v>3180</v>
      </c>
      <c r="E52" s="3228" t="s">
        <v>3202</v>
      </c>
      <c r="F52" s="3228" t="s">
        <v>3312</v>
      </c>
      <c r="G52" s="3228" t="s">
        <v>3204</v>
      </c>
      <c r="H52" s="3228" t="s">
        <v>3205</v>
      </c>
      <c r="I52" s="3229" t="s">
        <v>3291</v>
      </c>
      <c r="J52" s="3229">
        <v>194.67</v>
      </c>
      <c r="K52" s="3229" t="s">
        <v>3292</v>
      </c>
      <c r="L52" s="3230" t="s">
        <v>3317</v>
      </c>
      <c r="N52" s="3250">
        <f>U14</f>
        <v>25000</v>
      </c>
      <c r="O52" s="3263">
        <f t="shared" si="0"/>
        <v>300000</v>
      </c>
    </row>
    <row r="53" spans="1:15" ht="12.75">
      <c r="A53" s="3231" t="s">
        <v>3199</v>
      </c>
      <c r="B53" s="3228" t="s">
        <v>3318</v>
      </c>
      <c r="C53" s="3228" t="s">
        <v>3201</v>
      </c>
      <c r="D53" s="3228" t="s">
        <v>3180</v>
      </c>
      <c r="E53" s="3228" t="s">
        <v>3202</v>
      </c>
      <c r="F53" s="3228" t="s">
        <v>3312</v>
      </c>
      <c r="G53" s="3228" t="s">
        <v>3204</v>
      </c>
      <c r="H53" s="3228" t="s">
        <v>3205</v>
      </c>
      <c r="I53" s="3229" t="s">
        <v>3214</v>
      </c>
      <c r="J53" s="3229">
        <v>135.66</v>
      </c>
      <c r="K53" s="3229" t="s">
        <v>3295</v>
      </c>
      <c r="L53" s="3230" t="s">
        <v>3319</v>
      </c>
      <c r="N53" s="3250">
        <f>U10</f>
        <v>18000</v>
      </c>
      <c r="O53" s="3263">
        <f t="shared" si="0"/>
        <v>216000</v>
      </c>
    </row>
    <row r="54" spans="1:15" ht="12.75">
      <c r="A54" s="3231" t="s">
        <v>3199</v>
      </c>
      <c r="B54" s="3228" t="s">
        <v>3320</v>
      </c>
      <c r="C54" s="3228" t="s">
        <v>3201</v>
      </c>
      <c r="D54" s="3228" t="s">
        <v>3180</v>
      </c>
      <c r="E54" s="3228" t="s">
        <v>3202</v>
      </c>
      <c r="F54" s="3228" t="s">
        <v>3312</v>
      </c>
      <c r="G54" s="3228" t="s">
        <v>3204</v>
      </c>
      <c r="H54" s="3228" t="s">
        <v>3205</v>
      </c>
      <c r="I54" s="3229" t="s">
        <v>3214</v>
      </c>
      <c r="J54" s="3229">
        <v>147.19</v>
      </c>
      <c r="K54" s="3229" t="s">
        <v>3298</v>
      </c>
      <c r="L54" s="3230" t="s">
        <v>3321</v>
      </c>
      <c r="N54" s="3250">
        <f>U11</f>
        <v>19000</v>
      </c>
      <c r="O54" s="3263">
        <f t="shared" si="0"/>
        <v>228000</v>
      </c>
    </row>
    <row r="55" spans="1:15" ht="12.75">
      <c r="A55" s="3232" t="s">
        <v>3199</v>
      </c>
      <c r="B55" s="3233" t="s">
        <v>3322</v>
      </c>
      <c r="C55" s="3233" t="s">
        <v>3201</v>
      </c>
      <c r="D55" s="3233" t="s">
        <v>3180</v>
      </c>
      <c r="E55" s="3233" t="s">
        <v>3202</v>
      </c>
      <c r="F55" s="3233" t="s">
        <v>3323</v>
      </c>
      <c r="G55" s="3233" t="s">
        <v>3204</v>
      </c>
      <c r="H55" s="3233" t="s">
        <v>3205</v>
      </c>
      <c r="I55" s="3234" t="s">
        <v>3214</v>
      </c>
      <c r="J55" s="3234">
        <v>158.19999999999999</v>
      </c>
      <c r="K55" s="3234" t="s">
        <v>3215</v>
      </c>
      <c r="L55" s="3230" t="s">
        <v>3324</v>
      </c>
      <c r="N55" s="3250">
        <f>U12</f>
        <v>20000</v>
      </c>
      <c r="O55" s="3263">
        <f t="shared" si="0"/>
        <v>240000</v>
      </c>
    </row>
    <row r="56" spans="1:15" ht="12.75">
      <c r="A56" s="3231" t="s">
        <v>3199</v>
      </c>
      <c r="B56" s="3228" t="s">
        <v>3325</v>
      </c>
      <c r="C56" s="3228" t="s">
        <v>3201</v>
      </c>
      <c r="D56" s="3228" t="s">
        <v>3180</v>
      </c>
      <c r="E56" s="3228" t="s">
        <v>3202</v>
      </c>
      <c r="F56" s="3228" t="s">
        <v>3323</v>
      </c>
      <c r="G56" s="3228" t="s">
        <v>3204</v>
      </c>
      <c r="H56" s="3228" t="s">
        <v>3205</v>
      </c>
      <c r="I56" s="3229" t="s">
        <v>3214</v>
      </c>
      <c r="J56" s="3229">
        <v>154.30000000000001</v>
      </c>
      <c r="K56" s="3229" t="s">
        <v>3218</v>
      </c>
      <c r="L56" s="3230" t="s">
        <v>3326</v>
      </c>
      <c r="N56" s="3250">
        <f>U12</f>
        <v>20000</v>
      </c>
      <c r="O56" s="3263">
        <f t="shared" si="0"/>
        <v>240000</v>
      </c>
    </row>
    <row r="57" spans="1:15" ht="12.75">
      <c r="A57" s="3231" t="s">
        <v>3199</v>
      </c>
      <c r="B57" s="3228" t="s">
        <v>3327</v>
      </c>
      <c r="C57" s="3228" t="s">
        <v>3201</v>
      </c>
      <c r="D57" s="3228" t="s">
        <v>3180</v>
      </c>
      <c r="E57" s="3228" t="s">
        <v>3202</v>
      </c>
      <c r="F57" s="3228" t="s">
        <v>3323</v>
      </c>
      <c r="G57" s="3228" t="s">
        <v>3204</v>
      </c>
      <c r="H57" s="3228" t="s">
        <v>3205</v>
      </c>
      <c r="I57" s="3229" t="s">
        <v>3291</v>
      </c>
      <c r="J57" s="3229">
        <v>194.67</v>
      </c>
      <c r="K57" s="3229" t="s">
        <v>3292</v>
      </c>
      <c r="L57" s="3230" t="s">
        <v>3328</v>
      </c>
      <c r="N57" s="3250">
        <f>U14</f>
        <v>25000</v>
      </c>
      <c r="O57" s="3263">
        <f t="shared" si="0"/>
        <v>300000</v>
      </c>
    </row>
    <row r="58" spans="1:15" ht="12.75">
      <c r="A58" s="3231" t="s">
        <v>3199</v>
      </c>
      <c r="B58" s="3228" t="s">
        <v>3329</v>
      </c>
      <c r="C58" s="3228" t="s">
        <v>3201</v>
      </c>
      <c r="D58" s="3228" t="s">
        <v>3180</v>
      </c>
      <c r="E58" s="3228" t="s">
        <v>3202</v>
      </c>
      <c r="F58" s="3228" t="s">
        <v>3323</v>
      </c>
      <c r="G58" s="3228" t="s">
        <v>3204</v>
      </c>
      <c r="H58" s="3228" t="s">
        <v>3205</v>
      </c>
      <c r="I58" s="3229" t="s">
        <v>3214</v>
      </c>
      <c r="J58" s="3229">
        <v>135.66</v>
      </c>
      <c r="K58" s="3229" t="s">
        <v>3295</v>
      </c>
      <c r="L58" s="3230" t="s">
        <v>3330</v>
      </c>
      <c r="N58" s="3250">
        <f>U10</f>
        <v>18000</v>
      </c>
      <c r="O58" s="3263">
        <f t="shared" si="0"/>
        <v>216000</v>
      </c>
    </row>
    <row r="59" spans="1:15" ht="12.75">
      <c r="A59" s="3231" t="s">
        <v>3199</v>
      </c>
      <c r="B59" s="3228" t="s">
        <v>3331</v>
      </c>
      <c r="C59" s="3228" t="s">
        <v>3201</v>
      </c>
      <c r="D59" s="3228" t="s">
        <v>3180</v>
      </c>
      <c r="E59" s="3228" t="s">
        <v>3202</v>
      </c>
      <c r="F59" s="3228" t="s">
        <v>3323</v>
      </c>
      <c r="G59" s="3228" t="s">
        <v>3204</v>
      </c>
      <c r="H59" s="3228" t="s">
        <v>3205</v>
      </c>
      <c r="I59" s="3229" t="s">
        <v>3214</v>
      </c>
      <c r="J59" s="3229">
        <v>147.19</v>
      </c>
      <c r="K59" s="3229" t="s">
        <v>3298</v>
      </c>
      <c r="L59" s="3230" t="s">
        <v>3332</v>
      </c>
      <c r="N59" s="3250">
        <f>U11</f>
        <v>19000</v>
      </c>
      <c r="O59" s="3263">
        <f t="shared" si="0"/>
        <v>228000</v>
      </c>
    </row>
    <row r="60" spans="1:15" ht="12.75">
      <c r="A60" s="3231" t="s">
        <v>3199</v>
      </c>
      <c r="B60" s="3228" t="s">
        <v>3333</v>
      </c>
      <c r="C60" s="3228" t="s">
        <v>3201</v>
      </c>
      <c r="D60" s="3228" t="s">
        <v>3180</v>
      </c>
      <c r="E60" s="3228" t="s">
        <v>3202</v>
      </c>
      <c r="F60" s="3228" t="s">
        <v>3334</v>
      </c>
      <c r="G60" s="3228" t="s">
        <v>3204</v>
      </c>
      <c r="H60" s="3228" t="s">
        <v>3205</v>
      </c>
      <c r="I60" s="3229" t="s">
        <v>3214</v>
      </c>
      <c r="J60" s="3229">
        <v>158.19999999999999</v>
      </c>
      <c r="K60" s="3229" t="s">
        <v>3215</v>
      </c>
      <c r="L60" s="3230" t="s">
        <v>3335</v>
      </c>
      <c r="N60" s="3250">
        <f>U12</f>
        <v>20000</v>
      </c>
      <c r="O60" s="3263">
        <f t="shared" si="0"/>
        <v>240000</v>
      </c>
    </row>
    <row r="61" spans="1:15" ht="12.75">
      <c r="A61" s="3231" t="s">
        <v>3199</v>
      </c>
      <c r="B61" s="3228" t="s">
        <v>3336</v>
      </c>
      <c r="C61" s="3228" t="s">
        <v>3201</v>
      </c>
      <c r="D61" s="3228" t="s">
        <v>3180</v>
      </c>
      <c r="E61" s="3228" t="s">
        <v>3202</v>
      </c>
      <c r="F61" s="3228" t="s">
        <v>3334</v>
      </c>
      <c r="G61" s="3228" t="s">
        <v>3204</v>
      </c>
      <c r="H61" s="3228" t="s">
        <v>3205</v>
      </c>
      <c r="I61" s="3229" t="s">
        <v>3214</v>
      </c>
      <c r="J61" s="3229">
        <v>154.30000000000001</v>
      </c>
      <c r="K61" s="3229" t="s">
        <v>3218</v>
      </c>
      <c r="L61" s="3230" t="s">
        <v>3337</v>
      </c>
      <c r="N61" s="3250">
        <f>U12</f>
        <v>20000</v>
      </c>
      <c r="O61" s="3263">
        <f t="shared" si="0"/>
        <v>240000</v>
      </c>
    </row>
    <row r="62" spans="1:15" ht="12.75">
      <c r="A62" s="3231" t="s">
        <v>3199</v>
      </c>
      <c r="B62" s="3228" t="s">
        <v>3338</v>
      </c>
      <c r="C62" s="3228" t="s">
        <v>3201</v>
      </c>
      <c r="D62" s="3228" t="s">
        <v>3180</v>
      </c>
      <c r="E62" s="3228" t="s">
        <v>3202</v>
      </c>
      <c r="F62" s="3228" t="s">
        <v>3334</v>
      </c>
      <c r="G62" s="3228" t="s">
        <v>3204</v>
      </c>
      <c r="H62" s="3228" t="s">
        <v>3205</v>
      </c>
      <c r="I62" s="3229" t="s">
        <v>3291</v>
      </c>
      <c r="J62" s="3229">
        <v>194.67</v>
      </c>
      <c r="K62" s="3229" t="s">
        <v>3292</v>
      </c>
      <c r="L62" s="3230" t="s">
        <v>3339</v>
      </c>
      <c r="N62" s="3250">
        <f>U14</f>
        <v>25000</v>
      </c>
      <c r="O62" s="3263">
        <f t="shared" si="0"/>
        <v>300000</v>
      </c>
    </row>
    <row r="63" spans="1:15" ht="12.75">
      <c r="A63" s="3231" t="s">
        <v>3199</v>
      </c>
      <c r="B63" s="3228" t="s">
        <v>3340</v>
      </c>
      <c r="C63" s="3228" t="s">
        <v>3201</v>
      </c>
      <c r="D63" s="3228" t="s">
        <v>3180</v>
      </c>
      <c r="E63" s="3228" t="s">
        <v>3202</v>
      </c>
      <c r="F63" s="3228" t="s">
        <v>3334</v>
      </c>
      <c r="G63" s="3228" t="s">
        <v>3204</v>
      </c>
      <c r="H63" s="3228" t="s">
        <v>3205</v>
      </c>
      <c r="I63" s="3229" t="s">
        <v>3214</v>
      </c>
      <c r="J63" s="3229">
        <v>135.66</v>
      </c>
      <c r="K63" s="3229" t="s">
        <v>3295</v>
      </c>
      <c r="L63" s="3230" t="s">
        <v>3341</v>
      </c>
      <c r="N63" s="3250">
        <f>U10</f>
        <v>18000</v>
      </c>
      <c r="O63" s="3263">
        <f t="shared" si="0"/>
        <v>216000</v>
      </c>
    </row>
    <row r="64" spans="1:15" ht="12.75">
      <c r="A64" s="3231" t="s">
        <v>3199</v>
      </c>
      <c r="B64" s="3228" t="s">
        <v>3342</v>
      </c>
      <c r="C64" s="3228" t="s">
        <v>3201</v>
      </c>
      <c r="D64" s="3228" t="s">
        <v>3180</v>
      </c>
      <c r="E64" s="3228" t="s">
        <v>3202</v>
      </c>
      <c r="F64" s="3228" t="s">
        <v>3334</v>
      </c>
      <c r="G64" s="3228" t="s">
        <v>3204</v>
      </c>
      <c r="H64" s="3228" t="s">
        <v>3205</v>
      </c>
      <c r="I64" s="3229" t="s">
        <v>3214</v>
      </c>
      <c r="J64" s="3229">
        <v>147.19</v>
      </c>
      <c r="K64" s="3229" t="s">
        <v>3298</v>
      </c>
      <c r="L64" s="3230" t="s">
        <v>3343</v>
      </c>
      <c r="N64" s="3250">
        <f>U11</f>
        <v>19000</v>
      </c>
      <c r="O64" s="3263">
        <f t="shared" si="0"/>
        <v>228000</v>
      </c>
    </row>
    <row r="65" spans="1:15" ht="12.75">
      <c r="A65" s="3231" t="s">
        <v>3199</v>
      </c>
      <c r="B65" s="3228" t="s">
        <v>3344</v>
      </c>
      <c r="C65" s="3228" t="s">
        <v>3201</v>
      </c>
      <c r="D65" s="3228" t="s">
        <v>3180</v>
      </c>
      <c r="E65" s="3228" t="s">
        <v>3202</v>
      </c>
      <c r="F65" s="3228" t="s">
        <v>3345</v>
      </c>
      <c r="G65" s="3228" t="s">
        <v>3204</v>
      </c>
      <c r="H65" s="3228" t="s">
        <v>3205</v>
      </c>
      <c r="I65" s="3229" t="s">
        <v>3214</v>
      </c>
      <c r="J65" s="3229">
        <v>158.19999999999999</v>
      </c>
      <c r="K65" s="3229" t="s">
        <v>3215</v>
      </c>
      <c r="L65" s="3230" t="s">
        <v>3346</v>
      </c>
      <c r="N65" s="3250">
        <f>U99</f>
        <v>20000</v>
      </c>
      <c r="O65" s="3263">
        <f t="shared" si="0"/>
        <v>240000</v>
      </c>
    </row>
    <row r="66" spans="1:15" ht="12.75">
      <c r="A66" s="3231" t="s">
        <v>3199</v>
      </c>
      <c r="B66" s="3228" t="s">
        <v>3347</v>
      </c>
      <c r="C66" s="3228" t="s">
        <v>3201</v>
      </c>
      <c r="D66" s="3228" t="s">
        <v>3180</v>
      </c>
      <c r="E66" s="3228" t="s">
        <v>3202</v>
      </c>
      <c r="F66" s="3228" t="s">
        <v>3345</v>
      </c>
      <c r="G66" s="3228" t="s">
        <v>3204</v>
      </c>
      <c r="H66" s="3228" t="s">
        <v>3205</v>
      </c>
      <c r="I66" s="3229" t="s">
        <v>3214</v>
      </c>
      <c r="J66" s="3229">
        <v>154.30000000000001</v>
      </c>
      <c r="K66" s="3229" t="s">
        <v>3218</v>
      </c>
      <c r="L66" s="3230" t="s">
        <v>3348</v>
      </c>
      <c r="N66" s="3250">
        <f>U99</f>
        <v>20000</v>
      </c>
      <c r="O66" s="3263">
        <f t="shared" si="0"/>
        <v>240000</v>
      </c>
    </row>
    <row r="67" spans="1:15" ht="12.75">
      <c r="A67" s="3231" t="s">
        <v>3199</v>
      </c>
      <c r="B67" s="3228" t="s">
        <v>3349</v>
      </c>
      <c r="C67" s="3228" t="s">
        <v>3201</v>
      </c>
      <c r="D67" s="3228" t="s">
        <v>3180</v>
      </c>
      <c r="E67" s="3228" t="s">
        <v>3202</v>
      </c>
      <c r="F67" s="3228" t="s">
        <v>3345</v>
      </c>
      <c r="G67" s="3228" t="s">
        <v>3204</v>
      </c>
      <c r="H67" s="3228" t="s">
        <v>3205</v>
      </c>
      <c r="I67" s="3229" t="s">
        <v>3291</v>
      </c>
      <c r="J67" s="3229">
        <v>194.67</v>
      </c>
      <c r="K67" s="3229" t="s">
        <v>3292</v>
      </c>
      <c r="L67" s="3230" t="s">
        <v>3350</v>
      </c>
      <c r="N67" s="3250">
        <f>U101</f>
        <v>25000</v>
      </c>
      <c r="O67" s="3263">
        <f t="shared" si="0"/>
        <v>300000</v>
      </c>
    </row>
    <row r="68" spans="1:15" ht="12.75">
      <c r="A68" s="3231" t="s">
        <v>3199</v>
      </c>
      <c r="B68" s="3228" t="s">
        <v>3351</v>
      </c>
      <c r="C68" s="3228" t="s">
        <v>3201</v>
      </c>
      <c r="D68" s="3228" t="s">
        <v>3180</v>
      </c>
      <c r="E68" s="3228" t="s">
        <v>3202</v>
      </c>
      <c r="F68" s="3228" t="s">
        <v>3345</v>
      </c>
      <c r="G68" s="3228" t="s">
        <v>3204</v>
      </c>
      <c r="H68" s="3228" t="s">
        <v>3205</v>
      </c>
      <c r="I68" s="3229" t="s">
        <v>3214</v>
      </c>
      <c r="J68" s="3229">
        <v>135.66</v>
      </c>
      <c r="K68" s="3229" t="s">
        <v>3295</v>
      </c>
      <c r="L68" s="3230" t="s">
        <v>3352</v>
      </c>
      <c r="N68" s="3250">
        <f>U97</f>
        <v>18000</v>
      </c>
      <c r="O68" s="3263">
        <f t="shared" si="0"/>
        <v>216000</v>
      </c>
    </row>
    <row r="69" spans="1:15" ht="12.75">
      <c r="A69" s="3231" t="s">
        <v>3199</v>
      </c>
      <c r="B69" s="3228" t="s">
        <v>3353</v>
      </c>
      <c r="C69" s="3228" t="s">
        <v>3201</v>
      </c>
      <c r="D69" s="3228" t="s">
        <v>3180</v>
      </c>
      <c r="E69" s="3228" t="s">
        <v>3202</v>
      </c>
      <c r="F69" s="3228" t="s">
        <v>3345</v>
      </c>
      <c r="G69" s="3228" t="s">
        <v>3204</v>
      </c>
      <c r="H69" s="3228" t="s">
        <v>3205</v>
      </c>
      <c r="I69" s="3229" t="s">
        <v>3214</v>
      </c>
      <c r="J69" s="3229">
        <v>147.19</v>
      </c>
      <c r="K69" s="3229" t="s">
        <v>3298</v>
      </c>
      <c r="L69" s="3230" t="s">
        <v>3354</v>
      </c>
      <c r="N69" s="3250">
        <f>U98</f>
        <v>19000</v>
      </c>
      <c r="O69" s="3263">
        <f t="shared" si="0"/>
        <v>228000</v>
      </c>
    </row>
    <row r="70" spans="1:15" ht="12.75">
      <c r="A70" s="3231" t="s">
        <v>3199</v>
      </c>
      <c r="B70" s="3228" t="s">
        <v>3355</v>
      </c>
      <c r="C70" s="3228" t="s">
        <v>3201</v>
      </c>
      <c r="D70" s="3228" t="s">
        <v>3180</v>
      </c>
      <c r="E70" s="3228" t="s">
        <v>3202</v>
      </c>
      <c r="F70" s="3228" t="s">
        <v>3356</v>
      </c>
      <c r="G70" s="3228" t="s">
        <v>3204</v>
      </c>
      <c r="H70" s="3228" t="s">
        <v>3205</v>
      </c>
      <c r="I70" s="3229" t="s">
        <v>3214</v>
      </c>
      <c r="J70" s="3229">
        <v>158.19999999999999</v>
      </c>
      <c r="K70" s="3229" t="s">
        <v>3215</v>
      </c>
      <c r="L70" s="3230" t="s">
        <v>3357</v>
      </c>
      <c r="N70" s="3250">
        <f>U99</f>
        <v>20000</v>
      </c>
      <c r="O70" s="3263">
        <f t="shared" si="0"/>
        <v>240000</v>
      </c>
    </row>
    <row r="71" spans="1:15" ht="12.75">
      <c r="A71" s="3231" t="s">
        <v>3199</v>
      </c>
      <c r="B71" s="3228" t="s">
        <v>3358</v>
      </c>
      <c r="C71" s="3228" t="s">
        <v>3201</v>
      </c>
      <c r="D71" s="3228" t="s">
        <v>3180</v>
      </c>
      <c r="E71" s="3228" t="s">
        <v>3202</v>
      </c>
      <c r="F71" s="3228" t="s">
        <v>3356</v>
      </c>
      <c r="G71" s="3228" t="s">
        <v>3204</v>
      </c>
      <c r="H71" s="3228" t="s">
        <v>3205</v>
      </c>
      <c r="I71" s="3229" t="s">
        <v>3214</v>
      </c>
      <c r="J71" s="3229">
        <v>154.30000000000001</v>
      </c>
      <c r="K71" s="3229" t="s">
        <v>3218</v>
      </c>
      <c r="L71" s="3230" t="s">
        <v>3359</v>
      </c>
      <c r="N71" s="3250">
        <f>U99</f>
        <v>20000</v>
      </c>
      <c r="O71" s="3263">
        <f t="shared" si="0"/>
        <v>240000</v>
      </c>
    </row>
    <row r="72" spans="1:15" ht="12.75">
      <c r="A72" s="3231" t="s">
        <v>3199</v>
      </c>
      <c r="B72" s="3228" t="s">
        <v>3360</v>
      </c>
      <c r="C72" s="3228" t="s">
        <v>3201</v>
      </c>
      <c r="D72" s="3228" t="s">
        <v>3180</v>
      </c>
      <c r="E72" s="3228" t="s">
        <v>3202</v>
      </c>
      <c r="F72" s="3228" t="s">
        <v>3356</v>
      </c>
      <c r="G72" s="3228" t="s">
        <v>3204</v>
      </c>
      <c r="H72" s="3228" t="s">
        <v>3205</v>
      </c>
      <c r="I72" s="3229" t="s">
        <v>3291</v>
      </c>
      <c r="J72" s="3229">
        <v>194.67</v>
      </c>
      <c r="K72" s="3229" t="s">
        <v>3292</v>
      </c>
      <c r="L72" s="3230" t="s">
        <v>3361</v>
      </c>
      <c r="N72" s="3250">
        <f>U101</f>
        <v>25000</v>
      </c>
      <c r="O72" s="3263">
        <f t="shared" si="0"/>
        <v>300000</v>
      </c>
    </row>
    <row r="73" spans="1:15" ht="12.75">
      <c r="A73" s="3231" t="s">
        <v>3199</v>
      </c>
      <c r="B73" s="3228" t="s">
        <v>3362</v>
      </c>
      <c r="C73" s="3228" t="s">
        <v>3201</v>
      </c>
      <c r="D73" s="3228" t="s">
        <v>3180</v>
      </c>
      <c r="E73" s="3228" t="s">
        <v>3202</v>
      </c>
      <c r="F73" s="3228" t="s">
        <v>3356</v>
      </c>
      <c r="G73" s="3228" t="s">
        <v>3204</v>
      </c>
      <c r="H73" s="3228" t="s">
        <v>3205</v>
      </c>
      <c r="I73" s="3229" t="s">
        <v>3214</v>
      </c>
      <c r="J73" s="3229">
        <v>135.66</v>
      </c>
      <c r="K73" s="3229" t="s">
        <v>3295</v>
      </c>
      <c r="L73" s="3230" t="s">
        <v>3363</v>
      </c>
      <c r="N73" s="3250">
        <f>U97</f>
        <v>18000</v>
      </c>
      <c r="O73" s="3263">
        <f t="shared" si="0"/>
        <v>216000</v>
      </c>
    </row>
    <row r="74" spans="1:15" ht="12.75">
      <c r="A74" s="3231" t="s">
        <v>3199</v>
      </c>
      <c r="B74" s="3228" t="s">
        <v>3364</v>
      </c>
      <c r="C74" s="3228" t="s">
        <v>3201</v>
      </c>
      <c r="D74" s="3228" t="s">
        <v>3180</v>
      </c>
      <c r="E74" s="3228" t="s">
        <v>3202</v>
      </c>
      <c r="F74" s="3228" t="s">
        <v>3356</v>
      </c>
      <c r="G74" s="3228" t="s">
        <v>3204</v>
      </c>
      <c r="H74" s="3228" t="s">
        <v>3205</v>
      </c>
      <c r="I74" s="3229" t="s">
        <v>3214</v>
      </c>
      <c r="J74" s="3229">
        <v>147.19</v>
      </c>
      <c r="K74" s="3229" t="s">
        <v>3298</v>
      </c>
      <c r="L74" s="3230" t="s">
        <v>3365</v>
      </c>
      <c r="N74" s="3250">
        <f>U98</f>
        <v>19000</v>
      </c>
      <c r="O74" s="3263">
        <f t="shared" si="0"/>
        <v>228000</v>
      </c>
    </row>
    <row r="75" spans="1:15" ht="12.75">
      <c r="A75" s="3231" t="s">
        <v>3199</v>
      </c>
      <c r="B75" s="3228" t="s">
        <v>3366</v>
      </c>
      <c r="C75" s="3228" t="s">
        <v>3201</v>
      </c>
      <c r="D75" s="3228" t="s">
        <v>3180</v>
      </c>
      <c r="E75" s="3228" t="s">
        <v>3202</v>
      </c>
      <c r="F75" s="3228" t="s">
        <v>3367</v>
      </c>
      <c r="G75" s="3228" t="s">
        <v>3204</v>
      </c>
      <c r="H75" s="3228" t="s">
        <v>3205</v>
      </c>
      <c r="I75" s="3229" t="s">
        <v>3214</v>
      </c>
      <c r="J75" s="3229">
        <v>158.19999999999999</v>
      </c>
      <c r="K75" s="3229" t="s">
        <v>3215</v>
      </c>
      <c r="L75" s="3230" t="s">
        <v>3368</v>
      </c>
      <c r="N75" s="3250">
        <f>N70</f>
        <v>20000</v>
      </c>
      <c r="O75" s="3263">
        <f t="shared" ref="O75:O138" si="1">N75*12</f>
        <v>240000</v>
      </c>
    </row>
    <row r="76" spans="1:15" ht="12.75">
      <c r="A76" s="3231" t="s">
        <v>3199</v>
      </c>
      <c r="B76" s="3228" t="s">
        <v>3369</v>
      </c>
      <c r="C76" s="3228" t="s">
        <v>3201</v>
      </c>
      <c r="D76" s="3228" t="s">
        <v>3180</v>
      </c>
      <c r="E76" s="3228" t="s">
        <v>3202</v>
      </c>
      <c r="F76" s="3228" t="s">
        <v>3367</v>
      </c>
      <c r="G76" s="3228" t="s">
        <v>3204</v>
      </c>
      <c r="H76" s="3228" t="s">
        <v>3205</v>
      </c>
      <c r="I76" s="3229" t="s">
        <v>3214</v>
      </c>
      <c r="J76" s="3229">
        <v>154.30000000000001</v>
      </c>
      <c r="K76" s="3229" t="s">
        <v>3218</v>
      </c>
      <c r="L76" s="3230" t="s">
        <v>3370</v>
      </c>
      <c r="N76" s="3250">
        <f t="shared" ref="N76:N79" si="2">N71</f>
        <v>20000</v>
      </c>
      <c r="O76" s="3263">
        <f t="shared" si="1"/>
        <v>240000</v>
      </c>
    </row>
    <row r="77" spans="1:15" ht="12.75">
      <c r="A77" s="3231" t="s">
        <v>3199</v>
      </c>
      <c r="B77" s="3228" t="s">
        <v>3371</v>
      </c>
      <c r="C77" s="3228" t="s">
        <v>3201</v>
      </c>
      <c r="D77" s="3228" t="s">
        <v>3180</v>
      </c>
      <c r="E77" s="3228" t="s">
        <v>3202</v>
      </c>
      <c r="F77" s="3228" t="s">
        <v>3367</v>
      </c>
      <c r="G77" s="3228" t="s">
        <v>3204</v>
      </c>
      <c r="H77" s="3228" t="s">
        <v>3205</v>
      </c>
      <c r="I77" s="3229" t="s">
        <v>3291</v>
      </c>
      <c r="J77" s="3229">
        <v>194.67</v>
      </c>
      <c r="K77" s="3229" t="s">
        <v>3292</v>
      </c>
      <c r="L77" s="3230" t="s">
        <v>3372</v>
      </c>
      <c r="N77" s="3250">
        <f t="shared" si="2"/>
        <v>25000</v>
      </c>
      <c r="O77" s="3263">
        <f t="shared" si="1"/>
        <v>300000</v>
      </c>
    </row>
    <row r="78" spans="1:15" ht="12.75">
      <c r="A78" s="3231" t="s">
        <v>3199</v>
      </c>
      <c r="B78" s="3228" t="s">
        <v>3373</v>
      </c>
      <c r="C78" s="3228" t="s">
        <v>3201</v>
      </c>
      <c r="D78" s="3228" t="s">
        <v>3180</v>
      </c>
      <c r="E78" s="3228" t="s">
        <v>3202</v>
      </c>
      <c r="F78" s="3228" t="s">
        <v>3367</v>
      </c>
      <c r="G78" s="3228" t="s">
        <v>3204</v>
      </c>
      <c r="H78" s="3228" t="s">
        <v>3205</v>
      </c>
      <c r="I78" s="3229" t="s">
        <v>3214</v>
      </c>
      <c r="J78" s="3229">
        <v>135.66</v>
      </c>
      <c r="K78" s="3229" t="s">
        <v>3295</v>
      </c>
      <c r="L78" s="3230" t="s">
        <v>3374</v>
      </c>
      <c r="N78" s="3250">
        <f t="shared" si="2"/>
        <v>18000</v>
      </c>
      <c r="O78" s="3263">
        <f t="shared" si="1"/>
        <v>216000</v>
      </c>
    </row>
    <row r="79" spans="1:15" ht="12.75">
      <c r="A79" s="3231" t="s">
        <v>3199</v>
      </c>
      <c r="B79" s="3228" t="s">
        <v>3375</v>
      </c>
      <c r="C79" s="3228" t="s">
        <v>3201</v>
      </c>
      <c r="D79" s="3228" t="s">
        <v>3180</v>
      </c>
      <c r="E79" s="3228" t="s">
        <v>3202</v>
      </c>
      <c r="F79" s="3228" t="s">
        <v>3367</v>
      </c>
      <c r="G79" s="3228" t="s">
        <v>3204</v>
      </c>
      <c r="H79" s="3228" t="s">
        <v>3205</v>
      </c>
      <c r="I79" s="3229" t="s">
        <v>3214</v>
      </c>
      <c r="J79" s="3229">
        <v>147.19</v>
      </c>
      <c r="K79" s="3229" t="s">
        <v>3298</v>
      </c>
      <c r="L79" s="3230" t="s">
        <v>3376</v>
      </c>
      <c r="N79" s="3250">
        <f t="shared" si="2"/>
        <v>19000</v>
      </c>
      <c r="O79" s="3263">
        <f t="shared" si="1"/>
        <v>228000</v>
      </c>
    </row>
    <row r="80" spans="1:15" ht="12.75">
      <c r="A80" s="3231" t="s">
        <v>3199</v>
      </c>
      <c r="B80" s="3228" t="s">
        <v>3377</v>
      </c>
      <c r="C80" s="3228" t="s">
        <v>3201</v>
      </c>
      <c r="D80" s="3228" t="s">
        <v>3180</v>
      </c>
      <c r="E80" s="3228" t="s">
        <v>3202</v>
      </c>
      <c r="F80" s="3228" t="s">
        <v>3378</v>
      </c>
      <c r="G80" s="3228" t="s">
        <v>3204</v>
      </c>
      <c r="H80" s="3228" t="s">
        <v>3205</v>
      </c>
      <c r="I80" s="3229" t="s">
        <v>3214</v>
      </c>
      <c r="J80" s="3229">
        <v>158.19999999999999</v>
      </c>
      <c r="K80" s="3229" t="s">
        <v>3215</v>
      </c>
      <c r="L80" s="3230" t="s">
        <v>3379</v>
      </c>
      <c r="N80" s="3250">
        <f>N75</f>
        <v>20000</v>
      </c>
      <c r="O80" s="3263">
        <f t="shared" si="1"/>
        <v>240000</v>
      </c>
    </row>
    <row r="81" spans="1:21" ht="12.75">
      <c r="A81" s="3231" t="s">
        <v>3199</v>
      </c>
      <c r="B81" s="3228" t="s">
        <v>3380</v>
      </c>
      <c r="C81" s="3228" t="s">
        <v>3201</v>
      </c>
      <c r="D81" s="3228" t="s">
        <v>3180</v>
      </c>
      <c r="E81" s="3228" t="s">
        <v>3202</v>
      </c>
      <c r="F81" s="3228" t="s">
        <v>3378</v>
      </c>
      <c r="G81" s="3228" t="s">
        <v>3204</v>
      </c>
      <c r="H81" s="3228" t="s">
        <v>3205</v>
      </c>
      <c r="I81" s="3229" t="s">
        <v>3214</v>
      </c>
      <c r="J81" s="3229">
        <v>154.30000000000001</v>
      </c>
      <c r="K81" s="3229" t="s">
        <v>3218</v>
      </c>
      <c r="L81" s="3230" t="s">
        <v>3381</v>
      </c>
      <c r="N81" s="3250">
        <f t="shared" ref="N81:N84" si="3">N76</f>
        <v>20000</v>
      </c>
      <c r="O81" s="3263">
        <f t="shared" si="1"/>
        <v>240000</v>
      </c>
    </row>
    <row r="82" spans="1:21" ht="12.75">
      <c r="A82" s="3231" t="s">
        <v>3199</v>
      </c>
      <c r="B82" s="3228" t="s">
        <v>3382</v>
      </c>
      <c r="C82" s="3228" t="s">
        <v>3201</v>
      </c>
      <c r="D82" s="3228" t="s">
        <v>3180</v>
      </c>
      <c r="E82" s="3228" t="s">
        <v>3202</v>
      </c>
      <c r="F82" s="3228" t="s">
        <v>3378</v>
      </c>
      <c r="G82" s="3228" t="s">
        <v>3204</v>
      </c>
      <c r="H82" s="3228" t="s">
        <v>3205</v>
      </c>
      <c r="I82" s="3229" t="s">
        <v>3291</v>
      </c>
      <c r="J82" s="3229">
        <v>194.67</v>
      </c>
      <c r="K82" s="3229" t="s">
        <v>3292</v>
      </c>
      <c r="L82" s="3230" t="s">
        <v>3383</v>
      </c>
      <c r="N82" s="3250">
        <f t="shared" si="3"/>
        <v>25000</v>
      </c>
      <c r="O82" s="3263">
        <f t="shared" si="1"/>
        <v>300000</v>
      </c>
    </row>
    <row r="83" spans="1:21" ht="12.75">
      <c r="A83" s="3231" t="s">
        <v>3199</v>
      </c>
      <c r="B83" s="3228" t="s">
        <v>3384</v>
      </c>
      <c r="C83" s="3228" t="s">
        <v>3201</v>
      </c>
      <c r="D83" s="3228" t="s">
        <v>3180</v>
      </c>
      <c r="E83" s="3228" t="s">
        <v>3202</v>
      </c>
      <c r="F83" s="3228" t="s">
        <v>3378</v>
      </c>
      <c r="G83" s="3228" t="s">
        <v>3204</v>
      </c>
      <c r="H83" s="3228" t="s">
        <v>3205</v>
      </c>
      <c r="I83" s="3229" t="s">
        <v>3214</v>
      </c>
      <c r="J83" s="3229">
        <v>135.66</v>
      </c>
      <c r="K83" s="3229" t="s">
        <v>3295</v>
      </c>
      <c r="L83" s="3230" t="s">
        <v>3385</v>
      </c>
      <c r="N83" s="3250">
        <f t="shared" si="3"/>
        <v>18000</v>
      </c>
      <c r="O83" s="3263">
        <f t="shared" si="1"/>
        <v>216000</v>
      </c>
    </row>
    <row r="84" spans="1:21" ht="12.75">
      <c r="A84" s="3231" t="s">
        <v>3199</v>
      </c>
      <c r="B84" s="3228" t="s">
        <v>3386</v>
      </c>
      <c r="C84" s="3228" t="s">
        <v>3201</v>
      </c>
      <c r="D84" s="3228" t="s">
        <v>3180</v>
      </c>
      <c r="E84" s="3228" t="s">
        <v>3202</v>
      </c>
      <c r="F84" s="3228" t="s">
        <v>3378</v>
      </c>
      <c r="G84" s="3228" t="s">
        <v>3204</v>
      </c>
      <c r="H84" s="3228" t="s">
        <v>3205</v>
      </c>
      <c r="I84" s="3229" t="s">
        <v>3214</v>
      </c>
      <c r="J84" s="3229">
        <v>147.19</v>
      </c>
      <c r="K84" s="3229" t="s">
        <v>3298</v>
      </c>
      <c r="L84" s="3230" t="s">
        <v>3387</v>
      </c>
      <c r="N84" s="3250">
        <f t="shared" si="3"/>
        <v>19000</v>
      </c>
      <c r="O84" s="3263">
        <f t="shared" si="1"/>
        <v>228000</v>
      </c>
    </row>
    <row r="85" spans="1:21" ht="12.75">
      <c r="A85" s="3231" t="s">
        <v>3199</v>
      </c>
      <c r="B85" s="3228" t="s">
        <v>3388</v>
      </c>
      <c r="C85" s="3228" t="s">
        <v>3201</v>
      </c>
      <c r="D85" s="3228" t="s">
        <v>3180</v>
      </c>
      <c r="E85" s="3228" t="s">
        <v>3202</v>
      </c>
      <c r="F85" s="3228" t="s">
        <v>3389</v>
      </c>
      <c r="G85" s="3228" t="s">
        <v>3204</v>
      </c>
      <c r="H85" s="3228" t="s">
        <v>3205</v>
      </c>
      <c r="I85" s="3229" t="s">
        <v>3214</v>
      </c>
      <c r="J85" s="3229">
        <v>158.19999999999999</v>
      </c>
      <c r="K85" s="3229" t="s">
        <v>3215</v>
      </c>
      <c r="L85" s="3230" t="s">
        <v>3390</v>
      </c>
      <c r="N85" s="3250">
        <f>N80</f>
        <v>20000</v>
      </c>
      <c r="O85" s="3263">
        <f t="shared" si="1"/>
        <v>240000</v>
      </c>
    </row>
    <row r="86" spans="1:21" ht="12.75">
      <c r="A86" s="3231" t="s">
        <v>3199</v>
      </c>
      <c r="B86" s="3228" t="s">
        <v>3391</v>
      </c>
      <c r="C86" s="3228" t="s">
        <v>3201</v>
      </c>
      <c r="D86" s="3228" t="s">
        <v>3180</v>
      </c>
      <c r="E86" s="3228" t="s">
        <v>3202</v>
      </c>
      <c r="F86" s="3228" t="s">
        <v>3389</v>
      </c>
      <c r="G86" s="3228" t="s">
        <v>3204</v>
      </c>
      <c r="H86" s="3228" t="s">
        <v>3205</v>
      </c>
      <c r="I86" s="3229" t="s">
        <v>3214</v>
      </c>
      <c r="J86" s="3229">
        <v>154.30000000000001</v>
      </c>
      <c r="K86" s="3229" t="s">
        <v>3218</v>
      </c>
      <c r="L86" s="3230" t="s">
        <v>3392</v>
      </c>
      <c r="N86" s="3250">
        <f t="shared" ref="N86:N89" si="4">N81</f>
        <v>20000</v>
      </c>
      <c r="O86" s="3263">
        <f t="shared" si="1"/>
        <v>240000</v>
      </c>
    </row>
    <row r="87" spans="1:21" ht="12.75">
      <c r="A87" s="3231" t="s">
        <v>3199</v>
      </c>
      <c r="B87" s="3228" t="s">
        <v>3393</v>
      </c>
      <c r="C87" s="3228" t="s">
        <v>3201</v>
      </c>
      <c r="D87" s="3228" t="s">
        <v>3180</v>
      </c>
      <c r="E87" s="3228" t="s">
        <v>3202</v>
      </c>
      <c r="F87" s="3228" t="s">
        <v>3389</v>
      </c>
      <c r="G87" s="3228" t="s">
        <v>3204</v>
      </c>
      <c r="H87" s="3228" t="s">
        <v>3205</v>
      </c>
      <c r="I87" s="3229" t="s">
        <v>3291</v>
      </c>
      <c r="J87" s="3229">
        <v>194.67</v>
      </c>
      <c r="K87" s="3229" t="s">
        <v>3292</v>
      </c>
      <c r="L87" s="3230" t="s">
        <v>3394</v>
      </c>
      <c r="N87" s="3250">
        <f t="shared" si="4"/>
        <v>25000</v>
      </c>
      <c r="O87" s="3263">
        <f t="shared" si="1"/>
        <v>300000</v>
      </c>
    </row>
    <row r="88" spans="1:21" ht="12.75">
      <c r="A88" s="3231" t="s">
        <v>3199</v>
      </c>
      <c r="B88" s="3228" t="s">
        <v>3395</v>
      </c>
      <c r="C88" s="3228" t="s">
        <v>3201</v>
      </c>
      <c r="D88" s="3228" t="s">
        <v>3180</v>
      </c>
      <c r="E88" s="3228" t="s">
        <v>3202</v>
      </c>
      <c r="F88" s="3228" t="s">
        <v>3389</v>
      </c>
      <c r="G88" s="3228" t="s">
        <v>3204</v>
      </c>
      <c r="H88" s="3228" t="s">
        <v>3205</v>
      </c>
      <c r="I88" s="3229" t="s">
        <v>3214</v>
      </c>
      <c r="J88" s="3229">
        <v>135.66</v>
      </c>
      <c r="K88" s="3229" t="s">
        <v>3295</v>
      </c>
      <c r="L88" s="3230" t="s">
        <v>3396</v>
      </c>
      <c r="N88" s="3250">
        <f t="shared" si="4"/>
        <v>18000</v>
      </c>
      <c r="O88" s="3263">
        <f t="shared" si="1"/>
        <v>216000</v>
      </c>
    </row>
    <row r="89" spans="1:21" ht="12.75">
      <c r="A89" s="3231" t="s">
        <v>3199</v>
      </c>
      <c r="B89" s="3228" t="s">
        <v>3397</v>
      </c>
      <c r="C89" s="3228" t="s">
        <v>3201</v>
      </c>
      <c r="D89" s="3228" t="s">
        <v>3180</v>
      </c>
      <c r="E89" s="3228" t="s">
        <v>3202</v>
      </c>
      <c r="F89" s="3228" t="s">
        <v>3389</v>
      </c>
      <c r="G89" s="3228" t="s">
        <v>3204</v>
      </c>
      <c r="H89" s="3228" t="s">
        <v>3205</v>
      </c>
      <c r="I89" s="3229" t="s">
        <v>3214</v>
      </c>
      <c r="J89" s="3229">
        <v>147.19</v>
      </c>
      <c r="K89" s="3229" t="s">
        <v>3298</v>
      </c>
      <c r="L89" s="3230" t="s">
        <v>3398</v>
      </c>
      <c r="N89" s="3250">
        <f t="shared" si="4"/>
        <v>19000</v>
      </c>
      <c r="O89" s="3263">
        <f t="shared" si="1"/>
        <v>228000</v>
      </c>
    </row>
    <row r="90" spans="1:21" ht="12.75">
      <c r="A90" s="3231" t="s">
        <v>3199</v>
      </c>
      <c r="B90" s="3228" t="s">
        <v>3399</v>
      </c>
      <c r="C90" s="3228" t="s">
        <v>3201</v>
      </c>
      <c r="D90" s="3228" t="s">
        <v>3180</v>
      </c>
      <c r="E90" s="3228" t="s">
        <v>3202</v>
      </c>
      <c r="F90" s="3228" t="s">
        <v>3400</v>
      </c>
      <c r="G90" s="3228" t="s">
        <v>3204</v>
      </c>
      <c r="H90" s="3228" t="s">
        <v>3205</v>
      </c>
      <c r="I90" s="3229" t="s">
        <v>3214</v>
      </c>
      <c r="J90" s="3229">
        <v>158.19999999999999</v>
      </c>
      <c r="K90" s="3229" t="s">
        <v>3215</v>
      </c>
      <c r="L90" s="3230" t="s">
        <v>3401</v>
      </c>
      <c r="N90" s="3250">
        <f>N85</f>
        <v>20000</v>
      </c>
      <c r="O90" s="3263">
        <f t="shared" si="1"/>
        <v>240000</v>
      </c>
    </row>
    <row r="91" spans="1:21" ht="12.75">
      <c r="A91" s="3231" t="s">
        <v>3199</v>
      </c>
      <c r="B91" s="3228" t="s">
        <v>3402</v>
      </c>
      <c r="C91" s="3228" t="s">
        <v>3201</v>
      </c>
      <c r="D91" s="3228" t="s">
        <v>3180</v>
      </c>
      <c r="E91" s="3228" t="s">
        <v>3202</v>
      </c>
      <c r="F91" s="3228" t="s">
        <v>3400</v>
      </c>
      <c r="G91" s="3228" t="s">
        <v>3204</v>
      </c>
      <c r="H91" s="3228" t="s">
        <v>3205</v>
      </c>
      <c r="I91" s="3229" t="s">
        <v>3214</v>
      </c>
      <c r="J91" s="3229">
        <v>154.30000000000001</v>
      </c>
      <c r="K91" s="3229" t="s">
        <v>3218</v>
      </c>
      <c r="L91" s="3230" t="s">
        <v>3403</v>
      </c>
      <c r="N91" s="3250">
        <f t="shared" ref="N91:N94" si="5">N86</f>
        <v>20000</v>
      </c>
      <c r="O91" s="3263">
        <f t="shared" si="1"/>
        <v>240000</v>
      </c>
    </row>
    <row r="92" spans="1:21" ht="12.75">
      <c r="A92" s="3231" t="s">
        <v>3199</v>
      </c>
      <c r="B92" s="3228" t="s">
        <v>3404</v>
      </c>
      <c r="C92" s="3228" t="s">
        <v>3201</v>
      </c>
      <c r="D92" s="3228" t="s">
        <v>3180</v>
      </c>
      <c r="E92" s="3228" t="s">
        <v>3202</v>
      </c>
      <c r="F92" s="3228" t="s">
        <v>3400</v>
      </c>
      <c r="G92" s="3228" t="s">
        <v>3204</v>
      </c>
      <c r="H92" s="3228" t="s">
        <v>3205</v>
      </c>
      <c r="I92" s="3229" t="s">
        <v>3291</v>
      </c>
      <c r="J92" s="3229">
        <v>194.67</v>
      </c>
      <c r="K92" s="3229" t="s">
        <v>3292</v>
      </c>
      <c r="L92" s="3230" t="s">
        <v>3405</v>
      </c>
      <c r="N92" s="3250">
        <f t="shared" si="5"/>
        <v>25000</v>
      </c>
      <c r="O92" s="3263">
        <f t="shared" si="1"/>
        <v>300000</v>
      </c>
    </row>
    <row r="93" spans="1:21" ht="12.75">
      <c r="A93" s="3231" t="s">
        <v>3199</v>
      </c>
      <c r="B93" s="3228" t="s">
        <v>3406</v>
      </c>
      <c r="C93" s="3228" t="s">
        <v>3201</v>
      </c>
      <c r="D93" s="3228" t="s">
        <v>3180</v>
      </c>
      <c r="E93" s="3228" t="s">
        <v>3202</v>
      </c>
      <c r="F93" s="3228" t="s">
        <v>3400</v>
      </c>
      <c r="G93" s="3228" t="s">
        <v>3204</v>
      </c>
      <c r="H93" s="3228" t="s">
        <v>3205</v>
      </c>
      <c r="I93" s="3229" t="s">
        <v>3214</v>
      </c>
      <c r="J93" s="3229">
        <v>135.66</v>
      </c>
      <c r="K93" s="3229" t="s">
        <v>3295</v>
      </c>
      <c r="L93" s="3230" t="s">
        <v>3407</v>
      </c>
      <c r="N93" s="3250">
        <f t="shared" si="5"/>
        <v>18000</v>
      </c>
      <c r="O93" s="3263">
        <f t="shared" si="1"/>
        <v>216000</v>
      </c>
    </row>
    <row r="94" spans="1:21" ht="12.75">
      <c r="A94" s="3231" t="s">
        <v>3199</v>
      </c>
      <c r="B94" s="3228" t="s">
        <v>3408</v>
      </c>
      <c r="C94" s="3228" t="s">
        <v>3201</v>
      </c>
      <c r="D94" s="3228" t="s">
        <v>3180</v>
      </c>
      <c r="E94" s="3228" t="s">
        <v>3202</v>
      </c>
      <c r="F94" s="3228" t="s">
        <v>3400</v>
      </c>
      <c r="G94" s="3228" t="s">
        <v>3204</v>
      </c>
      <c r="H94" s="3228" t="s">
        <v>3205</v>
      </c>
      <c r="I94" s="3229" t="s">
        <v>3214</v>
      </c>
      <c r="J94" s="3229">
        <v>147.19</v>
      </c>
      <c r="K94" s="3229" t="s">
        <v>3298</v>
      </c>
      <c r="L94" s="3230" t="s">
        <v>3409</v>
      </c>
      <c r="N94" s="3250">
        <f t="shared" si="5"/>
        <v>19000</v>
      </c>
      <c r="O94" s="3263">
        <f t="shared" si="1"/>
        <v>228000</v>
      </c>
    </row>
    <row r="95" spans="1:21" ht="12.75">
      <c r="A95" s="3231" t="s">
        <v>3199</v>
      </c>
      <c r="B95" s="3228" t="s">
        <v>3410</v>
      </c>
      <c r="C95" s="3228" t="s">
        <v>3201</v>
      </c>
      <c r="D95" s="3228" t="s">
        <v>3180</v>
      </c>
      <c r="E95" s="3228" t="s">
        <v>3202</v>
      </c>
      <c r="F95" s="3228" t="s">
        <v>3411</v>
      </c>
      <c r="G95" s="3228" t="s">
        <v>3204</v>
      </c>
      <c r="H95" s="3228" t="s">
        <v>3205</v>
      </c>
      <c r="I95" s="3229" t="s">
        <v>3214</v>
      </c>
      <c r="J95" s="3229">
        <v>158.19999999999999</v>
      </c>
      <c r="K95" s="3229" t="s">
        <v>3215</v>
      </c>
      <c r="L95" s="3230" t="s">
        <v>3412</v>
      </c>
      <c r="N95" s="3250">
        <f>N90</f>
        <v>20000</v>
      </c>
      <c r="O95" s="3263">
        <f t="shared" si="1"/>
        <v>240000</v>
      </c>
      <c r="T95" s="3250">
        <f>T8</f>
        <v>101</v>
      </c>
      <c r="U95" s="3250">
        <f>U8</f>
        <v>15000</v>
      </c>
    </row>
    <row r="96" spans="1:21" ht="12.75">
      <c r="A96" s="3231" t="s">
        <v>3199</v>
      </c>
      <c r="B96" s="3228" t="s">
        <v>3413</v>
      </c>
      <c r="C96" s="3228" t="s">
        <v>3201</v>
      </c>
      <c r="D96" s="3228" t="s">
        <v>3180</v>
      </c>
      <c r="E96" s="3228" t="s">
        <v>3202</v>
      </c>
      <c r="F96" s="3228" t="s">
        <v>3411</v>
      </c>
      <c r="G96" s="3228" t="s">
        <v>3204</v>
      </c>
      <c r="H96" s="3228" t="s">
        <v>3205</v>
      </c>
      <c r="I96" s="3229" t="s">
        <v>3214</v>
      </c>
      <c r="J96" s="3229">
        <v>154.30000000000001</v>
      </c>
      <c r="K96" s="3229" t="s">
        <v>3218</v>
      </c>
      <c r="L96" s="3230" t="s">
        <v>3414</v>
      </c>
      <c r="N96" s="3250">
        <f t="shared" ref="N96:N99" si="6">N91</f>
        <v>20000</v>
      </c>
      <c r="O96" s="3263">
        <f t="shared" si="1"/>
        <v>240000</v>
      </c>
      <c r="T96" s="3250">
        <f t="shared" ref="T96:U102" si="7">T9</f>
        <v>112</v>
      </c>
      <c r="U96" s="3250">
        <f t="shared" si="7"/>
        <v>17000</v>
      </c>
    </row>
    <row r="97" spans="1:21" ht="12.75">
      <c r="A97" s="3231" t="s">
        <v>3199</v>
      </c>
      <c r="B97" s="3228" t="s">
        <v>3415</v>
      </c>
      <c r="C97" s="3228" t="s">
        <v>3201</v>
      </c>
      <c r="D97" s="3228" t="s">
        <v>3180</v>
      </c>
      <c r="E97" s="3228" t="s">
        <v>3202</v>
      </c>
      <c r="F97" s="3228" t="s">
        <v>3411</v>
      </c>
      <c r="G97" s="3228" t="s">
        <v>3204</v>
      </c>
      <c r="H97" s="3228" t="s">
        <v>3205</v>
      </c>
      <c r="I97" s="3229" t="s">
        <v>3291</v>
      </c>
      <c r="J97" s="3229">
        <v>194.67</v>
      </c>
      <c r="K97" s="3229" t="s">
        <v>3292</v>
      </c>
      <c r="L97" s="3230" t="s">
        <v>3416</v>
      </c>
      <c r="N97" s="3250">
        <f t="shared" si="6"/>
        <v>25000</v>
      </c>
      <c r="O97" s="3263">
        <f t="shared" si="1"/>
        <v>300000</v>
      </c>
      <c r="T97" s="3250">
        <f t="shared" si="7"/>
        <v>136</v>
      </c>
      <c r="U97" s="3250">
        <f t="shared" si="7"/>
        <v>18000</v>
      </c>
    </row>
    <row r="98" spans="1:21" ht="12.75">
      <c r="A98" s="3231" t="s">
        <v>3199</v>
      </c>
      <c r="B98" s="3228" t="s">
        <v>3417</v>
      </c>
      <c r="C98" s="3228" t="s">
        <v>3201</v>
      </c>
      <c r="D98" s="3228" t="s">
        <v>3180</v>
      </c>
      <c r="E98" s="3228" t="s">
        <v>3202</v>
      </c>
      <c r="F98" s="3228" t="s">
        <v>3411</v>
      </c>
      <c r="G98" s="3228" t="s">
        <v>3204</v>
      </c>
      <c r="H98" s="3228" t="s">
        <v>3205</v>
      </c>
      <c r="I98" s="3229" t="s">
        <v>3214</v>
      </c>
      <c r="J98" s="3229">
        <v>135.66</v>
      </c>
      <c r="K98" s="3229" t="s">
        <v>3295</v>
      </c>
      <c r="L98" s="3230" t="s">
        <v>3418</v>
      </c>
      <c r="N98" s="3250">
        <f t="shared" si="6"/>
        <v>18000</v>
      </c>
      <c r="O98" s="3263">
        <f t="shared" si="1"/>
        <v>216000</v>
      </c>
      <c r="T98" s="3250">
        <f t="shared" si="7"/>
        <v>147</v>
      </c>
      <c r="U98" s="3250">
        <f t="shared" si="7"/>
        <v>19000</v>
      </c>
    </row>
    <row r="99" spans="1:21" ht="12.75">
      <c r="A99" s="3231" t="s">
        <v>3199</v>
      </c>
      <c r="B99" s="3228" t="s">
        <v>3419</v>
      </c>
      <c r="C99" s="3228" t="s">
        <v>3201</v>
      </c>
      <c r="D99" s="3228" t="s">
        <v>3180</v>
      </c>
      <c r="E99" s="3228" t="s">
        <v>3202</v>
      </c>
      <c r="F99" s="3228" t="s">
        <v>3411</v>
      </c>
      <c r="G99" s="3228" t="s">
        <v>3204</v>
      </c>
      <c r="H99" s="3228" t="s">
        <v>3205</v>
      </c>
      <c r="I99" s="3229" t="s">
        <v>3214</v>
      </c>
      <c r="J99" s="3229">
        <v>147.19</v>
      </c>
      <c r="K99" s="3229" t="s">
        <v>3298</v>
      </c>
      <c r="L99" s="3230" t="s">
        <v>3420</v>
      </c>
      <c r="N99" s="3250">
        <f t="shared" si="6"/>
        <v>19000</v>
      </c>
      <c r="O99" s="3263">
        <f t="shared" si="1"/>
        <v>228000</v>
      </c>
      <c r="T99" s="3250">
        <f t="shared" si="7"/>
        <v>158</v>
      </c>
      <c r="U99" s="3250">
        <f t="shared" si="7"/>
        <v>20000</v>
      </c>
    </row>
    <row r="100" spans="1:21" ht="12.75">
      <c r="A100" s="3231" t="s">
        <v>3199</v>
      </c>
      <c r="B100" s="3228" t="s">
        <v>3421</v>
      </c>
      <c r="C100" s="3228" t="s">
        <v>3201</v>
      </c>
      <c r="D100" s="3228" t="s">
        <v>3180</v>
      </c>
      <c r="E100" s="3228" t="s">
        <v>3202</v>
      </c>
      <c r="F100" s="3228" t="s">
        <v>3422</v>
      </c>
      <c r="G100" s="3228" t="s">
        <v>3204</v>
      </c>
      <c r="H100" s="3228" t="s">
        <v>3205</v>
      </c>
      <c r="I100" s="3229" t="s">
        <v>3214</v>
      </c>
      <c r="J100" s="3229">
        <v>158.19999999999999</v>
      </c>
      <c r="K100" s="3229" t="s">
        <v>3215</v>
      </c>
      <c r="L100" s="3230" t="s">
        <v>3423</v>
      </c>
      <c r="N100" s="3250">
        <f>N95</f>
        <v>20000</v>
      </c>
      <c r="O100" s="3263">
        <f t="shared" si="1"/>
        <v>240000</v>
      </c>
      <c r="T100" s="3250">
        <f t="shared" si="7"/>
        <v>176</v>
      </c>
      <c r="U100" s="3250">
        <f t="shared" si="7"/>
        <v>22000</v>
      </c>
    </row>
    <row r="101" spans="1:21" ht="12.75">
      <c r="A101" s="3231" t="s">
        <v>3199</v>
      </c>
      <c r="B101" s="3228" t="s">
        <v>3424</v>
      </c>
      <c r="C101" s="3228" t="s">
        <v>3201</v>
      </c>
      <c r="D101" s="3228" t="s">
        <v>3180</v>
      </c>
      <c r="E101" s="3228" t="s">
        <v>3202</v>
      </c>
      <c r="F101" s="3228" t="s">
        <v>3422</v>
      </c>
      <c r="G101" s="3228" t="s">
        <v>3204</v>
      </c>
      <c r="H101" s="3228" t="s">
        <v>3205</v>
      </c>
      <c r="I101" s="3229" t="s">
        <v>3214</v>
      </c>
      <c r="J101" s="3229">
        <v>154.30000000000001</v>
      </c>
      <c r="K101" s="3229" t="s">
        <v>3218</v>
      </c>
      <c r="L101" s="3230" t="s">
        <v>3425</v>
      </c>
      <c r="N101" s="3250">
        <f t="shared" ref="N101:N104" si="8">N96</f>
        <v>20000</v>
      </c>
      <c r="O101" s="3263">
        <f t="shared" si="1"/>
        <v>240000</v>
      </c>
      <c r="T101" s="3250">
        <f t="shared" si="7"/>
        <v>195</v>
      </c>
      <c r="U101" s="3250">
        <f t="shared" si="7"/>
        <v>25000</v>
      </c>
    </row>
    <row r="102" spans="1:21" ht="12.75">
      <c r="A102" s="3231" t="s">
        <v>3199</v>
      </c>
      <c r="B102" s="3228" t="s">
        <v>3426</v>
      </c>
      <c r="C102" s="3228" t="s">
        <v>3201</v>
      </c>
      <c r="D102" s="3228" t="s">
        <v>3180</v>
      </c>
      <c r="E102" s="3228" t="s">
        <v>3202</v>
      </c>
      <c r="F102" s="3228" t="s">
        <v>3422</v>
      </c>
      <c r="G102" s="3228" t="s">
        <v>3204</v>
      </c>
      <c r="H102" s="3228" t="s">
        <v>3205</v>
      </c>
      <c r="I102" s="3229" t="s">
        <v>3291</v>
      </c>
      <c r="J102" s="3229">
        <v>194.67</v>
      </c>
      <c r="K102" s="3229" t="s">
        <v>3292</v>
      </c>
      <c r="L102" s="3230" t="s">
        <v>3427</v>
      </c>
      <c r="N102" s="3250">
        <f t="shared" si="8"/>
        <v>25000</v>
      </c>
      <c r="O102" s="3263">
        <f t="shared" si="1"/>
        <v>300000</v>
      </c>
      <c r="T102" s="3250">
        <f t="shared" si="7"/>
        <v>223</v>
      </c>
      <c r="U102" s="3250">
        <f t="shared" si="7"/>
        <v>27000</v>
      </c>
    </row>
    <row r="103" spans="1:21" ht="12.75">
      <c r="A103" s="3231" t="s">
        <v>3199</v>
      </c>
      <c r="B103" s="3228" t="s">
        <v>3428</v>
      </c>
      <c r="C103" s="3228" t="s">
        <v>3201</v>
      </c>
      <c r="D103" s="3228" t="s">
        <v>3180</v>
      </c>
      <c r="E103" s="3228" t="s">
        <v>3202</v>
      </c>
      <c r="F103" s="3228" t="s">
        <v>3422</v>
      </c>
      <c r="G103" s="3228" t="s">
        <v>3204</v>
      </c>
      <c r="H103" s="3228" t="s">
        <v>3205</v>
      </c>
      <c r="I103" s="3229" t="s">
        <v>3214</v>
      </c>
      <c r="J103" s="3229">
        <v>135.66</v>
      </c>
      <c r="K103" s="3229" t="s">
        <v>3295</v>
      </c>
      <c r="L103" s="3230" t="s">
        <v>3429</v>
      </c>
      <c r="N103" s="3250">
        <f t="shared" si="8"/>
        <v>18000</v>
      </c>
      <c r="O103" s="3263">
        <f t="shared" si="1"/>
        <v>216000</v>
      </c>
      <c r="T103" s="3250">
        <f>T16</f>
        <v>282</v>
      </c>
      <c r="U103" s="3250">
        <f>U16</f>
        <v>30000</v>
      </c>
    </row>
    <row r="104" spans="1:21" ht="12.75">
      <c r="A104" s="3231" t="s">
        <v>3199</v>
      </c>
      <c r="B104" s="3228" t="s">
        <v>3430</v>
      </c>
      <c r="C104" s="3228" t="s">
        <v>3201</v>
      </c>
      <c r="D104" s="3228" t="s">
        <v>3180</v>
      </c>
      <c r="E104" s="3228" t="s">
        <v>3202</v>
      </c>
      <c r="F104" s="3228" t="s">
        <v>3422</v>
      </c>
      <c r="G104" s="3228" t="s">
        <v>3204</v>
      </c>
      <c r="H104" s="3228" t="s">
        <v>3205</v>
      </c>
      <c r="I104" s="3229" t="s">
        <v>3214</v>
      </c>
      <c r="J104" s="3229">
        <v>147.19</v>
      </c>
      <c r="K104" s="3229" t="s">
        <v>3298</v>
      </c>
      <c r="L104" s="3230" t="s">
        <v>3431</v>
      </c>
      <c r="N104" s="3250">
        <f t="shared" si="8"/>
        <v>19000</v>
      </c>
      <c r="O104" s="3263">
        <f t="shared" si="1"/>
        <v>228000</v>
      </c>
    </row>
    <row r="105" spans="1:21" ht="12.75">
      <c r="A105" s="3231" t="s">
        <v>3199</v>
      </c>
      <c r="B105" s="3228" t="s">
        <v>3432</v>
      </c>
      <c r="C105" s="3228" t="s">
        <v>3201</v>
      </c>
      <c r="D105" s="3228" t="s">
        <v>3180</v>
      </c>
      <c r="E105" s="3228" t="s">
        <v>3202</v>
      </c>
      <c r="F105" s="3228" t="s">
        <v>3433</v>
      </c>
      <c r="G105" s="3228" t="s">
        <v>3204</v>
      </c>
      <c r="H105" s="3228" t="s">
        <v>3205</v>
      </c>
      <c r="I105" s="3229" t="s">
        <v>3214</v>
      </c>
      <c r="J105" s="3229">
        <v>158.19999999999999</v>
      </c>
      <c r="K105" s="3229" t="s">
        <v>3215</v>
      </c>
      <c r="L105" s="3230" t="s">
        <v>3434</v>
      </c>
      <c r="N105" s="3250">
        <f>N100</f>
        <v>20000</v>
      </c>
      <c r="O105" s="3263">
        <f t="shared" si="1"/>
        <v>240000</v>
      </c>
    </row>
    <row r="106" spans="1:21" ht="12.75">
      <c r="A106" s="3231" t="s">
        <v>3199</v>
      </c>
      <c r="B106" s="3228" t="s">
        <v>3435</v>
      </c>
      <c r="C106" s="3228" t="s">
        <v>3201</v>
      </c>
      <c r="D106" s="3228" t="s">
        <v>3180</v>
      </c>
      <c r="E106" s="3228" t="s">
        <v>3202</v>
      </c>
      <c r="F106" s="3228" t="s">
        <v>3433</v>
      </c>
      <c r="G106" s="3228" t="s">
        <v>3204</v>
      </c>
      <c r="H106" s="3228" t="s">
        <v>3205</v>
      </c>
      <c r="I106" s="3229" t="s">
        <v>3214</v>
      </c>
      <c r="J106" s="3229">
        <v>154.30000000000001</v>
      </c>
      <c r="K106" s="3229" t="s">
        <v>3218</v>
      </c>
      <c r="L106" s="3230" t="s">
        <v>3436</v>
      </c>
      <c r="N106" s="3250">
        <f t="shared" ref="N106:N109" si="9">N101</f>
        <v>20000</v>
      </c>
      <c r="O106" s="3263">
        <f t="shared" si="1"/>
        <v>240000</v>
      </c>
    </row>
    <row r="107" spans="1:21" ht="12.75">
      <c r="A107" s="3231" t="s">
        <v>3199</v>
      </c>
      <c r="B107" s="3228" t="s">
        <v>3437</v>
      </c>
      <c r="C107" s="3228" t="s">
        <v>3201</v>
      </c>
      <c r="D107" s="3228" t="s">
        <v>3180</v>
      </c>
      <c r="E107" s="3228" t="s">
        <v>3202</v>
      </c>
      <c r="F107" s="3228" t="s">
        <v>3433</v>
      </c>
      <c r="G107" s="3228" t="s">
        <v>3204</v>
      </c>
      <c r="H107" s="3228" t="s">
        <v>3205</v>
      </c>
      <c r="I107" s="3229" t="s">
        <v>3291</v>
      </c>
      <c r="J107" s="3229">
        <v>194.67</v>
      </c>
      <c r="K107" s="3229" t="s">
        <v>3292</v>
      </c>
      <c r="L107" s="3230" t="s">
        <v>3438</v>
      </c>
      <c r="M107" s="3250">
        <v>106</v>
      </c>
      <c r="N107" s="3250">
        <f t="shared" si="9"/>
        <v>25000</v>
      </c>
      <c r="O107" s="3263">
        <f t="shared" si="1"/>
        <v>300000</v>
      </c>
    </row>
    <row r="108" spans="1:21" ht="12.75">
      <c r="A108" s="3231" t="s">
        <v>3199</v>
      </c>
      <c r="B108" s="3228" t="s">
        <v>3439</v>
      </c>
      <c r="C108" s="3228" t="s">
        <v>3201</v>
      </c>
      <c r="D108" s="3228" t="s">
        <v>3180</v>
      </c>
      <c r="E108" s="3228" t="s">
        <v>3202</v>
      </c>
      <c r="F108" s="3228" t="s">
        <v>3433</v>
      </c>
      <c r="G108" s="3228" t="s">
        <v>3204</v>
      </c>
      <c r="H108" s="3228" t="s">
        <v>3205</v>
      </c>
      <c r="I108" s="3229" t="s">
        <v>3214</v>
      </c>
      <c r="J108" s="3229">
        <v>135.66</v>
      </c>
      <c r="K108" s="3229" t="s">
        <v>3295</v>
      </c>
      <c r="L108" s="3230" t="s">
        <v>3440</v>
      </c>
      <c r="N108" s="3250">
        <f t="shared" si="9"/>
        <v>18000</v>
      </c>
      <c r="O108" s="3263">
        <f t="shared" si="1"/>
        <v>216000</v>
      </c>
    </row>
    <row r="109" spans="1:21" ht="12.75">
      <c r="A109" s="3231" t="s">
        <v>3199</v>
      </c>
      <c r="B109" s="3228" t="s">
        <v>3441</v>
      </c>
      <c r="C109" s="3228" t="s">
        <v>3201</v>
      </c>
      <c r="D109" s="3228" t="s">
        <v>3180</v>
      </c>
      <c r="E109" s="3228" t="s">
        <v>3202</v>
      </c>
      <c r="F109" s="3228" t="s">
        <v>3433</v>
      </c>
      <c r="G109" s="3228" t="s">
        <v>3204</v>
      </c>
      <c r="H109" s="3228" t="s">
        <v>3205</v>
      </c>
      <c r="I109" s="3229" t="s">
        <v>3214</v>
      </c>
      <c r="J109" s="3229">
        <v>147.19</v>
      </c>
      <c r="K109" s="3229" t="s">
        <v>3298</v>
      </c>
      <c r="L109" s="3230" t="s">
        <v>3442</v>
      </c>
      <c r="N109" s="3250">
        <f t="shared" si="9"/>
        <v>19000</v>
      </c>
      <c r="O109" s="3263">
        <f t="shared" si="1"/>
        <v>228000</v>
      </c>
    </row>
    <row r="110" spans="1:21" ht="12.75">
      <c r="A110" s="3231" t="s">
        <v>3199</v>
      </c>
      <c r="B110" s="3228" t="s">
        <v>3443</v>
      </c>
      <c r="C110" s="3228" t="s">
        <v>3201</v>
      </c>
      <c r="D110" s="3228" t="s">
        <v>3180</v>
      </c>
      <c r="E110" s="3228" t="s">
        <v>3202</v>
      </c>
      <c r="F110" s="3228" t="s">
        <v>3444</v>
      </c>
      <c r="G110" s="3228" t="s">
        <v>3204</v>
      </c>
      <c r="H110" s="3228" t="s">
        <v>3205</v>
      </c>
      <c r="I110" s="3229" t="s">
        <v>3291</v>
      </c>
      <c r="J110" s="3229">
        <v>223.33</v>
      </c>
      <c r="K110" s="3229" t="s">
        <v>3445</v>
      </c>
      <c r="L110" s="3230" t="s">
        <v>3446</v>
      </c>
      <c r="N110" s="3250">
        <f>U102</f>
        <v>27000</v>
      </c>
      <c r="O110" s="3263">
        <f t="shared" si="1"/>
        <v>324000</v>
      </c>
    </row>
    <row r="111" spans="1:21" ht="12.75">
      <c r="A111" s="3231" t="s">
        <v>3199</v>
      </c>
      <c r="B111" s="3228" t="s">
        <v>3447</v>
      </c>
      <c r="C111" s="3228" t="s">
        <v>3201</v>
      </c>
      <c r="D111" s="3228" t="s">
        <v>3180</v>
      </c>
      <c r="E111" s="3228" t="s">
        <v>3202</v>
      </c>
      <c r="F111" s="3228" t="s">
        <v>3444</v>
      </c>
      <c r="G111" s="3228" t="s">
        <v>3204</v>
      </c>
      <c r="H111" s="3228" t="s">
        <v>3205</v>
      </c>
      <c r="I111" s="3229" t="s">
        <v>3291</v>
      </c>
      <c r="J111" s="3229">
        <v>224.57</v>
      </c>
      <c r="K111" s="3229" t="s">
        <v>3448</v>
      </c>
      <c r="L111" s="3230" t="s">
        <v>3449</v>
      </c>
      <c r="N111" s="3250">
        <f>U102</f>
        <v>27000</v>
      </c>
      <c r="O111" s="3263">
        <f t="shared" si="1"/>
        <v>324000</v>
      </c>
    </row>
    <row r="112" spans="1:21" ht="12.75">
      <c r="A112" s="3231" t="s">
        <v>3199</v>
      </c>
      <c r="B112" s="3228" t="s">
        <v>3450</v>
      </c>
      <c r="C112" s="3228" t="s">
        <v>3201</v>
      </c>
      <c r="D112" s="3228" t="s">
        <v>3180</v>
      </c>
      <c r="E112" s="3228" t="s">
        <v>3202</v>
      </c>
      <c r="F112" s="3228" t="s">
        <v>3444</v>
      </c>
      <c r="G112" s="3228" t="s">
        <v>3204</v>
      </c>
      <c r="H112" s="3228" t="s">
        <v>3205</v>
      </c>
      <c r="I112" s="3229" t="s">
        <v>3291</v>
      </c>
      <c r="J112" s="3229">
        <v>236.91</v>
      </c>
      <c r="K112" s="3229" t="s">
        <v>3451</v>
      </c>
      <c r="L112" s="3230" t="s">
        <v>3452</v>
      </c>
      <c r="N112" s="3250">
        <v>28000</v>
      </c>
      <c r="O112" s="3263">
        <f t="shared" si="1"/>
        <v>336000</v>
      </c>
    </row>
    <row r="113" spans="1:15" ht="24">
      <c r="A113" s="3231" t="s">
        <v>3199</v>
      </c>
      <c r="B113" s="3228" t="s">
        <v>3453</v>
      </c>
      <c r="C113" s="3228" t="s">
        <v>3201</v>
      </c>
      <c r="D113" s="3228" t="s">
        <v>3180</v>
      </c>
      <c r="E113" s="3228" t="s">
        <v>3202</v>
      </c>
      <c r="F113" s="3228" t="s">
        <v>3454</v>
      </c>
      <c r="G113" s="3228" t="s">
        <v>3455</v>
      </c>
      <c r="H113" s="3228" t="s">
        <v>3205</v>
      </c>
      <c r="I113" s="3229" t="s">
        <v>3206</v>
      </c>
      <c r="J113" s="3229">
        <v>971.53</v>
      </c>
      <c r="K113" s="3229" t="s">
        <v>3180</v>
      </c>
      <c r="L113" s="3230" t="s">
        <v>3456</v>
      </c>
      <c r="O113" s="3263"/>
    </row>
    <row r="114" spans="1:15" ht="12.75">
      <c r="A114" s="3231" t="s">
        <v>3457</v>
      </c>
      <c r="B114" s="3228" t="s">
        <v>3458</v>
      </c>
      <c r="C114" s="3228" t="s">
        <v>3201</v>
      </c>
      <c r="D114" s="3228" t="s">
        <v>3180</v>
      </c>
      <c r="E114" s="3228" t="s">
        <v>3202</v>
      </c>
      <c r="F114" s="3228" t="s">
        <v>3213</v>
      </c>
      <c r="G114" s="3228" t="s">
        <v>3204</v>
      </c>
      <c r="H114" s="3228" t="s">
        <v>3205</v>
      </c>
      <c r="I114" s="3229" t="s">
        <v>3214</v>
      </c>
      <c r="J114" s="3229">
        <v>158.19999999999999</v>
      </c>
      <c r="K114" s="3229" t="s">
        <v>3215</v>
      </c>
      <c r="L114" s="3230" t="s">
        <v>3459</v>
      </c>
      <c r="N114" s="3250">
        <f>U99</f>
        <v>20000</v>
      </c>
      <c r="O114" s="3263">
        <f t="shared" si="1"/>
        <v>240000</v>
      </c>
    </row>
    <row r="115" spans="1:15" ht="12.75">
      <c r="A115" s="3231" t="s">
        <v>3457</v>
      </c>
      <c r="B115" s="3228" t="s">
        <v>3460</v>
      </c>
      <c r="C115" s="3228" t="s">
        <v>3201</v>
      </c>
      <c r="D115" s="3228" t="s">
        <v>3180</v>
      </c>
      <c r="E115" s="3228" t="s">
        <v>3202</v>
      </c>
      <c r="F115" s="3228" t="s">
        <v>3213</v>
      </c>
      <c r="G115" s="3228" t="s">
        <v>3204</v>
      </c>
      <c r="H115" s="3228" t="s">
        <v>3205</v>
      </c>
      <c r="I115" s="3229" t="s">
        <v>3214</v>
      </c>
      <c r="J115" s="3229">
        <v>154.30000000000001</v>
      </c>
      <c r="K115" s="3229" t="s">
        <v>3218</v>
      </c>
      <c r="L115" s="3230" t="s">
        <v>3461</v>
      </c>
      <c r="N115" s="3250">
        <f>U99</f>
        <v>20000</v>
      </c>
      <c r="O115" s="3263">
        <f t="shared" si="1"/>
        <v>240000</v>
      </c>
    </row>
    <row r="116" spans="1:15" ht="12.75">
      <c r="A116" s="3231" t="s">
        <v>3457</v>
      </c>
      <c r="B116" s="3228" t="s">
        <v>3462</v>
      </c>
      <c r="C116" s="3228" t="s">
        <v>3201</v>
      </c>
      <c r="D116" s="3228" t="s">
        <v>3180</v>
      </c>
      <c r="E116" s="3228" t="s">
        <v>3202</v>
      </c>
      <c r="F116" s="3228" t="s">
        <v>3213</v>
      </c>
      <c r="G116" s="3228" t="s">
        <v>3204</v>
      </c>
      <c r="H116" s="3228" t="s">
        <v>3205</v>
      </c>
      <c r="I116" s="3229" t="s">
        <v>3214</v>
      </c>
      <c r="J116" s="3229">
        <v>176.26</v>
      </c>
      <c r="K116" s="3229" t="s">
        <v>3221</v>
      </c>
      <c r="L116" s="3230" t="s">
        <v>3463</v>
      </c>
      <c r="N116" s="3250">
        <f>U100</f>
        <v>22000</v>
      </c>
      <c r="O116" s="3263">
        <f t="shared" si="1"/>
        <v>264000</v>
      </c>
    </row>
    <row r="117" spans="1:15" ht="12.75">
      <c r="A117" s="3231" t="s">
        <v>3457</v>
      </c>
      <c r="B117" s="3228" t="s">
        <v>3464</v>
      </c>
      <c r="C117" s="3228" t="s">
        <v>3201</v>
      </c>
      <c r="D117" s="3228" t="s">
        <v>3180</v>
      </c>
      <c r="E117" s="3228" t="s">
        <v>3202</v>
      </c>
      <c r="F117" s="3228" t="s">
        <v>3213</v>
      </c>
      <c r="G117" s="3228" t="s">
        <v>3204</v>
      </c>
      <c r="H117" s="3228" t="s">
        <v>3205</v>
      </c>
      <c r="I117" s="3229" t="s">
        <v>3214</v>
      </c>
      <c r="J117" s="3229">
        <v>155.13</v>
      </c>
      <c r="K117" s="3229" t="s">
        <v>3224</v>
      </c>
      <c r="L117" s="3230" t="s">
        <v>3465</v>
      </c>
      <c r="N117" s="3250">
        <f>U99</f>
        <v>20000</v>
      </c>
      <c r="O117" s="3263">
        <f t="shared" si="1"/>
        <v>240000</v>
      </c>
    </row>
    <row r="118" spans="1:15" ht="12.75">
      <c r="A118" s="3231" t="s">
        <v>3457</v>
      </c>
      <c r="B118" s="3228" t="s">
        <v>3466</v>
      </c>
      <c r="C118" s="3228" t="s">
        <v>3201</v>
      </c>
      <c r="D118" s="3228" t="s">
        <v>3180</v>
      </c>
      <c r="E118" s="3228" t="s">
        <v>3202</v>
      </c>
      <c r="F118" s="3228" t="s">
        <v>3213</v>
      </c>
      <c r="G118" s="3228" t="s">
        <v>3204</v>
      </c>
      <c r="H118" s="3228" t="s">
        <v>3205</v>
      </c>
      <c r="I118" s="3229" t="s">
        <v>3227</v>
      </c>
      <c r="J118" s="3229">
        <v>111.52</v>
      </c>
      <c r="K118" s="3229" t="s">
        <v>3228</v>
      </c>
      <c r="L118" s="3230" t="s">
        <v>3467</v>
      </c>
      <c r="N118" s="3250">
        <f>U96</f>
        <v>17000</v>
      </c>
      <c r="O118" s="3263">
        <f t="shared" si="1"/>
        <v>204000</v>
      </c>
    </row>
    <row r="119" spans="1:15" ht="12.75">
      <c r="A119" s="3231" t="s">
        <v>3457</v>
      </c>
      <c r="B119" s="3228" t="s">
        <v>3468</v>
      </c>
      <c r="C119" s="3228" t="s">
        <v>3201</v>
      </c>
      <c r="D119" s="3228" t="s">
        <v>3180</v>
      </c>
      <c r="E119" s="3228" t="s">
        <v>3202</v>
      </c>
      <c r="F119" s="3228" t="s">
        <v>3213</v>
      </c>
      <c r="G119" s="3228" t="s">
        <v>3204</v>
      </c>
      <c r="H119" s="3228" t="s">
        <v>3205</v>
      </c>
      <c r="I119" s="3229" t="s">
        <v>3227</v>
      </c>
      <c r="J119" s="3229">
        <v>100.84</v>
      </c>
      <c r="K119" s="3229" t="s">
        <v>3231</v>
      </c>
      <c r="L119" s="3230" t="s">
        <v>3469</v>
      </c>
      <c r="N119" s="3250">
        <f>U95</f>
        <v>15000</v>
      </c>
      <c r="O119" s="3263">
        <f t="shared" si="1"/>
        <v>180000</v>
      </c>
    </row>
    <row r="120" spans="1:15" ht="12.75">
      <c r="A120" s="3231" t="s">
        <v>3457</v>
      </c>
      <c r="B120" s="3228" t="s">
        <v>3470</v>
      </c>
      <c r="C120" s="3228" t="s">
        <v>3201</v>
      </c>
      <c r="D120" s="3228" t="s">
        <v>3180</v>
      </c>
      <c r="E120" s="3228" t="s">
        <v>3202</v>
      </c>
      <c r="F120" s="3228" t="s">
        <v>3234</v>
      </c>
      <c r="G120" s="3228" t="s">
        <v>3204</v>
      </c>
      <c r="H120" s="3228" t="s">
        <v>3205</v>
      </c>
      <c r="I120" s="3229" t="s">
        <v>3214</v>
      </c>
      <c r="J120" s="3229">
        <v>158.19999999999999</v>
      </c>
      <c r="K120" s="3229" t="s">
        <v>3215</v>
      </c>
      <c r="L120" s="3230" t="s">
        <v>3471</v>
      </c>
      <c r="N120" s="3250">
        <f>N114</f>
        <v>20000</v>
      </c>
      <c r="O120" s="3263">
        <f t="shared" si="1"/>
        <v>240000</v>
      </c>
    </row>
    <row r="121" spans="1:15" ht="12.75">
      <c r="A121" s="3231" t="s">
        <v>3457</v>
      </c>
      <c r="B121" s="3228" t="s">
        <v>3472</v>
      </c>
      <c r="C121" s="3228" t="s">
        <v>3201</v>
      </c>
      <c r="D121" s="3228" t="s">
        <v>3180</v>
      </c>
      <c r="E121" s="3228" t="s">
        <v>3202</v>
      </c>
      <c r="F121" s="3228" t="s">
        <v>3234</v>
      </c>
      <c r="G121" s="3228" t="s">
        <v>3204</v>
      </c>
      <c r="H121" s="3228" t="s">
        <v>3205</v>
      </c>
      <c r="I121" s="3229" t="s">
        <v>3214</v>
      </c>
      <c r="J121" s="3229">
        <v>154.30000000000001</v>
      </c>
      <c r="K121" s="3229" t="s">
        <v>3218</v>
      </c>
      <c r="L121" s="3230" t="s">
        <v>3473</v>
      </c>
      <c r="N121" s="3250">
        <f t="shared" ref="N121:N125" si="10">N115</f>
        <v>20000</v>
      </c>
      <c r="O121" s="3263">
        <f t="shared" si="1"/>
        <v>240000</v>
      </c>
    </row>
    <row r="122" spans="1:15" ht="12.75">
      <c r="A122" s="3231" t="s">
        <v>3457</v>
      </c>
      <c r="B122" s="3228" t="s">
        <v>3474</v>
      </c>
      <c r="C122" s="3228" t="s">
        <v>3201</v>
      </c>
      <c r="D122" s="3228" t="s">
        <v>3180</v>
      </c>
      <c r="E122" s="3228" t="s">
        <v>3202</v>
      </c>
      <c r="F122" s="3228" t="s">
        <v>3234</v>
      </c>
      <c r="G122" s="3228" t="s">
        <v>3204</v>
      </c>
      <c r="H122" s="3228" t="s">
        <v>3205</v>
      </c>
      <c r="I122" s="3229" t="s">
        <v>3214</v>
      </c>
      <c r="J122" s="3229">
        <v>176.26</v>
      </c>
      <c r="K122" s="3229" t="s">
        <v>3221</v>
      </c>
      <c r="L122" s="3230" t="s">
        <v>3475</v>
      </c>
      <c r="N122" s="3250">
        <f t="shared" si="10"/>
        <v>22000</v>
      </c>
      <c r="O122" s="3263">
        <f t="shared" si="1"/>
        <v>264000</v>
      </c>
    </row>
    <row r="123" spans="1:15" ht="12.75">
      <c r="A123" s="3231" t="s">
        <v>3457</v>
      </c>
      <c r="B123" s="3228" t="s">
        <v>3476</v>
      </c>
      <c r="C123" s="3228" t="s">
        <v>3201</v>
      </c>
      <c r="D123" s="3228" t="s">
        <v>3180</v>
      </c>
      <c r="E123" s="3228" t="s">
        <v>3202</v>
      </c>
      <c r="F123" s="3228" t="s">
        <v>3234</v>
      </c>
      <c r="G123" s="3228" t="s">
        <v>3204</v>
      </c>
      <c r="H123" s="3228" t="s">
        <v>3205</v>
      </c>
      <c r="I123" s="3229" t="s">
        <v>3214</v>
      </c>
      <c r="J123" s="3229">
        <v>155.13</v>
      </c>
      <c r="K123" s="3229" t="s">
        <v>3224</v>
      </c>
      <c r="L123" s="3230" t="s">
        <v>3477</v>
      </c>
      <c r="N123" s="3250">
        <f t="shared" si="10"/>
        <v>20000</v>
      </c>
      <c r="O123" s="3263">
        <f t="shared" si="1"/>
        <v>240000</v>
      </c>
    </row>
    <row r="124" spans="1:15" ht="12.75">
      <c r="A124" s="3231" t="s">
        <v>3457</v>
      </c>
      <c r="B124" s="3228" t="s">
        <v>3478</v>
      </c>
      <c r="C124" s="3228" t="s">
        <v>3201</v>
      </c>
      <c r="D124" s="3228" t="s">
        <v>3180</v>
      </c>
      <c r="E124" s="3228" t="s">
        <v>3202</v>
      </c>
      <c r="F124" s="3228" t="s">
        <v>3234</v>
      </c>
      <c r="G124" s="3228" t="s">
        <v>3204</v>
      </c>
      <c r="H124" s="3228" t="s">
        <v>3205</v>
      </c>
      <c r="I124" s="3229" t="s">
        <v>3227</v>
      </c>
      <c r="J124" s="3229">
        <v>111.52</v>
      </c>
      <c r="K124" s="3229" t="s">
        <v>3228</v>
      </c>
      <c r="L124" s="3230" t="s">
        <v>3479</v>
      </c>
      <c r="N124" s="3250">
        <f t="shared" si="10"/>
        <v>17000</v>
      </c>
      <c r="O124" s="3263">
        <f t="shared" si="1"/>
        <v>204000</v>
      </c>
    </row>
    <row r="125" spans="1:15" ht="12.75">
      <c r="A125" s="3231" t="s">
        <v>3457</v>
      </c>
      <c r="B125" s="3228" t="s">
        <v>3480</v>
      </c>
      <c r="C125" s="3228" t="s">
        <v>3201</v>
      </c>
      <c r="D125" s="3228" t="s">
        <v>3180</v>
      </c>
      <c r="E125" s="3228" t="s">
        <v>3202</v>
      </c>
      <c r="F125" s="3228" t="s">
        <v>3234</v>
      </c>
      <c r="G125" s="3228" t="s">
        <v>3204</v>
      </c>
      <c r="H125" s="3228" t="s">
        <v>3205</v>
      </c>
      <c r="I125" s="3229" t="s">
        <v>3227</v>
      </c>
      <c r="J125" s="3229">
        <v>100.84</v>
      </c>
      <c r="K125" s="3229" t="s">
        <v>3231</v>
      </c>
      <c r="L125" s="3230" t="s">
        <v>3481</v>
      </c>
      <c r="N125" s="3250">
        <f t="shared" si="10"/>
        <v>15000</v>
      </c>
      <c r="O125" s="3263">
        <f t="shared" si="1"/>
        <v>180000</v>
      </c>
    </row>
    <row r="126" spans="1:15" ht="12.75">
      <c r="A126" s="3231" t="s">
        <v>3457</v>
      </c>
      <c r="B126" s="3228" t="s">
        <v>3482</v>
      </c>
      <c r="C126" s="3228" t="s">
        <v>3201</v>
      </c>
      <c r="D126" s="3228" t="s">
        <v>3180</v>
      </c>
      <c r="E126" s="3228" t="s">
        <v>3202</v>
      </c>
      <c r="F126" s="3228" t="s">
        <v>3247</v>
      </c>
      <c r="G126" s="3228" t="s">
        <v>3204</v>
      </c>
      <c r="H126" s="3228" t="s">
        <v>3205</v>
      </c>
      <c r="I126" s="3229" t="s">
        <v>3214</v>
      </c>
      <c r="J126" s="3229">
        <v>158.19999999999999</v>
      </c>
      <c r="K126" s="3229" t="s">
        <v>3215</v>
      </c>
      <c r="L126" s="3230" t="s">
        <v>3483</v>
      </c>
      <c r="N126" s="3250">
        <f>N120</f>
        <v>20000</v>
      </c>
      <c r="O126" s="3263">
        <f t="shared" si="1"/>
        <v>240000</v>
      </c>
    </row>
    <row r="127" spans="1:15" ht="12.75">
      <c r="A127" s="3231" t="s">
        <v>3457</v>
      </c>
      <c r="B127" s="3228" t="s">
        <v>3484</v>
      </c>
      <c r="C127" s="3228" t="s">
        <v>3201</v>
      </c>
      <c r="D127" s="3228" t="s">
        <v>3180</v>
      </c>
      <c r="E127" s="3228" t="s">
        <v>3202</v>
      </c>
      <c r="F127" s="3228" t="s">
        <v>3247</v>
      </c>
      <c r="G127" s="3228" t="s">
        <v>3204</v>
      </c>
      <c r="H127" s="3228" t="s">
        <v>3205</v>
      </c>
      <c r="I127" s="3229" t="s">
        <v>3214</v>
      </c>
      <c r="J127" s="3229">
        <v>154.30000000000001</v>
      </c>
      <c r="K127" s="3229" t="s">
        <v>3218</v>
      </c>
      <c r="L127" s="3230" t="s">
        <v>3485</v>
      </c>
      <c r="N127" s="3250">
        <f t="shared" ref="N127:N131" si="11">N121</f>
        <v>20000</v>
      </c>
      <c r="O127" s="3263">
        <f t="shared" si="1"/>
        <v>240000</v>
      </c>
    </row>
    <row r="128" spans="1:15" ht="12.75">
      <c r="A128" s="3231" t="s">
        <v>3457</v>
      </c>
      <c r="B128" s="3228" t="s">
        <v>3486</v>
      </c>
      <c r="C128" s="3228" t="s">
        <v>3201</v>
      </c>
      <c r="D128" s="3228" t="s">
        <v>3180</v>
      </c>
      <c r="E128" s="3228" t="s">
        <v>3202</v>
      </c>
      <c r="F128" s="3228" t="s">
        <v>3247</v>
      </c>
      <c r="G128" s="3228" t="s">
        <v>3204</v>
      </c>
      <c r="H128" s="3228" t="s">
        <v>3205</v>
      </c>
      <c r="I128" s="3229" t="s">
        <v>3214</v>
      </c>
      <c r="J128" s="3229">
        <v>176.26</v>
      </c>
      <c r="K128" s="3229" t="s">
        <v>3221</v>
      </c>
      <c r="L128" s="3230" t="s">
        <v>3487</v>
      </c>
      <c r="N128" s="3250">
        <f t="shared" si="11"/>
        <v>22000</v>
      </c>
      <c r="O128" s="3263">
        <f t="shared" si="1"/>
        <v>264000</v>
      </c>
    </row>
    <row r="129" spans="1:15" ht="12.75">
      <c r="A129" s="3231" t="s">
        <v>3457</v>
      </c>
      <c r="B129" s="3228" t="s">
        <v>3488</v>
      </c>
      <c r="C129" s="3228" t="s">
        <v>3201</v>
      </c>
      <c r="D129" s="3228" t="s">
        <v>3180</v>
      </c>
      <c r="E129" s="3228" t="s">
        <v>3202</v>
      </c>
      <c r="F129" s="3228" t="s">
        <v>3247</v>
      </c>
      <c r="G129" s="3228" t="s">
        <v>3204</v>
      </c>
      <c r="H129" s="3228" t="s">
        <v>3205</v>
      </c>
      <c r="I129" s="3229" t="s">
        <v>3214</v>
      </c>
      <c r="J129" s="3229">
        <v>155.13</v>
      </c>
      <c r="K129" s="3229" t="s">
        <v>3224</v>
      </c>
      <c r="L129" s="3230" t="s">
        <v>3489</v>
      </c>
      <c r="N129" s="3250">
        <f t="shared" si="11"/>
        <v>20000</v>
      </c>
      <c r="O129" s="3263">
        <f t="shared" si="1"/>
        <v>240000</v>
      </c>
    </row>
    <row r="130" spans="1:15" ht="12.75">
      <c r="A130" s="3231" t="s">
        <v>3457</v>
      </c>
      <c r="B130" s="3228" t="s">
        <v>3490</v>
      </c>
      <c r="C130" s="3228" t="s">
        <v>3201</v>
      </c>
      <c r="D130" s="3228" t="s">
        <v>3180</v>
      </c>
      <c r="E130" s="3228" t="s">
        <v>3202</v>
      </c>
      <c r="F130" s="3228" t="s">
        <v>3247</v>
      </c>
      <c r="G130" s="3228" t="s">
        <v>3204</v>
      </c>
      <c r="H130" s="3228" t="s">
        <v>3205</v>
      </c>
      <c r="I130" s="3229" t="s">
        <v>3227</v>
      </c>
      <c r="J130" s="3229">
        <v>111.52</v>
      </c>
      <c r="K130" s="3229" t="s">
        <v>3228</v>
      </c>
      <c r="L130" s="3230" t="s">
        <v>3491</v>
      </c>
      <c r="N130" s="3250">
        <f t="shared" si="11"/>
        <v>17000</v>
      </c>
      <c r="O130" s="3263">
        <f t="shared" si="1"/>
        <v>204000</v>
      </c>
    </row>
    <row r="131" spans="1:15" ht="12.75">
      <c r="A131" s="3231" t="s">
        <v>3457</v>
      </c>
      <c r="B131" s="3228" t="s">
        <v>3492</v>
      </c>
      <c r="C131" s="3228" t="s">
        <v>3201</v>
      </c>
      <c r="D131" s="3228" t="s">
        <v>3180</v>
      </c>
      <c r="E131" s="3228" t="s">
        <v>3202</v>
      </c>
      <c r="F131" s="3228" t="s">
        <v>3247</v>
      </c>
      <c r="G131" s="3228" t="s">
        <v>3204</v>
      </c>
      <c r="H131" s="3228" t="s">
        <v>3205</v>
      </c>
      <c r="I131" s="3229" t="s">
        <v>3227</v>
      </c>
      <c r="J131" s="3229">
        <v>100.84</v>
      </c>
      <c r="K131" s="3229" t="s">
        <v>3231</v>
      </c>
      <c r="L131" s="3230" t="s">
        <v>3493</v>
      </c>
      <c r="N131" s="3250">
        <f t="shared" si="11"/>
        <v>15000</v>
      </c>
      <c r="O131" s="3263">
        <f t="shared" si="1"/>
        <v>180000</v>
      </c>
    </row>
    <row r="132" spans="1:15" ht="12.75">
      <c r="A132" s="3231" t="s">
        <v>3457</v>
      </c>
      <c r="B132" s="3228" t="s">
        <v>3494</v>
      </c>
      <c r="C132" s="3228" t="s">
        <v>3201</v>
      </c>
      <c r="D132" s="3228" t="s">
        <v>3180</v>
      </c>
      <c r="E132" s="3228" t="s">
        <v>3202</v>
      </c>
      <c r="F132" s="3228" t="s">
        <v>3260</v>
      </c>
      <c r="G132" s="3228" t="s">
        <v>3204</v>
      </c>
      <c r="H132" s="3228" t="s">
        <v>3205</v>
      </c>
      <c r="I132" s="3229" t="s">
        <v>3214</v>
      </c>
      <c r="J132" s="3229">
        <v>158.19999999999999</v>
      </c>
      <c r="K132" s="3229" t="s">
        <v>3215</v>
      </c>
      <c r="L132" s="3230" t="s">
        <v>3495</v>
      </c>
      <c r="N132" s="3250">
        <f>N126</f>
        <v>20000</v>
      </c>
      <c r="O132" s="3263">
        <f t="shared" si="1"/>
        <v>240000</v>
      </c>
    </row>
    <row r="133" spans="1:15" ht="12.75">
      <c r="A133" s="3231" t="s">
        <v>3457</v>
      </c>
      <c r="B133" s="3228" t="s">
        <v>3496</v>
      </c>
      <c r="C133" s="3228" t="s">
        <v>3201</v>
      </c>
      <c r="D133" s="3228" t="s">
        <v>3180</v>
      </c>
      <c r="E133" s="3228" t="s">
        <v>3202</v>
      </c>
      <c r="F133" s="3228" t="s">
        <v>3260</v>
      </c>
      <c r="G133" s="3228" t="s">
        <v>3204</v>
      </c>
      <c r="H133" s="3228" t="s">
        <v>3205</v>
      </c>
      <c r="I133" s="3229" t="s">
        <v>3214</v>
      </c>
      <c r="J133" s="3229">
        <v>154.30000000000001</v>
      </c>
      <c r="K133" s="3229" t="s">
        <v>3218</v>
      </c>
      <c r="L133" s="3230" t="s">
        <v>3497</v>
      </c>
      <c r="N133" s="3250">
        <f t="shared" ref="N133:N137" si="12">N127</f>
        <v>20000</v>
      </c>
      <c r="O133" s="3263">
        <f t="shared" si="1"/>
        <v>240000</v>
      </c>
    </row>
    <row r="134" spans="1:15" ht="12.75">
      <c r="A134" s="3231" t="s">
        <v>3457</v>
      </c>
      <c r="B134" s="3228" t="s">
        <v>3498</v>
      </c>
      <c r="C134" s="3228" t="s">
        <v>3201</v>
      </c>
      <c r="D134" s="3228" t="s">
        <v>3180</v>
      </c>
      <c r="E134" s="3228" t="s">
        <v>3202</v>
      </c>
      <c r="F134" s="3228" t="s">
        <v>3260</v>
      </c>
      <c r="G134" s="3228" t="s">
        <v>3204</v>
      </c>
      <c r="H134" s="3228" t="s">
        <v>3205</v>
      </c>
      <c r="I134" s="3229" t="s">
        <v>3214</v>
      </c>
      <c r="J134" s="3229">
        <v>176.26</v>
      </c>
      <c r="K134" s="3229" t="s">
        <v>3221</v>
      </c>
      <c r="L134" s="3230" t="s">
        <v>3499</v>
      </c>
      <c r="N134" s="3250">
        <f t="shared" si="12"/>
        <v>22000</v>
      </c>
      <c r="O134" s="3263">
        <f t="shared" si="1"/>
        <v>264000</v>
      </c>
    </row>
    <row r="135" spans="1:15" ht="12.75">
      <c r="A135" s="3231" t="s">
        <v>3457</v>
      </c>
      <c r="B135" s="3228" t="s">
        <v>3500</v>
      </c>
      <c r="C135" s="3228" t="s">
        <v>3201</v>
      </c>
      <c r="D135" s="3228" t="s">
        <v>3180</v>
      </c>
      <c r="E135" s="3228" t="s">
        <v>3202</v>
      </c>
      <c r="F135" s="3228" t="s">
        <v>3260</v>
      </c>
      <c r="G135" s="3228" t="s">
        <v>3204</v>
      </c>
      <c r="H135" s="3228" t="s">
        <v>3205</v>
      </c>
      <c r="I135" s="3229" t="s">
        <v>3214</v>
      </c>
      <c r="J135" s="3229">
        <v>155.13</v>
      </c>
      <c r="K135" s="3229" t="s">
        <v>3224</v>
      </c>
      <c r="L135" s="3230" t="s">
        <v>3501</v>
      </c>
      <c r="N135" s="3250">
        <f t="shared" si="12"/>
        <v>20000</v>
      </c>
      <c r="O135" s="3263">
        <f t="shared" si="1"/>
        <v>240000</v>
      </c>
    </row>
    <row r="136" spans="1:15" ht="12.75">
      <c r="A136" s="3231" t="s">
        <v>3457</v>
      </c>
      <c r="B136" s="3228" t="s">
        <v>3502</v>
      </c>
      <c r="C136" s="3228" t="s">
        <v>3201</v>
      </c>
      <c r="D136" s="3228" t="s">
        <v>3180</v>
      </c>
      <c r="E136" s="3228" t="s">
        <v>3202</v>
      </c>
      <c r="F136" s="3228" t="s">
        <v>3260</v>
      </c>
      <c r="G136" s="3228" t="s">
        <v>3204</v>
      </c>
      <c r="H136" s="3228" t="s">
        <v>3205</v>
      </c>
      <c r="I136" s="3229" t="s">
        <v>3227</v>
      </c>
      <c r="J136" s="3229">
        <v>111.52</v>
      </c>
      <c r="K136" s="3229" t="s">
        <v>3228</v>
      </c>
      <c r="L136" s="3230" t="s">
        <v>3503</v>
      </c>
      <c r="N136" s="3250">
        <f t="shared" si="12"/>
        <v>17000</v>
      </c>
      <c r="O136" s="3263">
        <f t="shared" si="1"/>
        <v>204000</v>
      </c>
    </row>
    <row r="137" spans="1:15" ht="12.75">
      <c r="A137" s="3231" t="s">
        <v>3457</v>
      </c>
      <c r="B137" s="3228" t="s">
        <v>3504</v>
      </c>
      <c r="C137" s="3228" t="s">
        <v>3201</v>
      </c>
      <c r="D137" s="3228" t="s">
        <v>3180</v>
      </c>
      <c r="E137" s="3228" t="s">
        <v>3202</v>
      </c>
      <c r="F137" s="3228" t="s">
        <v>3260</v>
      </c>
      <c r="G137" s="3228" t="s">
        <v>3204</v>
      </c>
      <c r="H137" s="3228" t="s">
        <v>3205</v>
      </c>
      <c r="I137" s="3229" t="s">
        <v>3227</v>
      </c>
      <c r="J137" s="3229">
        <v>100.84</v>
      </c>
      <c r="K137" s="3229" t="s">
        <v>3231</v>
      </c>
      <c r="L137" s="3230" t="s">
        <v>3505</v>
      </c>
      <c r="N137" s="3250">
        <f t="shared" si="12"/>
        <v>15000</v>
      </c>
      <c r="O137" s="3263">
        <f t="shared" si="1"/>
        <v>180000</v>
      </c>
    </row>
    <row r="138" spans="1:15" ht="12.75">
      <c r="A138" s="3231" t="s">
        <v>3457</v>
      </c>
      <c r="B138" s="3228" t="s">
        <v>3506</v>
      </c>
      <c r="C138" s="3228" t="s">
        <v>3201</v>
      </c>
      <c r="D138" s="3228" t="s">
        <v>3180</v>
      </c>
      <c r="E138" s="3228" t="s">
        <v>3202</v>
      </c>
      <c r="F138" s="3228" t="s">
        <v>3273</v>
      </c>
      <c r="G138" s="3228" t="s">
        <v>3204</v>
      </c>
      <c r="H138" s="3228" t="s">
        <v>3205</v>
      </c>
      <c r="I138" s="3229" t="s">
        <v>3214</v>
      </c>
      <c r="J138" s="3229">
        <v>158.19999999999999</v>
      </c>
      <c r="K138" s="3229" t="s">
        <v>3215</v>
      </c>
      <c r="L138" s="3230" t="s">
        <v>3507</v>
      </c>
      <c r="N138" s="3250">
        <f>N132</f>
        <v>20000</v>
      </c>
      <c r="O138" s="3263">
        <f t="shared" si="1"/>
        <v>240000</v>
      </c>
    </row>
    <row r="139" spans="1:15" ht="12.75">
      <c r="A139" s="3231" t="s">
        <v>3457</v>
      </c>
      <c r="B139" s="3228" t="s">
        <v>3508</v>
      </c>
      <c r="C139" s="3228" t="s">
        <v>3201</v>
      </c>
      <c r="D139" s="3228" t="s">
        <v>3180</v>
      </c>
      <c r="E139" s="3228" t="s">
        <v>3202</v>
      </c>
      <c r="F139" s="3228" t="s">
        <v>3273</v>
      </c>
      <c r="G139" s="3228" t="s">
        <v>3204</v>
      </c>
      <c r="H139" s="3228" t="s">
        <v>3205</v>
      </c>
      <c r="I139" s="3229" t="s">
        <v>3214</v>
      </c>
      <c r="J139" s="3229">
        <v>154.30000000000001</v>
      </c>
      <c r="K139" s="3229" t="s">
        <v>3218</v>
      </c>
      <c r="L139" s="3230" t="s">
        <v>3509</v>
      </c>
      <c r="N139" s="3250">
        <f t="shared" ref="N139:N141" si="13">N133</f>
        <v>20000</v>
      </c>
      <c r="O139" s="3263">
        <f t="shared" ref="O139:O201" si="14">N139*12</f>
        <v>240000</v>
      </c>
    </row>
    <row r="140" spans="1:15" ht="12.75">
      <c r="A140" s="3231" t="s">
        <v>3457</v>
      </c>
      <c r="B140" s="3228" t="s">
        <v>3510</v>
      </c>
      <c r="C140" s="3228" t="s">
        <v>3201</v>
      </c>
      <c r="D140" s="3228" t="s">
        <v>3180</v>
      </c>
      <c r="E140" s="3228" t="s">
        <v>3202</v>
      </c>
      <c r="F140" s="3228" t="s">
        <v>3273</v>
      </c>
      <c r="G140" s="3228" t="s">
        <v>3204</v>
      </c>
      <c r="H140" s="3228" t="s">
        <v>3205</v>
      </c>
      <c r="I140" s="3229" t="s">
        <v>3214</v>
      </c>
      <c r="J140" s="3229">
        <v>176.26</v>
      </c>
      <c r="K140" s="3229" t="s">
        <v>3221</v>
      </c>
      <c r="L140" s="3230" t="s">
        <v>3511</v>
      </c>
      <c r="N140" s="3250">
        <f t="shared" si="13"/>
        <v>22000</v>
      </c>
      <c r="O140" s="3263">
        <f t="shared" si="14"/>
        <v>264000</v>
      </c>
    </row>
    <row r="141" spans="1:15" ht="12.75">
      <c r="A141" s="3231" t="s">
        <v>3457</v>
      </c>
      <c r="B141" s="3228" t="s">
        <v>3512</v>
      </c>
      <c r="C141" s="3228" t="s">
        <v>3201</v>
      </c>
      <c r="D141" s="3228" t="s">
        <v>3180</v>
      </c>
      <c r="E141" s="3228" t="s">
        <v>3202</v>
      </c>
      <c r="F141" s="3228" t="s">
        <v>3273</v>
      </c>
      <c r="G141" s="3228" t="s">
        <v>3204</v>
      </c>
      <c r="H141" s="3228" t="s">
        <v>3205</v>
      </c>
      <c r="I141" s="3229" t="s">
        <v>3214</v>
      </c>
      <c r="J141" s="3229">
        <v>155.13</v>
      </c>
      <c r="K141" s="3229" t="s">
        <v>3224</v>
      </c>
      <c r="L141" s="3230" t="s">
        <v>3513</v>
      </c>
      <c r="N141" s="3250">
        <f t="shared" si="13"/>
        <v>20000</v>
      </c>
      <c r="O141" s="3263">
        <f t="shared" si="14"/>
        <v>240000</v>
      </c>
    </row>
    <row r="142" spans="1:15" ht="12.75">
      <c r="A142" s="3231" t="s">
        <v>3457</v>
      </c>
      <c r="B142" s="3228" t="s">
        <v>3514</v>
      </c>
      <c r="C142" s="3228" t="s">
        <v>3201</v>
      </c>
      <c r="D142" s="3228" t="s">
        <v>3180</v>
      </c>
      <c r="E142" s="3228" t="s">
        <v>3202</v>
      </c>
      <c r="F142" s="3228" t="s">
        <v>3273</v>
      </c>
      <c r="G142" s="3228" t="s">
        <v>3204</v>
      </c>
      <c r="H142" s="3228" t="s">
        <v>3205</v>
      </c>
      <c r="I142" s="3229" t="s">
        <v>3227</v>
      </c>
      <c r="J142" s="3229">
        <v>100.84</v>
      </c>
      <c r="K142" s="3229" t="s">
        <v>3231</v>
      </c>
      <c r="L142" s="3230" t="s">
        <v>3515</v>
      </c>
      <c r="N142" s="3250">
        <f>N137</f>
        <v>15000</v>
      </c>
      <c r="O142" s="3263">
        <f t="shared" si="14"/>
        <v>180000</v>
      </c>
    </row>
    <row r="143" spans="1:15" ht="12.75">
      <c r="A143" s="3231" t="s">
        <v>3457</v>
      </c>
      <c r="B143" s="3228" t="s">
        <v>3516</v>
      </c>
      <c r="C143" s="3228" t="s">
        <v>3201</v>
      </c>
      <c r="D143" s="3228" t="s">
        <v>3180</v>
      </c>
      <c r="E143" s="3228" t="s">
        <v>3202</v>
      </c>
      <c r="F143" s="3228" t="s">
        <v>3286</v>
      </c>
      <c r="G143" s="3228" t="s">
        <v>3204</v>
      </c>
      <c r="H143" s="3228" t="s">
        <v>3205</v>
      </c>
      <c r="I143" s="3229" t="s">
        <v>3214</v>
      </c>
      <c r="J143" s="3229">
        <v>158.19999999999999</v>
      </c>
      <c r="K143" s="3229" t="s">
        <v>3215</v>
      </c>
      <c r="L143" s="3230" t="s">
        <v>3517</v>
      </c>
      <c r="N143" s="3250">
        <f>U99</f>
        <v>20000</v>
      </c>
      <c r="O143" s="3263">
        <f t="shared" si="14"/>
        <v>240000</v>
      </c>
    </row>
    <row r="144" spans="1:15" ht="12.75">
      <c r="A144" s="3231" t="s">
        <v>3457</v>
      </c>
      <c r="B144" s="3228" t="s">
        <v>3518</v>
      </c>
      <c r="C144" s="3228" t="s">
        <v>3201</v>
      </c>
      <c r="D144" s="3228" t="s">
        <v>3180</v>
      </c>
      <c r="E144" s="3228" t="s">
        <v>3202</v>
      </c>
      <c r="F144" s="3228" t="s">
        <v>3286</v>
      </c>
      <c r="G144" s="3228" t="s">
        <v>3204</v>
      </c>
      <c r="H144" s="3228" t="s">
        <v>3205</v>
      </c>
      <c r="I144" s="3229" t="s">
        <v>3214</v>
      </c>
      <c r="J144" s="3229">
        <v>154.30000000000001</v>
      </c>
      <c r="K144" s="3229" t="s">
        <v>3218</v>
      </c>
      <c r="L144" s="3230" t="s">
        <v>3519</v>
      </c>
      <c r="N144" s="3250">
        <f>U99</f>
        <v>20000</v>
      </c>
      <c r="O144" s="3263">
        <f t="shared" si="14"/>
        <v>240000</v>
      </c>
    </row>
    <row r="145" spans="1:15" ht="12.75">
      <c r="A145" s="3231" t="s">
        <v>3457</v>
      </c>
      <c r="B145" s="3228" t="s">
        <v>3520</v>
      </c>
      <c r="C145" s="3228" t="s">
        <v>3201</v>
      </c>
      <c r="D145" s="3228" t="s">
        <v>3180</v>
      </c>
      <c r="E145" s="3228" t="s">
        <v>3202</v>
      </c>
      <c r="F145" s="3228" t="s">
        <v>3286</v>
      </c>
      <c r="G145" s="3228" t="s">
        <v>3204</v>
      </c>
      <c r="H145" s="3228" t="s">
        <v>3205</v>
      </c>
      <c r="I145" s="3229" t="s">
        <v>3291</v>
      </c>
      <c r="J145" s="3229">
        <v>194.67</v>
      </c>
      <c r="K145" s="3229" t="s">
        <v>3292</v>
      </c>
      <c r="L145" s="3230" t="s">
        <v>3521</v>
      </c>
      <c r="N145" s="3250">
        <f>U101</f>
        <v>25000</v>
      </c>
      <c r="O145" s="3263">
        <f t="shared" si="14"/>
        <v>300000</v>
      </c>
    </row>
    <row r="146" spans="1:15" ht="12.75">
      <c r="A146" s="3231" t="s">
        <v>3457</v>
      </c>
      <c r="B146" s="3228" t="s">
        <v>3522</v>
      </c>
      <c r="C146" s="3228" t="s">
        <v>3201</v>
      </c>
      <c r="D146" s="3228" t="s">
        <v>3180</v>
      </c>
      <c r="E146" s="3228" t="s">
        <v>3202</v>
      </c>
      <c r="F146" s="3228" t="s">
        <v>3286</v>
      </c>
      <c r="G146" s="3228" t="s">
        <v>3204</v>
      </c>
      <c r="H146" s="3228" t="s">
        <v>3205</v>
      </c>
      <c r="I146" s="3229" t="s">
        <v>3214</v>
      </c>
      <c r="J146" s="3229">
        <v>135.66</v>
      </c>
      <c r="K146" s="3229" t="s">
        <v>3295</v>
      </c>
      <c r="L146" s="3230" t="s">
        <v>3523</v>
      </c>
      <c r="N146" s="3250">
        <f>U97</f>
        <v>18000</v>
      </c>
      <c r="O146" s="3263">
        <f t="shared" si="14"/>
        <v>216000</v>
      </c>
    </row>
    <row r="147" spans="1:15" ht="12.75">
      <c r="A147" s="3231" t="s">
        <v>3457</v>
      </c>
      <c r="B147" s="3228" t="s">
        <v>3524</v>
      </c>
      <c r="C147" s="3228" t="s">
        <v>3201</v>
      </c>
      <c r="D147" s="3228" t="s">
        <v>3180</v>
      </c>
      <c r="E147" s="3228" t="s">
        <v>3202</v>
      </c>
      <c r="F147" s="3228" t="s">
        <v>3286</v>
      </c>
      <c r="G147" s="3228" t="s">
        <v>3204</v>
      </c>
      <c r="H147" s="3228" t="s">
        <v>3205</v>
      </c>
      <c r="I147" s="3229" t="s">
        <v>3214</v>
      </c>
      <c r="J147" s="3229">
        <v>147.19</v>
      </c>
      <c r="K147" s="3229" t="s">
        <v>3298</v>
      </c>
      <c r="L147" s="3230" t="s">
        <v>3525</v>
      </c>
      <c r="N147" s="3250">
        <f>U98</f>
        <v>19000</v>
      </c>
      <c r="O147" s="3263">
        <f t="shared" si="14"/>
        <v>228000</v>
      </c>
    </row>
    <row r="148" spans="1:15" ht="12.75">
      <c r="A148" s="3231" t="s">
        <v>3457</v>
      </c>
      <c r="B148" s="3228" t="s">
        <v>3526</v>
      </c>
      <c r="C148" s="3228" t="s">
        <v>3201</v>
      </c>
      <c r="D148" s="3228" t="s">
        <v>3180</v>
      </c>
      <c r="E148" s="3228" t="s">
        <v>3202</v>
      </c>
      <c r="F148" s="3228" t="s">
        <v>3301</v>
      </c>
      <c r="G148" s="3228" t="s">
        <v>3204</v>
      </c>
      <c r="H148" s="3228" t="s">
        <v>3205</v>
      </c>
      <c r="I148" s="3229" t="s">
        <v>3214</v>
      </c>
      <c r="J148" s="3229">
        <v>158.19999999999999</v>
      </c>
      <c r="K148" s="3229" t="s">
        <v>3215</v>
      </c>
      <c r="L148" s="3230" t="s">
        <v>3527</v>
      </c>
      <c r="N148" s="3250">
        <f>N143</f>
        <v>20000</v>
      </c>
      <c r="O148" s="3263">
        <f t="shared" si="14"/>
        <v>240000</v>
      </c>
    </row>
    <row r="149" spans="1:15" ht="12.75">
      <c r="A149" s="3231" t="s">
        <v>3457</v>
      </c>
      <c r="B149" s="3228" t="s">
        <v>3528</v>
      </c>
      <c r="C149" s="3228" t="s">
        <v>3201</v>
      </c>
      <c r="D149" s="3228" t="s">
        <v>3180</v>
      </c>
      <c r="E149" s="3228" t="s">
        <v>3202</v>
      </c>
      <c r="F149" s="3228" t="s">
        <v>3301</v>
      </c>
      <c r="G149" s="3228" t="s">
        <v>3204</v>
      </c>
      <c r="H149" s="3228" t="s">
        <v>3205</v>
      </c>
      <c r="I149" s="3229" t="s">
        <v>3214</v>
      </c>
      <c r="J149" s="3229">
        <v>154.30000000000001</v>
      </c>
      <c r="K149" s="3229" t="s">
        <v>3218</v>
      </c>
      <c r="L149" s="3230" t="s">
        <v>3529</v>
      </c>
      <c r="N149" s="3250">
        <f>N144</f>
        <v>20000</v>
      </c>
      <c r="O149" s="3263">
        <f t="shared" si="14"/>
        <v>240000</v>
      </c>
    </row>
    <row r="150" spans="1:15" ht="12.75">
      <c r="A150" s="3231" t="s">
        <v>3457</v>
      </c>
      <c r="B150" s="3228" t="s">
        <v>3530</v>
      </c>
      <c r="C150" s="3228" t="s">
        <v>3201</v>
      </c>
      <c r="D150" s="3228" t="s">
        <v>3180</v>
      </c>
      <c r="E150" s="3228" t="s">
        <v>3202</v>
      </c>
      <c r="F150" s="3228" t="s">
        <v>3301</v>
      </c>
      <c r="G150" s="3228" t="s">
        <v>3204</v>
      </c>
      <c r="H150" s="3228" t="s">
        <v>3205</v>
      </c>
      <c r="I150" s="3229" t="s">
        <v>3214</v>
      </c>
      <c r="J150" s="3229">
        <v>135.66</v>
      </c>
      <c r="K150" s="3229" t="s">
        <v>3295</v>
      </c>
      <c r="L150" s="3230" t="s">
        <v>3531</v>
      </c>
      <c r="N150" s="3250">
        <f>N146</f>
        <v>18000</v>
      </c>
      <c r="O150" s="3263">
        <f t="shared" si="14"/>
        <v>216000</v>
      </c>
    </row>
    <row r="151" spans="1:15" ht="12.75">
      <c r="A151" s="3231" t="s">
        <v>3457</v>
      </c>
      <c r="B151" s="3228" t="s">
        <v>3532</v>
      </c>
      <c r="C151" s="3228" t="s">
        <v>3201</v>
      </c>
      <c r="D151" s="3228" t="s">
        <v>3180</v>
      </c>
      <c r="E151" s="3228" t="s">
        <v>3202</v>
      </c>
      <c r="F151" s="3228" t="s">
        <v>3301</v>
      </c>
      <c r="G151" s="3228" t="s">
        <v>3204</v>
      </c>
      <c r="H151" s="3228" t="s">
        <v>3205</v>
      </c>
      <c r="I151" s="3229" t="s">
        <v>3214</v>
      </c>
      <c r="J151" s="3229">
        <v>147.19</v>
      </c>
      <c r="K151" s="3229" t="s">
        <v>3298</v>
      </c>
      <c r="L151" s="3230" t="s">
        <v>3533</v>
      </c>
      <c r="N151" s="3250">
        <f>N147</f>
        <v>19000</v>
      </c>
      <c r="O151" s="3263">
        <f t="shared" si="14"/>
        <v>228000</v>
      </c>
    </row>
    <row r="152" spans="1:15" ht="12.75">
      <c r="A152" s="3231" t="s">
        <v>3457</v>
      </c>
      <c r="B152" s="3228" t="s">
        <v>3534</v>
      </c>
      <c r="C152" s="3228" t="s">
        <v>3201</v>
      </c>
      <c r="D152" s="3228" t="s">
        <v>3180</v>
      </c>
      <c r="E152" s="3228" t="s">
        <v>3202</v>
      </c>
      <c r="F152" s="3228" t="s">
        <v>3312</v>
      </c>
      <c r="G152" s="3228" t="s">
        <v>3204</v>
      </c>
      <c r="H152" s="3228" t="s">
        <v>3205</v>
      </c>
      <c r="I152" s="3229" t="s">
        <v>3214</v>
      </c>
      <c r="J152" s="3229">
        <v>158.19999999999999</v>
      </c>
      <c r="K152" s="3229" t="s">
        <v>3215</v>
      </c>
      <c r="L152" s="3230" t="s">
        <v>3535</v>
      </c>
      <c r="N152" s="3250">
        <f>N148</f>
        <v>20000</v>
      </c>
      <c r="O152" s="3263">
        <f t="shared" si="14"/>
        <v>240000</v>
      </c>
    </row>
    <row r="153" spans="1:15" ht="12.75">
      <c r="A153" s="3231" t="s">
        <v>3457</v>
      </c>
      <c r="B153" s="3228" t="s">
        <v>3536</v>
      </c>
      <c r="C153" s="3228" t="s">
        <v>3201</v>
      </c>
      <c r="D153" s="3228" t="s">
        <v>3180</v>
      </c>
      <c r="E153" s="3228" t="s">
        <v>3202</v>
      </c>
      <c r="F153" s="3228" t="s">
        <v>3312</v>
      </c>
      <c r="G153" s="3228" t="s">
        <v>3204</v>
      </c>
      <c r="H153" s="3228" t="s">
        <v>3205</v>
      </c>
      <c r="I153" s="3229" t="s">
        <v>3214</v>
      </c>
      <c r="J153" s="3229">
        <v>154.30000000000001</v>
      </c>
      <c r="K153" s="3229" t="s">
        <v>3218</v>
      </c>
      <c r="L153" s="3230" t="s">
        <v>3537</v>
      </c>
      <c r="N153" s="3250">
        <f>N149</f>
        <v>20000</v>
      </c>
      <c r="O153" s="3263">
        <f t="shared" si="14"/>
        <v>240000</v>
      </c>
    </row>
    <row r="154" spans="1:15" ht="12.75">
      <c r="A154" s="3231" t="s">
        <v>3457</v>
      </c>
      <c r="B154" s="3228" t="s">
        <v>3538</v>
      </c>
      <c r="C154" s="3228" t="s">
        <v>3201</v>
      </c>
      <c r="D154" s="3228" t="s">
        <v>3180</v>
      </c>
      <c r="E154" s="3228" t="s">
        <v>3202</v>
      </c>
      <c r="F154" s="3228" t="s">
        <v>3312</v>
      </c>
      <c r="G154" s="3228" t="s">
        <v>3204</v>
      </c>
      <c r="H154" s="3228" t="s">
        <v>3205</v>
      </c>
      <c r="I154" s="3229" t="s">
        <v>3291</v>
      </c>
      <c r="J154" s="3229">
        <v>194.67</v>
      </c>
      <c r="K154" s="3229" t="s">
        <v>3292</v>
      </c>
      <c r="L154" s="3230" t="s">
        <v>3539</v>
      </c>
      <c r="N154" s="3250">
        <f>N145</f>
        <v>25000</v>
      </c>
      <c r="O154" s="3263">
        <f t="shared" si="14"/>
        <v>300000</v>
      </c>
    </row>
    <row r="155" spans="1:15" ht="12.75">
      <c r="A155" s="3231" t="s">
        <v>3457</v>
      </c>
      <c r="B155" s="3228" t="s">
        <v>3540</v>
      </c>
      <c r="C155" s="3228" t="s">
        <v>3201</v>
      </c>
      <c r="D155" s="3228" t="s">
        <v>3180</v>
      </c>
      <c r="E155" s="3228" t="s">
        <v>3202</v>
      </c>
      <c r="F155" s="3228" t="s">
        <v>3312</v>
      </c>
      <c r="G155" s="3228" t="s">
        <v>3204</v>
      </c>
      <c r="H155" s="3228" t="s">
        <v>3205</v>
      </c>
      <c r="I155" s="3229" t="s">
        <v>3214</v>
      </c>
      <c r="J155" s="3229">
        <v>135.66</v>
      </c>
      <c r="K155" s="3229" t="s">
        <v>3295</v>
      </c>
      <c r="L155" s="3230" t="s">
        <v>3541</v>
      </c>
      <c r="N155" s="3250">
        <f>N146</f>
        <v>18000</v>
      </c>
      <c r="O155" s="3263">
        <f t="shared" si="14"/>
        <v>216000</v>
      </c>
    </row>
    <row r="156" spans="1:15" ht="12.75">
      <c r="A156" s="3231" t="s">
        <v>3457</v>
      </c>
      <c r="B156" s="3228" t="s">
        <v>3542</v>
      </c>
      <c r="C156" s="3228" t="s">
        <v>3201</v>
      </c>
      <c r="D156" s="3228" t="s">
        <v>3180</v>
      </c>
      <c r="E156" s="3228" t="s">
        <v>3202</v>
      </c>
      <c r="F156" s="3228" t="s">
        <v>3312</v>
      </c>
      <c r="G156" s="3228" t="s">
        <v>3204</v>
      </c>
      <c r="H156" s="3228" t="s">
        <v>3205</v>
      </c>
      <c r="I156" s="3229" t="s">
        <v>3214</v>
      </c>
      <c r="J156" s="3229">
        <v>147.19</v>
      </c>
      <c r="K156" s="3229" t="s">
        <v>3298</v>
      </c>
      <c r="L156" s="3230" t="s">
        <v>3543</v>
      </c>
      <c r="N156" s="3250">
        <f>N147</f>
        <v>19000</v>
      </c>
      <c r="O156" s="3263">
        <f t="shared" si="14"/>
        <v>228000</v>
      </c>
    </row>
    <row r="157" spans="1:15" ht="12.75">
      <c r="A157" s="3231" t="s">
        <v>3457</v>
      </c>
      <c r="B157" s="3228" t="s">
        <v>3544</v>
      </c>
      <c r="C157" s="3228" t="s">
        <v>3201</v>
      </c>
      <c r="D157" s="3228" t="s">
        <v>3180</v>
      </c>
      <c r="E157" s="3228" t="s">
        <v>3202</v>
      </c>
      <c r="F157" s="3228" t="s">
        <v>3323</v>
      </c>
      <c r="G157" s="3228" t="s">
        <v>3204</v>
      </c>
      <c r="H157" s="3228" t="s">
        <v>3205</v>
      </c>
      <c r="I157" s="3229" t="s">
        <v>3214</v>
      </c>
      <c r="J157" s="3229">
        <v>158.19999999999999</v>
      </c>
      <c r="K157" s="3229" t="s">
        <v>3215</v>
      </c>
      <c r="L157" s="3230" t="s">
        <v>3545</v>
      </c>
      <c r="N157" s="3250">
        <f>N152</f>
        <v>20000</v>
      </c>
      <c r="O157" s="3263">
        <f t="shared" si="14"/>
        <v>240000</v>
      </c>
    </row>
    <row r="158" spans="1:15" ht="12.75">
      <c r="A158" s="3231" t="s">
        <v>3457</v>
      </c>
      <c r="B158" s="3228" t="s">
        <v>3546</v>
      </c>
      <c r="C158" s="3228" t="s">
        <v>3201</v>
      </c>
      <c r="D158" s="3228" t="s">
        <v>3180</v>
      </c>
      <c r="E158" s="3228" t="s">
        <v>3202</v>
      </c>
      <c r="F158" s="3228" t="s">
        <v>3323</v>
      </c>
      <c r="G158" s="3228" t="s">
        <v>3204</v>
      </c>
      <c r="H158" s="3228" t="s">
        <v>3205</v>
      </c>
      <c r="I158" s="3229" t="s">
        <v>3214</v>
      </c>
      <c r="J158" s="3229">
        <v>154.30000000000001</v>
      </c>
      <c r="K158" s="3229" t="s">
        <v>3218</v>
      </c>
      <c r="L158" s="3230" t="s">
        <v>3547</v>
      </c>
      <c r="N158" s="3250">
        <f>N149</f>
        <v>20000</v>
      </c>
      <c r="O158" s="3263">
        <f t="shared" si="14"/>
        <v>240000</v>
      </c>
    </row>
    <row r="159" spans="1:15" ht="12.75">
      <c r="A159" s="3231" t="s">
        <v>3457</v>
      </c>
      <c r="B159" s="3228" t="s">
        <v>3548</v>
      </c>
      <c r="C159" s="3228" t="s">
        <v>3201</v>
      </c>
      <c r="D159" s="3228" t="s">
        <v>3180</v>
      </c>
      <c r="E159" s="3228" t="s">
        <v>3202</v>
      </c>
      <c r="F159" s="3228" t="s">
        <v>3323</v>
      </c>
      <c r="G159" s="3228" t="s">
        <v>3204</v>
      </c>
      <c r="H159" s="3228" t="s">
        <v>3205</v>
      </c>
      <c r="I159" s="3229" t="s">
        <v>3291</v>
      </c>
      <c r="J159" s="3229">
        <v>194.67</v>
      </c>
      <c r="K159" s="3229" t="s">
        <v>3292</v>
      </c>
      <c r="L159" s="3230" t="s">
        <v>3549</v>
      </c>
      <c r="N159" s="3250">
        <f>N154</f>
        <v>25000</v>
      </c>
      <c r="O159" s="3263">
        <f t="shared" si="14"/>
        <v>300000</v>
      </c>
    </row>
    <row r="160" spans="1:15" ht="12.75">
      <c r="A160" s="3231" t="s">
        <v>3457</v>
      </c>
      <c r="B160" s="3228" t="s">
        <v>3550</v>
      </c>
      <c r="C160" s="3228" t="s">
        <v>3201</v>
      </c>
      <c r="D160" s="3228" t="s">
        <v>3180</v>
      </c>
      <c r="E160" s="3228" t="s">
        <v>3202</v>
      </c>
      <c r="F160" s="3228" t="s">
        <v>3323</v>
      </c>
      <c r="G160" s="3228" t="s">
        <v>3204</v>
      </c>
      <c r="H160" s="3228" t="s">
        <v>3205</v>
      </c>
      <c r="I160" s="3229" t="s">
        <v>3214</v>
      </c>
      <c r="J160" s="3229">
        <v>135.66</v>
      </c>
      <c r="K160" s="3229" t="s">
        <v>3295</v>
      </c>
      <c r="L160" s="3230" t="s">
        <v>3551</v>
      </c>
      <c r="N160" s="3250">
        <f>N155</f>
        <v>18000</v>
      </c>
      <c r="O160" s="3263">
        <f t="shared" si="14"/>
        <v>216000</v>
      </c>
    </row>
    <row r="161" spans="1:15" ht="12.75">
      <c r="A161" s="3231" t="s">
        <v>3457</v>
      </c>
      <c r="B161" s="3228" t="s">
        <v>3552</v>
      </c>
      <c r="C161" s="3228" t="s">
        <v>3201</v>
      </c>
      <c r="D161" s="3228" t="s">
        <v>3180</v>
      </c>
      <c r="E161" s="3228" t="s">
        <v>3202</v>
      </c>
      <c r="F161" s="3228" t="s">
        <v>3323</v>
      </c>
      <c r="G161" s="3228" t="s">
        <v>3204</v>
      </c>
      <c r="H161" s="3228" t="s">
        <v>3205</v>
      </c>
      <c r="I161" s="3229" t="s">
        <v>3214</v>
      </c>
      <c r="J161" s="3229">
        <v>147.19</v>
      </c>
      <c r="K161" s="3229" t="s">
        <v>3298</v>
      </c>
      <c r="L161" s="3230" t="s">
        <v>3553</v>
      </c>
      <c r="N161" s="3250">
        <f>N156</f>
        <v>19000</v>
      </c>
      <c r="O161" s="3263">
        <f t="shared" si="14"/>
        <v>228000</v>
      </c>
    </row>
    <row r="162" spans="1:15" ht="12.75">
      <c r="A162" s="3231" t="s">
        <v>3457</v>
      </c>
      <c r="B162" s="3228" t="s">
        <v>3554</v>
      </c>
      <c r="C162" s="3228" t="s">
        <v>3201</v>
      </c>
      <c r="D162" s="3228" t="s">
        <v>3180</v>
      </c>
      <c r="E162" s="3228" t="s">
        <v>3202</v>
      </c>
      <c r="F162" s="3228" t="s">
        <v>3334</v>
      </c>
      <c r="G162" s="3228" t="s">
        <v>3204</v>
      </c>
      <c r="H162" s="3228" t="s">
        <v>3205</v>
      </c>
      <c r="I162" s="3229" t="s">
        <v>3214</v>
      </c>
      <c r="J162" s="3229">
        <v>158.19999999999999</v>
      </c>
      <c r="K162" s="3229" t="s">
        <v>3215</v>
      </c>
      <c r="L162" s="3230" t="s">
        <v>3555</v>
      </c>
      <c r="N162" s="3250">
        <f>N157</f>
        <v>20000</v>
      </c>
      <c r="O162" s="3263">
        <f t="shared" si="14"/>
        <v>240000</v>
      </c>
    </row>
    <row r="163" spans="1:15" ht="12.75">
      <c r="A163" s="3231" t="s">
        <v>3457</v>
      </c>
      <c r="B163" s="3228" t="s">
        <v>3556</v>
      </c>
      <c r="C163" s="3228" t="s">
        <v>3201</v>
      </c>
      <c r="D163" s="3228" t="s">
        <v>3180</v>
      </c>
      <c r="E163" s="3228" t="s">
        <v>3202</v>
      </c>
      <c r="F163" s="3228" t="s">
        <v>3334</v>
      </c>
      <c r="G163" s="3228" t="s">
        <v>3204</v>
      </c>
      <c r="H163" s="3228" t="s">
        <v>3205</v>
      </c>
      <c r="I163" s="3229" t="s">
        <v>3214</v>
      </c>
      <c r="J163" s="3229">
        <v>154.30000000000001</v>
      </c>
      <c r="K163" s="3229" t="s">
        <v>3218</v>
      </c>
      <c r="L163" s="3230" t="s">
        <v>3557</v>
      </c>
      <c r="N163" s="3250">
        <f>N158</f>
        <v>20000</v>
      </c>
      <c r="O163" s="3263">
        <f t="shared" si="14"/>
        <v>240000</v>
      </c>
    </row>
    <row r="164" spans="1:15" ht="12.75">
      <c r="A164" s="3231" t="s">
        <v>3457</v>
      </c>
      <c r="B164" s="3228" t="s">
        <v>3558</v>
      </c>
      <c r="C164" s="3228" t="s">
        <v>3201</v>
      </c>
      <c r="D164" s="3228" t="s">
        <v>3180</v>
      </c>
      <c r="E164" s="3228" t="s">
        <v>3202</v>
      </c>
      <c r="F164" s="3228" t="s">
        <v>3334</v>
      </c>
      <c r="G164" s="3228" t="s">
        <v>3204</v>
      </c>
      <c r="H164" s="3228" t="s">
        <v>3205</v>
      </c>
      <c r="I164" s="3229" t="s">
        <v>3214</v>
      </c>
      <c r="J164" s="3229">
        <v>135.66</v>
      </c>
      <c r="K164" s="3229" t="s">
        <v>3295</v>
      </c>
      <c r="L164" s="3230" t="s">
        <v>3559</v>
      </c>
      <c r="N164" s="3250">
        <f>N160</f>
        <v>18000</v>
      </c>
      <c r="O164" s="3263">
        <f t="shared" si="14"/>
        <v>216000</v>
      </c>
    </row>
    <row r="165" spans="1:15" ht="12.75">
      <c r="A165" s="3231" t="s">
        <v>3457</v>
      </c>
      <c r="B165" s="3228" t="s">
        <v>3560</v>
      </c>
      <c r="C165" s="3228" t="s">
        <v>3201</v>
      </c>
      <c r="D165" s="3228" t="s">
        <v>3180</v>
      </c>
      <c r="E165" s="3228" t="s">
        <v>3202</v>
      </c>
      <c r="F165" s="3228" t="s">
        <v>3334</v>
      </c>
      <c r="G165" s="3228" t="s">
        <v>3204</v>
      </c>
      <c r="H165" s="3228" t="s">
        <v>3205</v>
      </c>
      <c r="I165" s="3229" t="s">
        <v>3214</v>
      </c>
      <c r="J165" s="3229">
        <v>147.19</v>
      </c>
      <c r="K165" s="3229" t="s">
        <v>3298</v>
      </c>
      <c r="L165" s="3230" t="s">
        <v>3561</v>
      </c>
      <c r="N165" s="3250">
        <f>N161</f>
        <v>19000</v>
      </c>
      <c r="O165" s="3263">
        <f t="shared" si="14"/>
        <v>228000</v>
      </c>
    </row>
    <row r="166" spans="1:15" ht="12.75">
      <c r="A166" s="3231" t="s">
        <v>3457</v>
      </c>
      <c r="B166" s="3228" t="s">
        <v>3562</v>
      </c>
      <c r="C166" s="3228" t="s">
        <v>3201</v>
      </c>
      <c r="D166" s="3228" t="s">
        <v>3180</v>
      </c>
      <c r="E166" s="3228" t="s">
        <v>3202</v>
      </c>
      <c r="F166" s="3228" t="s">
        <v>3345</v>
      </c>
      <c r="G166" s="3228" t="s">
        <v>3204</v>
      </c>
      <c r="H166" s="3228" t="s">
        <v>3205</v>
      </c>
      <c r="I166" s="3229" t="s">
        <v>3214</v>
      </c>
      <c r="J166" s="3229">
        <v>158.19999999999999</v>
      </c>
      <c r="K166" s="3229" t="s">
        <v>3215</v>
      </c>
      <c r="L166" s="3230" t="s">
        <v>3563</v>
      </c>
      <c r="N166" s="3250">
        <f>N162</f>
        <v>20000</v>
      </c>
      <c r="O166" s="3263">
        <f t="shared" si="14"/>
        <v>240000</v>
      </c>
    </row>
    <row r="167" spans="1:15" ht="12.75">
      <c r="A167" s="3231" t="s">
        <v>3457</v>
      </c>
      <c r="B167" s="3228" t="s">
        <v>3564</v>
      </c>
      <c r="C167" s="3228" t="s">
        <v>3201</v>
      </c>
      <c r="D167" s="3228" t="s">
        <v>3180</v>
      </c>
      <c r="E167" s="3228" t="s">
        <v>3202</v>
      </c>
      <c r="F167" s="3228" t="s">
        <v>3345</v>
      </c>
      <c r="G167" s="3228" t="s">
        <v>3204</v>
      </c>
      <c r="H167" s="3228" t="s">
        <v>3205</v>
      </c>
      <c r="I167" s="3229" t="s">
        <v>3214</v>
      </c>
      <c r="J167" s="3229">
        <v>154.30000000000001</v>
      </c>
      <c r="K167" s="3229" t="s">
        <v>3218</v>
      </c>
      <c r="L167" s="3230" t="s">
        <v>3565</v>
      </c>
      <c r="N167" s="3250">
        <f>N163</f>
        <v>20000</v>
      </c>
      <c r="O167" s="3263">
        <f t="shared" si="14"/>
        <v>240000</v>
      </c>
    </row>
    <row r="168" spans="1:15" ht="12.75">
      <c r="A168" s="3231" t="s">
        <v>3457</v>
      </c>
      <c r="B168" s="3228" t="s">
        <v>3566</v>
      </c>
      <c r="C168" s="3228" t="s">
        <v>3201</v>
      </c>
      <c r="D168" s="3228" t="s">
        <v>3180</v>
      </c>
      <c r="E168" s="3228" t="s">
        <v>3202</v>
      </c>
      <c r="F168" s="3228" t="s">
        <v>3345</v>
      </c>
      <c r="G168" s="3228" t="s">
        <v>3204</v>
      </c>
      <c r="H168" s="3228" t="s">
        <v>3205</v>
      </c>
      <c r="I168" s="3229" t="s">
        <v>3291</v>
      </c>
      <c r="J168" s="3229">
        <v>194.67</v>
      </c>
      <c r="K168" s="3229" t="s">
        <v>3292</v>
      </c>
      <c r="L168" s="3230" t="s">
        <v>3567</v>
      </c>
      <c r="N168" s="3250">
        <f>N159</f>
        <v>25000</v>
      </c>
      <c r="O168" s="3263">
        <f t="shared" si="14"/>
        <v>300000</v>
      </c>
    </row>
    <row r="169" spans="1:15" ht="12.75">
      <c r="A169" s="3231" t="s">
        <v>3457</v>
      </c>
      <c r="B169" s="3228" t="s">
        <v>3568</v>
      </c>
      <c r="C169" s="3228" t="s">
        <v>3201</v>
      </c>
      <c r="D169" s="3228" t="s">
        <v>3180</v>
      </c>
      <c r="E169" s="3228" t="s">
        <v>3202</v>
      </c>
      <c r="F169" s="3228" t="s">
        <v>3345</v>
      </c>
      <c r="G169" s="3228" t="s">
        <v>3204</v>
      </c>
      <c r="H169" s="3228" t="s">
        <v>3205</v>
      </c>
      <c r="I169" s="3229" t="s">
        <v>3214</v>
      </c>
      <c r="J169" s="3229">
        <v>135.66</v>
      </c>
      <c r="K169" s="3229" t="s">
        <v>3295</v>
      </c>
      <c r="L169" s="3230" t="s">
        <v>3569</v>
      </c>
      <c r="N169" s="3250">
        <f>N164</f>
        <v>18000</v>
      </c>
      <c r="O169" s="3263">
        <f t="shared" si="14"/>
        <v>216000</v>
      </c>
    </row>
    <row r="170" spans="1:15" ht="12.75">
      <c r="A170" s="3231" t="s">
        <v>3457</v>
      </c>
      <c r="B170" s="3228" t="s">
        <v>3570</v>
      </c>
      <c r="C170" s="3228" t="s">
        <v>3201</v>
      </c>
      <c r="D170" s="3228" t="s">
        <v>3180</v>
      </c>
      <c r="E170" s="3228" t="s">
        <v>3202</v>
      </c>
      <c r="F170" s="3228" t="s">
        <v>3345</v>
      </c>
      <c r="G170" s="3228" t="s">
        <v>3204</v>
      </c>
      <c r="H170" s="3228" t="s">
        <v>3205</v>
      </c>
      <c r="I170" s="3229" t="s">
        <v>3214</v>
      </c>
      <c r="J170" s="3229">
        <v>147.19</v>
      </c>
      <c r="K170" s="3229" t="s">
        <v>3298</v>
      </c>
      <c r="L170" s="3230" t="s">
        <v>3571</v>
      </c>
      <c r="N170" s="3250">
        <f>N161</f>
        <v>19000</v>
      </c>
      <c r="O170" s="3263">
        <f t="shared" si="14"/>
        <v>228000</v>
      </c>
    </row>
    <row r="171" spans="1:15" ht="12.75">
      <c r="A171" s="3231" t="s">
        <v>3457</v>
      </c>
      <c r="B171" s="3228" t="s">
        <v>3572</v>
      </c>
      <c r="C171" s="3228" t="s">
        <v>3201</v>
      </c>
      <c r="D171" s="3228" t="s">
        <v>3180</v>
      </c>
      <c r="E171" s="3228" t="s">
        <v>3202</v>
      </c>
      <c r="F171" s="3228" t="s">
        <v>3356</v>
      </c>
      <c r="G171" s="3228" t="s">
        <v>3204</v>
      </c>
      <c r="H171" s="3228" t="s">
        <v>3205</v>
      </c>
      <c r="I171" s="3229" t="s">
        <v>3214</v>
      </c>
      <c r="J171" s="3229">
        <v>158.19999999999999</v>
      </c>
      <c r="K171" s="3229" t="s">
        <v>3215</v>
      </c>
      <c r="L171" s="3230" t="s">
        <v>3573</v>
      </c>
      <c r="N171" s="3250">
        <f t="shared" ref="N171:N176" si="15">N166</f>
        <v>20000</v>
      </c>
      <c r="O171" s="3263">
        <f t="shared" si="14"/>
        <v>240000</v>
      </c>
    </row>
    <row r="172" spans="1:15" ht="12.75">
      <c r="A172" s="3231" t="s">
        <v>3457</v>
      </c>
      <c r="B172" s="3228" t="s">
        <v>3574</v>
      </c>
      <c r="C172" s="3228" t="s">
        <v>3201</v>
      </c>
      <c r="D172" s="3228" t="s">
        <v>3180</v>
      </c>
      <c r="E172" s="3228" t="s">
        <v>3202</v>
      </c>
      <c r="F172" s="3228" t="s">
        <v>3356</v>
      </c>
      <c r="G172" s="3228" t="s">
        <v>3204</v>
      </c>
      <c r="H172" s="3228" t="s">
        <v>3205</v>
      </c>
      <c r="I172" s="3229" t="s">
        <v>3214</v>
      </c>
      <c r="J172" s="3229">
        <v>154.30000000000001</v>
      </c>
      <c r="K172" s="3229" t="s">
        <v>3218</v>
      </c>
      <c r="L172" s="3230" t="s">
        <v>3575</v>
      </c>
      <c r="N172" s="3250">
        <f t="shared" si="15"/>
        <v>20000</v>
      </c>
      <c r="O172" s="3263">
        <f t="shared" si="14"/>
        <v>240000</v>
      </c>
    </row>
    <row r="173" spans="1:15" ht="12.75">
      <c r="A173" s="3231" t="s">
        <v>3457</v>
      </c>
      <c r="B173" s="3228" t="s">
        <v>3576</v>
      </c>
      <c r="C173" s="3228" t="s">
        <v>3201</v>
      </c>
      <c r="D173" s="3228" t="s">
        <v>3180</v>
      </c>
      <c r="E173" s="3228" t="s">
        <v>3202</v>
      </c>
      <c r="F173" s="3228" t="s">
        <v>3356</v>
      </c>
      <c r="G173" s="3228" t="s">
        <v>3204</v>
      </c>
      <c r="H173" s="3228" t="s">
        <v>3205</v>
      </c>
      <c r="I173" s="3229" t="s">
        <v>3291</v>
      </c>
      <c r="J173" s="3229">
        <v>194.67</v>
      </c>
      <c r="K173" s="3229" t="s">
        <v>3292</v>
      </c>
      <c r="L173" s="3230" t="s">
        <v>3577</v>
      </c>
      <c r="N173" s="3250">
        <f t="shared" si="15"/>
        <v>25000</v>
      </c>
      <c r="O173" s="3263">
        <f t="shared" si="14"/>
        <v>300000</v>
      </c>
    </row>
    <row r="174" spans="1:15" ht="12.75">
      <c r="A174" s="3231" t="s">
        <v>3457</v>
      </c>
      <c r="B174" s="3228" t="s">
        <v>3578</v>
      </c>
      <c r="C174" s="3228" t="s">
        <v>3201</v>
      </c>
      <c r="D174" s="3228" t="s">
        <v>3180</v>
      </c>
      <c r="E174" s="3228" t="s">
        <v>3202</v>
      </c>
      <c r="F174" s="3228" t="s">
        <v>3356</v>
      </c>
      <c r="G174" s="3228" t="s">
        <v>3204</v>
      </c>
      <c r="H174" s="3228" t="s">
        <v>3205</v>
      </c>
      <c r="I174" s="3229" t="s">
        <v>3214</v>
      </c>
      <c r="J174" s="3229">
        <v>135.66</v>
      </c>
      <c r="K174" s="3229" t="s">
        <v>3295</v>
      </c>
      <c r="L174" s="3230" t="s">
        <v>3579</v>
      </c>
      <c r="N174" s="3250">
        <f t="shared" si="15"/>
        <v>18000</v>
      </c>
      <c r="O174" s="3263">
        <f t="shared" si="14"/>
        <v>216000</v>
      </c>
    </row>
    <row r="175" spans="1:15" ht="12.75">
      <c r="A175" s="3231" t="s">
        <v>3457</v>
      </c>
      <c r="B175" s="3228" t="s">
        <v>3580</v>
      </c>
      <c r="C175" s="3228" t="s">
        <v>3201</v>
      </c>
      <c r="D175" s="3228" t="s">
        <v>3180</v>
      </c>
      <c r="E175" s="3228" t="s">
        <v>3202</v>
      </c>
      <c r="F175" s="3228" t="s">
        <v>3356</v>
      </c>
      <c r="G175" s="3228" t="s">
        <v>3204</v>
      </c>
      <c r="H175" s="3228" t="s">
        <v>3205</v>
      </c>
      <c r="I175" s="3229" t="s">
        <v>3214</v>
      </c>
      <c r="J175" s="3229">
        <v>147.19</v>
      </c>
      <c r="K175" s="3229" t="s">
        <v>3298</v>
      </c>
      <c r="L175" s="3230" t="s">
        <v>3581</v>
      </c>
      <c r="N175" s="3250">
        <f t="shared" si="15"/>
        <v>19000</v>
      </c>
      <c r="O175" s="3263">
        <f t="shared" si="14"/>
        <v>228000</v>
      </c>
    </row>
    <row r="176" spans="1:15" ht="12.75">
      <c r="A176" s="3231" t="s">
        <v>3457</v>
      </c>
      <c r="B176" s="3228" t="s">
        <v>3582</v>
      </c>
      <c r="C176" s="3228" t="s">
        <v>3201</v>
      </c>
      <c r="D176" s="3228" t="s">
        <v>3180</v>
      </c>
      <c r="E176" s="3228" t="s">
        <v>3202</v>
      </c>
      <c r="F176" s="3228" t="s">
        <v>3367</v>
      </c>
      <c r="G176" s="3228" t="s">
        <v>3204</v>
      </c>
      <c r="H176" s="3228" t="s">
        <v>3205</v>
      </c>
      <c r="I176" s="3229" t="s">
        <v>3214</v>
      </c>
      <c r="J176" s="3229">
        <v>158.19999999999999</v>
      </c>
      <c r="K176" s="3229" t="s">
        <v>3215</v>
      </c>
      <c r="L176" s="3230" t="s">
        <v>3583</v>
      </c>
      <c r="N176" s="3250">
        <f t="shared" si="15"/>
        <v>20000</v>
      </c>
      <c r="O176" s="3263">
        <f t="shared" si="14"/>
        <v>240000</v>
      </c>
    </row>
    <row r="177" spans="1:15" ht="12.75">
      <c r="A177" s="3231" t="s">
        <v>3457</v>
      </c>
      <c r="B177" s="3228" t="s">
        <v>3584</v>
      </c>
      <c r="C177" s="3228" t="s">
        <v>3201</v>
      </c>
      <c r="D177" s="3228" t="s">
        <v>3180</v>
      </c>
      <c r="E177" s="3228" t="s">
        <v>3202</v>
      </c>
      <c r="F177" s="3228" t="s">
        <v>3367</v>
      </c>
      <c r="G177" s="3228" t="s">
        <v>3204</v>
      </c>
      <c r="H177" s="3228" t="s">
        <v>3205</v>
      </c>
      <c r="I177" s="3229" t="s">
        <v>3291</v>
      </c>
      <c r="J177" s="3229">
        <v>194.67</v>
      </c>
      <c r="K177" s="3229" t="s">
        <v>3292</v>
      </c>
      <c r="L177" s="3230" t="s">
        <v>3585</v>
      </c>
      <c r="N177" s="3250">
        <f>N173</f>
        <v>25000</v>
      </c>
      <c r="O177" s="3263">
        <f t="shared" si="14"/>
        <v>300000</v>
      </c>
    </row>
    <row r="178" spans="1:15" ht="12.75">
      <c r="A178" s="3231" t="s">
        <v>3457</v>
      </c>
      <c r="B178" s="3228" t="s">
        <v>3586</v>
      </c>
      <c r="C178" s="3228" t="s">
        <v>3201</v>
      </c>
      <c r="D178" s="3228" t="s">
        <v>3180</v>
      </c>
      <c r="E178" s="3228" t="s">
        <v>3202</v>
      </c>
      <c r="F178" s="3228" t="s">
        <v>3367</v>
      </c>
      <c r="G178" s="3228" t="s">
        <v>3204</v>
      </c>
      <c r="H178" s="3228" t="s">
        <v>3205</v>
      </c>
      <c r="I178" s="3229" t="s">
        <v>3214</v>
      </c>
      <c r="J178" s="3229">
        <v>135.66</v>
      </c>
      <c r="K178" s="3229" t="s">
        <v>3295</v>
      </c>
      <c r="L178" s="3230" t="s">
        <v>3587</v>
      </c>
      <c r="N178" s="3250">
        <f>N174</f>
        <v>18000</v>
      </c>
      <c r="O178" s="3263">
        <f t="shared" si="14"/>
        <v>216000</v>
      </c>
    </row>
    <row r="179" spans="1:15" ht="12.75">
      <c r="A179" s="3231" t="s">
        <v>3457</v>
      </c>
      <c r="B179" s="3228" t="s">
        <v>3588</v>
      </c>
      <c r="C179" s="3228" t="s">
        <v>3201</v>
      </c>
      <c r="D179" s="3228" t="s">
        <v>3180</v>
      </c>
      <c r="E179" s="3228" t="s">
        <v>3202</v>
      </c>
      <c r="F179" s="3228" t="s">
        <v>3378</v>
      </c>
      <c r="G179" s="3228" t="s">
        <v>3204</v>
      </c>
      <c r="H179" s="3228" t="s">
        <v>3205</v>
      </c>
      <c r="I179" s="3229" t="s">
        <v>3214</v>
      </c>
      <c r="J179" s="3229">
        <v>158.19999999999999</v>
      </c>
      <c r="K179" s="3229" t="s">
        <v>3215</v>
      </c>
      <c r="L179" s="3230" t="s">
        <v>3589</v>
      </c>
      <c r="N179" s="3250">
        <f>N176</f>
        <v>20000</v>
      </c>
      <c r="O179" s="3263">
        <f t="shared" si="14"/>
        <v>240000</v>
      </c>
    </row>
    <row r="180" spans="1:15" ht="12.75">
      <c r="A180" s="3231" t="s">
        <v>3457</v>
      </c>
      <c r="B180" s="3228" t="s">
        <v>3590</v>
      </c>
      <c r="C180" s="3228" t="s">
        <v>3201</v>
      </c>
      <c r="D180" s="3228" t="s">
        <v>3180</v>
      </c>
      <c r="E180" s="3228" t="s">
        <v>3202</v>
      </c>
      <c r="F180" s="3228" t="s">
        <v>3378</v>
      </c>
      <c r="G180" s="3228" t="s">
        <v>3204</v>
      </c>
      <c r="H180" s="3228" t="s">
        <v>3205</v>
      </c>
      <c r="I180" s="3229" t="s">
        <v>3214</v>
      </c>
      <c r="J180" s="3229">
        <v>154.30000000000001</v>
      </c>
      <c r="K180" s="3229" t="s">
        <v>3218</v>
      </c>
      <c r="L180" s="3230" t="s">
        <v>3591</v>
      </c>
      <c r="N180" s="3250">
        <f>N172</f>
        <v>20000</v>
      </c>
      <c r="O180" s="3263">
        <f t="shared" si="14"/>
        <v>240000</v>
      </c>
    </row>
    <row r="181" spans="1:15" ht="12.75">
      <c r="A181" s="3231" t="s">
        <v>3457</v>
      </c>
      <c r="B181" s="3228" t="s">
        <v>3592</v>
      </c>
      <c r="C181" s="3228" t="s">
        <v>3201</v>
      </c>
      <c r="D181" s="3228" t="s">
        <v>3180</v>
      </c>
      <c r="E181" s="3228" t="s">
        <v>3202</v>
      </c>
      <c r="F181" s="3228" t="s">
        <v>3378</v>
      </c>
      <c r="G181" s="3228" t="s">
        <v>3204</v>
      </c>
      <c r="H181" s="3228" t="s">
        <v>3205</v>
      </c>
      <c r="I181" s="3229" t="s">
        <v>3214</v>
      </c>
      <c r="J181" s="3229">
        <v>135.66</v>
      </c>
      <c r="K181" s="3229" t="s">
        <v>3295</v>
      </c>
      <c r="L181" s="3230" t="s">
        <v>3593</v>
      </c>
      <c r="N181" s="3250">
        <f>N178</f>
        <v>18000</v>
      </c>
      <c r="O181" s="3263">
        <f t="shared" si="14"/>
        <v>216000</v>
      </c>
    </row>
    <row r="182" spans="1:15" ht="12.75">
      <c r="A182" s="3231" t="s">
        <v>3457</v>
      </c>
      <c r="B182" s="3228" t="s">
        <v>3594</v>
      </c>
      <c r="C182" s="3228" t="s">
        <v>3201</v>
      </c>
      <c r="D182" s="3228" t="s">
        <v>3180</v>
      </c>
      <c r="E182" s="3228" t="s">
        <v>3202</v>
      </c>
      <c r="F182" s="3228" t="s">
        <v>3378</v>
      </c>
      <c r="G182" s="3228" t="s">
        <v>3204</v>
      </c>
      <c r="H182" s="3228" t="s">
        <v>3205</v>
      </c>
      <c r="I182" s="3229" t="s">
        <v>3214</v>
      </c>
      <c r="J182" s="3229">
        <v>147.19</v>
      </c>
      <c r="K182" s="3229" t="s">
        <v>3298</v>
      </c>
      <c r="L182" s="3230" t="s">
        <v>3595</v>
      </c>
      <c r="N182" s="3250">
        <f>N175</f>
        <v>19000</v>
      </c>
      <c r="O182" s="3263">
        <f t="shared" si="14"/>
        <v>228000</v>
      </c>
    </row>
    <row r="183" spans="1:15" ht="12.75">
      <c r="A183" s="3231" t="s">
        <v>3457</v>
      </c>
      <c r="B183" s="3228" t="s">
        <v>3596</v>
      </c>
      <c r="C183" s="3228" t="s">
        <v>3201</v>
      </c>
      <c r="D183" s="3228" t="s">
        <v>3180</v>
      </c>
      <c r="E183" s="3228" t="s">
        <v>3202</v>
      </c>
      <c r="F183" s="3228" t="s">
        <v>3389</v>
      </c>
      <c r="G183" s="3228" t="s">
        <v>3204</v>
      </c>
      <c r="H183" s="3228" t="s">
        <v>3205</v>
      </c>
      <c r="I183" s="3229" t="s">
        <v>3214</v>
      </c>
      <c r="J183" s="3229">
        <v>158.19999999999999</v>
      </c>
      <c r="K183" s="3229" t="s">
        <v>3215</v>
      </c>
      <c r="L183" s="3230" t="s">
        <v>3597</v>
      </c>
      <c r="N183" s="3250">
        <f>N179</f>
        <v>20000</v>
      </c>
      <c r="O183" s="3263">
        <f t="shared" si="14"/>
        <v>240000</v>
      </c>
    </row>
    <row r="184" spans="1:15" ht="12.75">
      <c r="A184" s="3231" t="s">
        <v>3457</v>
      </c>
      <c r="B184" s="3228" t="s">
        <v>3598</v>
      </c>
      <c r="C184" s="3228" t="s">
        <v>3201</v>
      </c>
      <c r="D184" s="3228" t="s">
        <v>3180</v>
      </c>
      <c r="E184" s="3228" t="s">
        <v>3202</v>
      </c>
      <c r="F184" s="3228" t="s">
        <v>3389</v>
      </c>
      <c r="G184" s="3228" t="s">
        <v>3204</v>
      </c>
      <c r="H184" s="3228" t="s">
        <v>3205</v>
      </c>
      <c r="I184" s="3229" t="s">
        <v>3291</v>
      </c>
      <c r="J184" s="3229">
        <v>194.67</v>
      </c>
      <c r="K184" s="3229" t="s">
        <v>3292</v>
      </c>
      <c r="L184" s="3230" t="s">
        <v>3599</v>
      </c>
      <c r="N184" s="3250">
        <f>N177</f>
        <v>25000</v>
      </c>
      <c r="O184" s="3263">
        <f t="shared" si="14"/>
        <v>300000</v>
      </c>
    </row>
    <row r="185" spans="1:15" ht="12.75">
      <c r="A185" s="3231" t="s">
        <v>3457</v>
      </c>
      <c r="B185" s="3228" t="s">
        <v>3600</v>
      </c>
      <c r="C185" s="3228" t="s">
        <v>3201</v>
      </c>
      <c r="D185" s="3228" t="s">
        <v>3180</v>
      </c>
      <c r="E185" s="3228" t="s">
        <v>3202</v>
      </c>
      <c r="F185" s="3228" t="s">
        <v>3389</v>
      </c>
      <c r="G185" s="3228" t="s">
        <v>3204</v>
      </c>
      <c r="H185" s="3228" t="s">
        <v>3205</v>
      </c>
      <c r="I185" s="3229" t="s">
        <v>3214</v>
      </c>
      <c r="J185" s="3229">
        <v>135.66</v>
      </c>
      <c r="K185" s="3229" t="s">
        <v>3295</v>
      </c>
      <c r="L185" s="3230" t="s">
        <v>3601</v>
      </c>
      <c r="N185" s="3250">
        <f>N181</f>
        <v>18000</v>
      </c>
      <c r="O185" s="3263">
        <f t="shared" si="14"/>
        <v>216000</v>
      </c>
    </row>
    <row r="186" spans="1:15" ht="12.75">
      <c r="A186" s="3231" t="s">
        <v>3457</v>
      </c>
      <c r="B186" s="3228" t="s">
        <v>3602</v>
      </c>
      <c r="C186" s="3228" t="s">
        <v>3201</v>
      </c>
      <c r="D186" s="3228" t="s">
        <v>3180</v>
      </c>
      <c r="E186" s="3228" t="s">
        <v>3202</v>
      </c>
      <c r="F186" s="3228" t="s">
        <v>3389</v>
      </c>
      <c r="G186" s="3228" t="s">
        <v>3204</v>
      </c>
      <c r="H186" s="3228" t="s">
        <v>3205</v>
      </c>
      <c r="I186" s="3229" t="s">
        <v>3214</v>
      </c>
      <c r="J186" s="3229">
        <v>147.19</v>
      </c>
      <c r="K186" s="3229" t="s">
        <v>3298</v>
      </c>
      <c r="L186" s="3230" t="s">
        <v>3603</v>
      </c>
      <c r="N186" s="3250">
        <f>N182</f>
        <v>19000</v>
      </c>
      <c r="O186" s="3263">
        <f t="shared" si="14"/>
        <v>228000</v>
      </c>
    </row>
    <row r="187" spans="1:15" ht="12.75">
      <c r="A187" s="3231" t="s">
        <v>3457</v>
      </c>
      <c r="B187" s="3228" t="s">
        <v>3604</v>
      </c>
      <c r="C187" s="3228" t="s">
        <v>3201</v>
      </c>
      <c r="D187" s="3228" t="s">
        <v>3180</v>
      </c>
      <c r="E187" s="3228" t="s">
        <v>3202</v>
      </c>
      <c r="F187" s="3228" t="s">
        <v>3400</v>
      </c>
      <c r="G187" s="3228" t="s">
        <v>3204</v>
      </c>
      <c r="H187" s="3228" t="s">
        <v>3205</v>
      </c>
      <c r="I187" s="3229" t="s">
        <v>3214</v>
      </c>
      <c r="J187" s="3229">
        <v>158.19999999999999</v>
      </c>
      <c r="K187" s="3229" t="s">
        <v>3215</v>
      </c>
      <c r="L187" s="3230" t="s">
        <v>3605</v>
      </c>
      <c r="N187" s="3250">
        <f>N183</f>
        <v>20000</v>
      </c>
      <c r="O187" s="3263">
        <f t="shared" si="14"/>
        <v>240000</v>
      </c>
    </row>
    <row r="188" spans="1:15" ht="12.75">
      <c r="A188" s="3231" t="s">
        <v>3457</v>
      </c>
      <c r="B188" s="3228" t="s">
        <v>3606</v>
      </c>
      <c r="C188" s="3228" t="s">
        <v>3201</v>
      </c>
      <c r="D188" s="3228" t="s">
        <v>3180</v>
      </c>
      <c r="E188" s="3228" t="s">
        <v>3202</v>
      </c>
      <c r="F188" s="3228" t="s">
        <v>3400</v>
      </c>
      <c r="G188" s="3228" t="s">
        <v>3204</v>
      </c>
      <c r="H188" s="3228" t="s">
        <v>3205</v>
      </c>
      <c r="I188" s="3229" t="s">
        <v>3214</v>
      </c>
      <c r="J188" s="3229">
        <v>154.30000000000001</v>
      </c>
      <c r="K188" s="3229" t="s">
        <v>3218</v>
      </c>
      <c r="L188" s="3230" t="s">
        <v>3607</v>
      </c>
      <c r="N188" s="3250">
        <f>N180</f>
        <v>20000</v>
      </c>
      <c r="O188" s="3263">
        <f t="shared" si="14"/>
        <v>240000</v>
      </c>
    </row>
    <row r="189" spans="1:15" ht="12.75">
      <c r="A189" s="3231" t="s">
        <v>3457</v>
      </c>
      <c r="B189" s="3228" t="s">
        <v>3608</v>
      </c>
      <c r="C189" s="3228" t="s">
        <v>3201</v>
      </c>
      <c r="D189" s="3228" t="s">
        <v>3180</v>
      </c>
      <c r="E189" s="3228" t="s">
        <v>3202</v>
      </c>
      <c r="F189" s="3228" t="s">
        <v>3400</v>
      </c>
      <c r="G189" s="3228" t="s">
        <v>3204</v>
      </c>
      <c r="H189" s="3228" t="s">
        <v>3205</v>
      </c>
      <c r="I189" s="3229" t="s">
        <v>3214</v>
      </c>
      <c r="J189" s="3229">
        <v>135.66</v>
      </c>
      <c r="K189" s="3229" t="s">
        <v>3295</v>
      </c>
      <c r="L189" s="3230" t="s">
        <v>3609</v>
      </c>
      <c r="N189" s="3250">
        <f>N185</f>
        <v>18000</v>
      </c>
      <c r="O189" s="3263">
        <f t="shared" si="14"/>
        <v>216000</v>
      </c>
    </row>
    <row r="190" spans="1:15" ht="12.75">
      <c r="A190" s="3231" t="s">
        <v>3457</v>
      </c>
      <c r="B190" s="3228" t="s">
        <v>3610</v>
      </c>
      <c r="C190" s="3228" t="s">
        <v>3201</v>
      </c>
      <c r="D190" s="3228" t="s">
        <v>3180</v>
      </c>
      <c r="E190" s="3228" t="s">
        <v>3202</v>
      </c>
      <c r="F190" s="3228" t="s">
        <v>3400</v>
      </c>
      <c r="G190" s="3228" t="s">
        <v>3204</v>
      </c>
      <c r="H190" s="3228" t="s">
        <v>3205</v>
      </c>
      <c r="I190" s="3229" t="s">
        <v>3214</v>
      </c>
      <c r="J190" s="3229">
        <v>147.19</v>
      </c>
      <c r="K190" s="3229" t="s">
        <v>3298</v>
      </c>
      <c r="L190" s="3230" t="s">
        <v>3611</v>
      </c>
      <c r="N190" s="3250">
        <f>N186</f>
        <v>19000</v>
      </c>
      <c r="O190" s="3263">
        <f t="shared" si="14"/>
        <v>228000</v>
      </c>
    </row>
    <row r="191" spans="1:15" ht="12.75">
      <c r="A191" s="3231" t="s">
        <v>3457</v>
      </c>
      <c r="B191" s="3228" t="s">
        <v>3612</v>
      </c>
      <c r="C191" s="3228" t="s">
        <v>3201</v>
      </c>
      <c r="D191" s="3228" t="s">
        <v>3180</v>
      </c>
      <c r="E191" s="3228" t="s">
        <v>3202</v>
      </c>
      <c r="F191" s="3228" t="s">
        <v>3411</v>
      </c>
      <c r="G191" s="3228" t="s">
        <v>3204</v>
      </c>
      <c r="H191" s="3228" t="s">
        <v>3205</v>
      </c>
      <c r="I191" s="3229" t="s">
        <v>3214</v>
      </c>
      <c r="J191" s="3229">
        <v>154.30000000000001</v>
      </c>
      <c r="K191" s="3229" t="s">
        <v>3218</v>
      </c>
      <c r="L191" s="3230" t="s">
        <v>3613</v>
      </c>
      <c r="N191" s="3250">
        <f>N188</f>
        <v>20000</v>
      </c>
      <c r="O191" s="3263">
        <f t="shared" si="14"/>
        <v>240000</v>
      </c>
    </row>
    <row r="192" spans="1:15" ht="12.75">
      <c r="A192" s="3231" t="s">
        <v>3457</v>
      </c>
      <c r="B192" s="3228" t="s">
        <v>3614</v>
      </c>
      <c r="C192" s="3228" t="s">
        <v>3201</v>
      </c>
      <c r="D192" s="3228" t="s">
        <v>3180</v>
      </c>
      <c r="E192" s="3228" t="s">
        <v>3202</v>
      </c>
      <c r="F192" s="3228" t="s">
        <v>3411</v>
      </c>
      <c r="G192" s="3228" t="s">
        <v>3204</v>
      </c>
      <c r="H192" s="3228" t="s">
        <v>3205</v>
      </c>
      <c r="I192" s="3229" t="s">
        <v>3214</v>
      </c>
      <c r="J192" s="3229">
        <v>135.66</v>
      </c>
      <c r="K192" s="3229" t="s">
        <v>3295</v>
      </c>
      <c r="L192" s="3230" t="s">
        <v>3615</v>
      </c>
      <c r="N192" s="3250">
        <f>N189</f>
        <v>18000</v>
      </c>
      <c r="O192" s="3263">
        <f t="shared" si="14"/>
        <v>216000</v>
      </c>
    </row>
    <row r="193" spans="1:15" ht="12.75">
      <c r="A193" s="3231" t="s">
        <v>3457</v>
      </c>
      <c r="B193" s="3228" t="s">
        <v>3616</v>
      </c>
      <c r="C193" s="3228" t="s">
        <v>3201</v>
      </c>
      <c r="D193" s="3228" t="s">
        <v>3180</v>
      </c>
      <c r="E193" s="3228" t="s">
        <v>3202</v>
      </c>
      <c r="F193" s="3228" t="s">
        <v>3411</v>
      </c>
      <c r="G193" s="3228" t="s">
        <v>3204</v>
      </c>
      <c r="H193" s="3228" t="s">
        <v>3205</v>
      </c>
      <c r="I193" s="3229" t="s">
        <v>3214</v>
      </c>
      <c r="J193" s="3229">
        <v>147.19</v>
      </c>
      <c r="K193" s="3229" t="s">
        <v>3298</v>
      </c>
      <c r="L193" s="3230" t="s">
        <v>3617</v>
      </c>
      <c r="N193" s="3250">
        <f>N190</f>
        <v>19000</v>
      </c>
      <c r="O193" s="3263">
        <f t="shared" si="14"/>
        <v>228000</v>
      </c>
    </row>
    <row r="194" spans="1:15" ht="12.75">
      <c r="A194" s="3231" t="s">
        <v>3457</v>
      </c>
      <c r="B194" s="3228" t="s">
        <v>3618</v>
      </c>
      <c r="C194" s="3228" t="s">
        <v>3201</v>
      </c>
      <c r="D194" s="3228" t="s">
        <v>3180</v>
      </c>
      <c r="E194" s="3228" t="s">
        <v>3202</v>
      </c>
      <c r="F194" s="3228" t="s">
        <v>3422</v>
      </c>
      <c r="G194" s="3228" t="s">
        <v>3204</v>
      </c>
      <c r="H194" s="3228" t="s">
        <v>3205</v>
      </c>
      <c r="I194" s="3229" t="s">
        <v>3214</v>
      </c>
      <c r="J194" s="3229">
        <v>158.19999999999999</v>
      </c>
      <c r="K194" s="3229" t="s">
        <v>3215</v>
      </c>
      <c r="L194" s="3230" t="s">
        <v>3619</v>
      </c>
      <c r="N194" s="3250">
        <f>N187</f>
        <v>20000</v>
      </c>
      <c r="O194" s="3263">
        <f t="shared" si="14"/>
        <v>240000</v>
      </c>
    </row>
    <row r="195" spans="1:15" ht="12.75">
      <c r="A195" s="3231" t="s">
        <v>3457</v>
      </c>
      <c r="B195" s="3228" t="s">
        <v>3620</v>
      </c>
      <c r="C195" s="3228" t="s">
        <v>3201</v>
      </c>
      <c r="D195" s="3228" t="s">
        <v>3180</v>
      </c>
      <c r="E195" s="3228" t="s">
        <v>3202</v>
      </c>
      <c r="F195" s="3228" t="s">
        <v>3422</v>
      </c>
      <c r="G195" s="3228" t="s">
        <v>3204</v>
      </c>
      <c r="H195" s="3228" t="s">
        <v>3205</v>
      </c>
      <c r="I195" s="3229" t="s">
        <v>3214</v>
      </c>
      <c r="J195" s="3229">
        <v>154.30000000000001</v>
      </c>
      <c r="K195" s="3229" t="s">
        <v>3218</v>
      </c>
      <c r="L195" s="3230" t="s">
        <v>3621</v>
      </c>
      <c r="N195" s="3250">
        <f>N191</f>
        <v>20000</v>
      </c>
      <c r="O195" s="3263">
        <f t="shared" si="14"/>
        <v>240000</v>
      </c>
    </row>
    <row r="196" spans="1:15" ht="12.75">
      <c r="A196" s="3231" t="s">
        <v>3457</v>
      </c>
      <c r="B196" s="3228" t="s">
        <v>3622</v>
      </c>
      <c r="C196" s="3228" t="s">
        <v>3201</v>
      </c>
      <c r="D196" s="3228" t="s">
        <v>3180</v>
      </c>
      <c r="E196" s="3228" t="s">
        <v>3202</v>
      </c>
      <c r="F196" s="3228" t="s">
        <v>3433</v>
      </c>
      <c r="G196" s="3228" t="s">
        <v>3204</v>
      </c>
      <c r="H196" s="3228" t="s">
        <v>3205</v>
      </c>
      <c r="I196" s="3229" t="s">
        <v>3214</v>
      </c>
      <c r="J196" s="3229">
        <v>158.19999999999999</v>
      </c>
      <c r="K196" s="3229" t="s">
        <v>3215</v>
      </c>
      <c r="L196" s="3230" t="s">
        <v>3623</v>
      </c>
      <c r="N196" s="3250">
        <f>N194</f>
        <v>20000</v>
      </c>
      <c r="O196" s="3263">
        <f t="shared" si="14"/>
        <v>240000</v>
      </c>
    </row>
    <row r="197" spans="1:15" ht="12.75">
      <c r="A197" s="3231" t="s">
        <v>3457</v>
      </c>
      <c r="B197" s="3228" t="s">
        <v>3624</v>
      </c>
      <c r="C197" s="3228" t="s">
        <v>3201</v>
      </c>
      <c r="D197" s="3228" t="s">
        <v>3180</v>
      </c>
      <c r="E197" s="3228" t="s">
        <v>3202</v>
      </c>
      <c r="F197" s="3228" t="s">
        <v>3433</v>
      </c>
      <c r="G197" s="3228" t="s">
        <v>3204</v>
      </c>
      <c r="H197" s="3228" t="s">
        <v>3205</v>
      </c>
      <c r="I197" s="3229" t="s">
        <v>3214</v>
      </c>
      <c r="J197" s="3229">
        <v>154.30000000000001</v>
      </c>
      <c r="K197" s="3229" t="s">
        <v>3218</v>
      </c>
      <c r="L197" s="3230" t="s">
        <v>3625</v>
      </c>
      <c r="N197" s="3250">
        <f>N195</f>
        <v>20000</v>
      </c>
      <c r="O197" s="3263">
        <f t="shared" si="14"/>
        <v>240000</v>
      </c>
    </row>
    <row r="198" spans="1:15" ht="12.75">
      <c r="A198" s="3231" t="s">
        <v>3457</v>
      </c>
      <c r="B198" s="3228" t="s">
        <v>3626</v>
      </c>
      <c r="C198" s="3228" t="s">
        <v>3201</v>
      </c>
      <c r="D198" s="3228" t="s">
        <v>3180</v>
      </c>
      <c r="E198" s="3228" t="s">
        <v>3202</v>
      </c>
      <c r="F198" s="3228" t="s">
        <v>3433</v>
      </c>
      <c r="G198" s="3228" t="s">
        <v>3204</v>
      </c>
      <c r="H198" s="3228" t="s">
        <v>3205</v>
      </c>
      <c r="I198" s="3229" t="s">
        <v>3291</v>
      </c>
      <c r="J198" s="3229">
        <v>194.67</v>
      </c>
      <c r="K198" s="3229" t="s">
        <v>3292</v>
      </c>
      <c r="L198" s="3230" t="s">
        <v>3627</v>
      </c>
      <c r="N198" s="3250">
        <f>N184</f>
        <v>25000</v>
      </c>
      <c r="O198" s="3263">
        <f t="shared" si="14"/>
        <v>300000</v>
      </c>
    </row>
    <row r="199" spans="1:15" ht="12.75">
      <c r="A199" s="3231" t="s">
        <v>3457</v>
      </c>
      <c r="B199" s="3228" t="s">
        <v>3628</v>
      </c>
      <c r="C199" s="3228" t="s">
        <v>3201</v>
      </c>
      <c r="D199" s="3228" t="s">
        <v>3180</v>
      </c>
      <c r="E199" s="3228" t="s">
        <v>3202</v>
      </c>
      <c r="F199" s="3228" t="s">
        <v>3433</v>
      </c>
      <c r="G199" s="3228" t="s">
        <v>3204</v>
      </c>
      <c r="H199" s="3228" t="s">
        <v>3205</v>
      </c>
      <c r="I199" s="3229" t="s">
        <v>3214</v>
      </c>
      <c r="J199" s="3229">
        <v>135.66</v>
      </c>
      <c r="K199" s="3229" t="s">
        <v>3295</v>
      </c>
      <c r="L199" s="3230" t="s">
        <v>3629</v>
      </c>
      <c r="N199" s="3250">
        <f>N192</f>
        <v>18000</v>
      </c>
      <c r="O199" s="3263">
        <f t="shared" si="14"/>
        <v>216000</v>
      </c>
    </row>
    <row r="200" spans="1:15" ht="12.75">
      <c r="A200" s="3231" t="s">
        <v>3457</v>
      </c>
      <c r="B200" s="3228" t="s">
        <v>3630</v>
      </c>
      <c r="C200" s="3228" t="s">
        <v>3201</v>
      </c>
      <c r="D200" s="3228" t="s">
        <v>3180</v>
      </c>
      <c r="E200" s="3228" t="s">
        <v>3202</v>
      </c>
      <c r="F200" s="3228" t="s">
        <v>3433</v>
      </c>
      <c r="G200" s="3228" t="s">
        <v>3204</v>
      </c>
      <c r="H200" s="3228" t="s">
        <v>3205</v>
      </c>
      <c r="I200" s="3229" t="s">
        <v>3214</v>
      </c>
      <c r="J200" s="3229">
        <v>147.19</v>
      </c>
      <c r="K200" s="3229" t="s">
        <v>3298</v>
      </c>
      <c r="L200" s="3230" t="s">
        <v>3631</v>
      </c>
      <c r="N200" s="3250">
        <f>N193</f>
        <v>19000</v>
      </c>
      <c r="O200" s="3263">
        <f t="shared" si="14"/>
        <v>228000</v>
      </c>
    </row>
    <row r="201" spans="1:15" ht="12.75">
      <c r="A201" s="3231" t="s">
        <v>3457</v>
      </c>
      <c r="B201" s="3228" t="s">
        <v>3632</v>
      </c>
      <c r="C201" s="3228" t="s">
        <v>3201</v>
      </c>
      <c r="D201" s="3228" t="s">
        <v>3180</v>
      </c>
      <c r="E201" s="3228" t="s">
        <v>3202</v>
      </c>
      <c r="F201" s="3228" t="s">
        <v>3444</v>
      </c>
      <c r="G201" s="3228" t="s">
        <v>3204</v>
      </c>
      <c r="H201" s="3228" t="s">
        <v>3205</v>
      </c>
      <c r="I201" s="3229" t="s">
        <v>3291</v>
      </c>
      <c r="J201" s="3229">
        <v>223.33</v>
      </c>
      <c r="K201" s="3229" t="s">
        <v>3445</v>
      </c>
      <c r="L201" s="3230" t="s">
        <v>3633</v>
      </c>
      <c r="N201" s="3250">
        <f>U102</f>
        <v>27000</v>
      </c>
      <c r="O201" s="3263">
        <f t="shared" si="14"/>
        <v>324000</v>
      </c>
    </row>
    <row r="202" spans="1:15" ht="24">
      <c r="A202" s="3235" t="s">
        <v>3457</v>
      </c>
      <c r="B202" s="3236" t="s">
        <v>3453</v>
      </c>
      <c r="C202" s="3236" t="s">
        <v>3201</v>
      </c>
      <c r="D202" s="3236" t="s">
        <v>3180</v>
      </c>
      <c r="E202" s="3236" t="s">
        <v>3202</v>
      </c>
      <c r="F202" s="3236" t="s">
        <v>3454</v>
      </c>
      <c r="G202" s="3236" t="s">
        <v>3455</v>
      </c>
      <c r="H202" s="3236" t="s">
        <v>3205</v>
      </c>
      <c r="I202" s="3237" t="s">
        <v>3206</v>
      </c>
      <c r="J202" s="3237">
        <v>971.52</v>
      </c>
      <c r="K202" s="3237" t="s">
        <v>3180</v>
      </c>
      <c r="L202" s="3238" t="s">
        <v>3634</v>
      </c>
    </row>
    <row r="203" spans="1:15" s="3261" customFormat="1" ht="13.5" thickBot="1">
      <c r="A203" s="3239"/>
      <c r="B203" s="3240"/>
      <c r="C203" s="3240"/>
      <c r="D203" s="3240"/>
      <c r="E203" s="3240"/>
      <c r="F203" s="3240"/>
      <c r="G203" s="3240"/>
      <c r="H203" s="3240"/>
      <c r="I203" s="3241"/>
      <c r="J203" s="3241">
        <f>SUM(J8:J202)</f>
        <v>32060.449999999972</v>
      </c>
      <c r="K203" s="3241"/>
      <c r="L203" s="3242"/>
      <c r="M203" s="3249"/>
    </row>
    <row r="204" spans="1:15" ht="24">
      <c r="A204" s="3243"/>
      <c r="B204" s="3244"/>
      <c r="C204" s="3244"/>
      <c r="D204" s="3244"/>
      <c r="E204" s="3244"/>
      <c r="F204" s="3244"/>
      <c r="G204" s="3244" t="s">
        <v>3635</v>
      </c>
      <c r="H204" s="3244" t="s">
        <v>4030</v>
      </c>
      <c r="I204" s="3245" t="s">
        <v>3636</v>
      </c>
      <c r="J204" s="3245" t="s">
        <v>3637</v>
      </c>
      <c r="K204" s="3245"/>
      <c r="L204" s="3246"/>
      <c r="O204" s="3250">
        <f>SUM(O10:O203)</f>
        <v>45864000</v>
      </c>
    </row>
    <row r="205" spans="1:15">
      <c r="A205" s="3827" t="s">
        <v>3638</v>
      </c>
      <c r="B205" s="3827"/>
      <c r="C205" s="3262"/>
      <c r="D205" s="3262"/>
      <c r="E205" s="3262"/>
      <c r="F205" s="3262"/>
      <c r="G205" s="3262" t="s">
        <v>3639</v>
      </c>
      <c r="H205" s="3262"/>
      <c r="I205" s="3262"/>
      <c r="J205" s="3262"/>
      <c r="K205" s="3262"/>
      <c r="L205" s="3262"/>
    </row>
    <row r="206" spans="1:15">
      <c r="A206" s="3828" t="s">
        <v>3640</v>
      </c>
      <c r="B206" s="3828"/>
      <c r="C206" s="3828"/>
      <c r="D206" s="3828"/>
      <c r="E206" s="3828"/>
      <c r="F206" s="3828"/>
      <c r="G206" s="3828"/>
      <c r="H206" s="3828"/>
      <c r="I206" s="3828"/>
      <c r="J206" s="3828"/>
      <c r="K206" s="3828"/>
      <c r="L206" s="3828"/>
    </row>
    <row r="210" spans="7:8">
      <c r="G210" s="3250" t="s">
        <v>3647</v>
      </c>
      <c r="H210" s="3260">
        <f>H204-J202-J113</f>
        <v>30117.4</v>
      </c>
    </row>
    <row r="211" spans="7:8">
      <c r="G211" s="3250" t="s">
        <v>3648</v>
      </c>
      <c r="H211" s="3260">
        <f>J202+J113</f>
        <v>1943.05</v>
      </c>
    </row>
  </sheetData>
  <autoFilter ref="A7:U206"/>
  <mergeCells count="13">
    <mergeCell ref="F6:F7"/>
    <mergeCell ref="A205:B205"/>
    <mergeCell ref="A206:L206"/>
    <mergeCell ref="A2:L2"/>
    <mergeCell ref="B4:C4"/>
    <mergeCell ref="I4:L4"/>
    <mergeCell ref="D5:D7"/>
    <mergeCell ref="E5:F5"/>
    <mergeCell ref="G5:H5"/>
    <mergeCell ref="I5:I7"/>
    <mergeCell ref="J5:J7"/>
    <mergeCell ref="K5:K7"/>
    <mergeCell ref="L5:L7"/>
  </mergeCells>
  <phoneticPr fontId="140" type="noConversion"/>
  <pageMargins left="0.7" right="0.7" top="0.75" bottom="0.75" header="0.3" footer="0.3"/>
  <pageSetup paperSize="9" orientation="portrait" r:id="rId1"/>
  <ignoredErrors>
    <ignoredError sqref="N41"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46:T55"/>
  <sheetViews>
    <sheetView topLeftCell="A10" workbookViewId="0">
      <selection activeCell="F73" sqref="F73"/>
    </sheetView>
  </sheetViews>
  <sheetFormatPr defaultRowHeight="13.5"/>
  <cols>
    <col min="18" max="18" width="11.125" customWidth="1"/>
    <col min="19" max="19" width="11.625" customWidth="1"/>
    <col min="20" max="20" width="11.5" customWidth="1"/>
  </cols>
  <sheetData>
    <row r="46" spans="18:20">
      <c r="R46" s="3248" t="s">
        <v>3641</v>
      </c>
      <c r="S46" s="3248" t="s">
        <v>3642</v>
      </c>
      <c r="T46" s="3248" t="s">
        <v>3643</v>
      </c>
    </row>
    <row r="47" spans="18:20">
      <c r="R47" s="3248">
        <v>101</v>
      </c>
      <c r="S47" s="3248">
        <v>15000</v>
      </c>
      <c r="T47" s="3248">
        <f t="shared" ref="T47:T55" si="0">ROUND(S47/R47/30,2)</f>
        <v>4.95</v>
      </c>
    </row>
    <row r="48" spans="18:20">
      <c r="R48" s="3248">
        <v>112</v>
      </c>
      <c r="S48" s="3248">
        <v>17000</v>
      </c>
      <c r="T48" s="3248">
        <f t="shared" si="0"/>
        <v>5.0599999999999996</v>
      </c>
    </row>
    <row r="49" spans="18:20">
      <c r="R49" s="3248">
        <v>136</v>
      </c>
      <c r="S49" s="3248">
        <v>18000</v>
      </c>
      <c r="T49" s="3248">
        <f t="shared" si="0"/>
        <v>4.41</v>
      </c>
    </row>
    <row r="50" spans="18:20">
      <c r="R50" s="3248">
        <v>147</v>
      </c>
      <c r="S50" s="3248">
        <v>19000</v>
      </c>
      <c r="T50" s="3248">
        <f t="shared" si="0"/>
        <v>4.3099999999999996</v>
      </c>
    </row>
    <row r="51" spans="18:20">
      <c r="R51" s="3248">
        <v>158</v>
      </c>
      <c r="S51" s="3248">
        <v>20000</v>
      </c>
      <c r="T51" s="3248">
        <f t="shared" si="0"/>
        <v>4.22</v>
      </c>
    </row>
    <row r="52" spans="18:20">
      <c r="R52" s="3248">
        <v>176</v>
      </c>
      <c r="S52" s="3248">
        <v>22000</v>
      </c>
      <c r="T52" s="3248">
        <f t="shared" si="0"/>
        <v>4.17</v>
      </c>
    </row>
    <row r="53" spans="18:20">
      <c r="R53" s="3248">
        <v>195</v>
      </c>
      <c r="S53" s="3248">
        <v>25000</v>
      </c>
      <c r="T53" s="3248">
        <f t="shared" si="0"/>
        <v>4.2699999999999996</v>
      </c>
    </row>
    <row r="54" spans="18:20">
      <c r="R54" s="3248">
        <v>223</v>
      </c>
      <c r="S54" s="3248">
        <v>27000</v>
      </c>
      <c r="T54" s="3248">
        <f t="shared" si="0"/>
        <v>4.04</v>
      </c>
    </row>
    <row r="55" spans="18:20">
      <c r="R55" s="3248">
        <v>282</v>
      </c>
      <c r="S55" s="3248">
        <v>30000</v>
      </c>
      <c r="T55" s="3248">
        <f t="shared" si="0"/>
        <v>3.55</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9:J154"/>
  <sheetViews>
    <sheetView topLeftCell="A142" workbookViewId="0">
      <selection activeCell="M152" sqref="M152"/>
    </sheetView>
  </sheetViews>
  <sheetFormatPr defaultRowHeight="13.5"/>
  <sheetData>
    <row r="149" spans="5:10">
      <c r="F149" s="3247" t="s">
        <v>3641</v>
      </c>
      <c r="G149" s="3247" t="s">
        <v>3669</v>
      </c>
      <c r="H149" s="3247" t="s">
        <v>3670</v>
      </c>
      <c r="I149" s="3247" t="s">
        <v>3671</v>
      </c>
    </row>
    <row r="150" spans="5:10">
      <c r="E150" s="3247" t="s">
        <v>3664</v>
      </c>
      <c r="F150">
        <v>104.37</v>
      </c>
      <c r="G150" s="3247" t="s">
        <v>3665</v>
      </c>
      <c r="H150" s="3247" t="s">
        <v>3667</v>
      </c>
      <c r="I150">
        <v>55572</v>
      </c>
      <c r="J150" s="3247" t="s">
        <v>3681</v>
      </c>
    </row>
    <row r="151" spans="5:10">
      <c r="E151" t="str">
        <f>E150</f>
        <v>宏源公寓</v>
      </c>
      <c r="F151">
        <v>109.39</v>
      </c>
      <c r="G151" s="3247" t="s">
        <v>3666</v>
      </c>
      <c r="H151" s="3247" t="s">
        <v>3668</v>
      </c>
      <c r="I151">
        <v>57775</v>
      </c>
      <c r="J151" s="3247" t="s">
        <v>3682</v>
      </c>
    </row>
    <row r="152" spans="5:10">
      <c r="E152" t="str">
        <f>E150</f>
        <v>宏源公寓</v>
      </c>
      <c r="F152">
        <v>103.45</v>
      </c>
      <c r="G152" s="3247" t="s">
        <v>3665</v>
      </c>
      <c r="H152" s="3247" t="s">
        <v>3668</v>
      </c>
      <c r="I152">
        <v>56550</v>
      </c>
      <c r="J152" s="3247" t="s">
        <v>3681</v>
      </c>
    </row>
    <row r="153" spans="5:10">
      <c r="E153" s="3247" t="s">
        <v>3998</v>
      </c>
      <c r="F153">
        <v>119.6</v>
      </c>
      <c r="G153" s="3247" t="s">
        <v>3999</v>
      </c>
      <c r="H153" s="3247" t="s">
        <v>4000</v>
      </c>
      <c r="I153">
        <v>58529</v>
      </c>
      <c r="J153" s="3247" t="s">
        <v>4002</v>
      </c>
    </row>
    <row r="154" spans="5:10">
      <c r="E154" t="str">
        <f>E153</f>
        <v>星城国际</v>
      </c>
      <c r="F154">
        <v>146.44</v>
      </c>
      <c r="G154" s="3247" t="s">
        <v>4005</v>
      </c>
      <c r="H154" s="3247" t="s">
        <v>4006</v>
      </c>
      <c r="I154">
        <v>55996</v>
      </c>
      <c r="J154" s="3247" t="s">
        <v>4007</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1365</v>
      </c>
      <c r="B2" s="3489" t="s">
        <v>1366</v>
      </c>
      <c r="C2" s="3489" t="s">
        <v>1367</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941" t="s">
        <v>1362</v>
      </c>
      <c r="E3" s="941" t="s">
        <v>1368</v>
      </c>
      <c r="F3" s="941" t="s">
        <v>1362</v>
      </c>
      <c r="G3" s="941" t="s">
        <v>1363</v>
      </c>
      <c r="H3" s="941" t="s">
        <v>1362</v>
      </c>
      <c r="I3" s="941" t="s">
        <v>1363</v>
      </c>
    </row>
    <row r="4" spans="1:9" ht="15">
      <c r="A4" s="1637" t="str">
        <f>项目基本情况!S2</f>
        <v>北京市房地产</v>
      </c>
      <c r="B4" s="941">
        <f>项目基本情况!C17</f>
        <v>32060.45</v>
      </c>
      <c r="C4" s="941">
        <f>项目基本情况!C18</f>
        <v>6030.52</v>
      </c>
      <c r="D4" s="941">
        <f ca="1">结果表!D118</f>
        <v>87862</v>
      </c>
      <c r="E4" s="941">
        <f ca="1">结果表!E118</f>
        <v>29173</v>
      </c>
      <c r="F4" s="941">
        <f ca="1">结果表!F118</f>
        <v>32497</v>
      </c>
      <c r="G4" s="941">
        <f ca="1">结果表!G118</f>
        <v>10790</v>
      </c>
      <c r="H4" s="941">
        <f ca="1">结果表!H118</f>
        <v>120359</v>
      </c>
      <c r="I4" s="941">
        <f ca="1">结果表!I118</f>
        <v>39963</v>
      </c>
    </row>
    <row r="5" spans="1:9" ht="30" customHeight="1">
      <c r="A5" s="3490" t="s">
        <v>1364</v>
      </c>
      <c r="B5" s="3490"/>
      <c r="C5" s="3490"/>
      <c r="D5" s="3491" t="str">
        <f ca="1">结果表!D119</f>
        <v>捌亿柒仟捌佰陆拾贰万元整</v>
      </c>
      <c r="E5" s="3491"/>
      <c r="F5" s="3491" t="str">
        <f ca="1">结果表!F119</f>
        <v>叁亿贰仟肆佰玖拾柒万元整</v>
      </c>
      <c r="G5" s="3491"/>
      <c r="H5" s="3491" t="str">
        <f ca="1">结果表!H119</f>
        <v>壹拾贰亿零叁佰伍拾玖万元整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0" t="s">
        <v>1364</v>
      </c>
      <c r="B7" s="3490"/>
      <c r="C7" s="3490"/>
      <c r="D7" s="3493" t="str">
        <f>结果表!D121</f>
        <v>零元整</v>
      </c>
      <c r="E7" s="3494"/>
      <c r="F7" s="3494"/>
      <c r="G7" s="3494"/>
      <c r="H7" s="3494"/>
      <c r="I7" s="3495"/>
    </row>
    <row r="8" spans="1:9" ht="15.75">
      <c r="A8" s="3492" t="str">
        <f>结果表!A122</f>
        <v>房地产抵押价值</v>
      </c>
      <c r="B8" s="3492"/>
      <c r="C8" s="3492"/>
      <c r="D8" s="3492">
        <f ca="1">结果表!D122</f>
        <v>120359</v>
      </c>
      <c r="E8" s="3492"/>
      <c r="F8" s="3492"/>
      <c r="G8" s="3492"/>
      <c r="H8" s="3492"/>
      <c r="I8" s="3492"/>
    </row>
    <row r="9" spans="1:9" ht="15">
      <c r="A9" s="3490" t="s">
        <v>1364</v>
      </c>
      <c r="B9" s="3490"/>
      <c r="C9" s="3490"/>
      <c r="D9" s="3491" t="str">
        <f ca="1">结果表!D123</f>
        <v>壹拾贰亿零叁佰伍拾玖万元整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0" t="s">
        <v>1364</v>
      </c>
      <c r="B11" s="3490"/>
      <c r="C11" s="3490"/>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1364</v>
      </c>
      <c r="B13" s="3496"/>
      <c r="C13" s="3496"/>
      <c r="D13" s="3497" t="e">
        <f>结果表!D127</f>
        <v>#VALUE!</v>
      </c>
      <c r="E13" s="3497"/>
      <c r="F13" s="3497"/>
      <c r="G13" s="3497"/>
      <c r="H13" s="3497"/>
      <c r="I13" s="3497"/>
    </row>
    <row r="14" spans="1:9" ht="15" thickTop="1">
      <c r="A14" s="3498" t="s">
        <v>1369</v>
      </c>
      <c r="B14" s="3498"/>
      <c r="C14" s="3498"/>
      <c r="D14" s="3498"/>
      <c r="E14" s="3498"/>
      <c r="F14" s="3498"/>
      <c r="G14" s="3498"/>
      <c r="H14" s="3498"/>
      <c r="I14" s="3498"/>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
  <sheetViews>
    <sheetView workbookViewId="0">
      <selection activeCell="K205" sqref="K5:K205"/>
    </sheetView>
  </sheetViews>
  <sheetFormatPr defaultRowHeight="13.5"/>
  <cols>
    <col min="2" max="2" width="8" bestFit="1" customWidth="1"/>
    <col min="3" max="3" width="9.75" bestFit="1" customWidth="1"/>
    <col min="4" max="4" width="24.75" bestFit="1" customWidth="1"/>
    <col min="5" max="5" width="13.375" bestFit="1" customWidth="1"/>
    <col min="6" max="6" width="13.125" bestFit="1" customWidth="1"/>
    <col min="7" max="7" width="37.75" bestFit="1" customWidth="1"/>
    <col min="8" max="8" width="18.875" bestFit="1" customWidth="1"/>
    <col min="9" max="9" width="15" bestFit="1" customWidth="1"/>
  </cols>
  <sheetData>
    <row r="1" spans="1:11" ht="18" thickBot="1">
      <c r="A1" s="3851" t="s">
        <v>3693</v>
      </c>
      <c r="B1" s="3851"/>
      <c r="C1" s="3851"/>
      <c r="D1" s="3851"/>
      <c r="E1" s="3851"/>
      <c r="F1" s="3851"/>
      <c r="G1" s="3851"/>
      <c r="H1" s="3851"/>
      <c r="I1" s="3851"/>
    </row>
    <row r="2" spans="1:11" ht="45">
      <c r="A2" s="3311" t="s">
        <v>3694</v>
      </c>
      <c r="B2" s="3312" t="s">
        <v>3190</v>
      </c>
      <c r="C2" s="3313" t="s">
        <v>3740</v>
      </c>
      <c r="D2" s="3312" t="s">
        <v>3741</v>
      </c>
      <c r="E2" s="3314" t="s">
        <v>3742</v>
      </c>
      <c r="F2" s="3315" t="s">
        <v>3743</v>
      </c>
      <c r="G2" s="3316" t="s">
        <v>3744</v>
      </c>
      <c r="H2" s="3312" t="s">
        <v>3745</v>
      </c>
      <c r="I2" s="3317" t="s">
        <v>3746</v>
      </c>
    </row>
    <row r="3" spans="1:11" ht="15">
      <c r="A3" s="3318">
        <v>1</v>
      </c>
      <c r="B3" s="3319">
        <v>111</v>
      </c>
      <c r="C3" s="3320">
        <v>544.91999999999996</v>
      </c>
      <c r="D3" s="3319"/>
      <c r="E3" s="3319"/>
      <c r="F3" s="3321" t="s">
        <v>3747</v>
      </c>
      <c r="G3" s="3322" t="s">
        <v>3748</v>
      </c>
      <c r="H3" s="3321" t="s">
        <v>3749</v>
      </c>
      <c r="I3" s="3323">
        <v>30000</v>
      </c>
    </row>
    <row r="4" spans="1:11" ht="15">
      <c r="A4" s="3318">
        <v>2</v>
      </c>
      <c r="B4" s="3319">
        <v>112</v>
      </c>
      <c r="C4" s="3320">
        <v>157.66</v>
      </c>
      <c r="D4" s="3319"/>
      <c r="E4" s="3319"/>
      <c r="F4" s="3321" t="s">
        <v>3750</v>
      </c>
      <c r="G4" s="3324" t="s">
        <v>3751</v>
      </c>
      <c r="H4" s="3321"/>
      <c r="I4" s="3323"/>
    </row>
    <row r="5" spans="1:11" ht="15">
      <c r="A5" s="3318">
        <v>3</v>
      </c>
      <c r="B5" s="3416">
        <v>211</v>
      </c>
      <c r="C5" s="3325">
        <v>158.19999999999999</v>
      </c>
      <c r="D5" s="3326" t="s">
        <v>3695</v>
      </c>
      <c r="E5" s="3327">
        <v>22000</v>
      </c>
      <c r="F5" s="3328" t="s">
        <v>3696</v>
      </c>
      <c r="G5" s="3329" t="s">
        <v>3752</v>
      </c>
      <c r="H5" s="3330" t="s">
        <v>3753</v>
      </c>
      <c r="I5" s="3331">
        <v>20500</v>
      </c>
      <c r="K5">
        <f>I5*12/365/C5</f>
        <v>4.2602566544862581</v>
      </c>
    </row>
    <row r="6" spans="1:11" ht="15">
      <c r="A6" s="3318">
        <v>4</v>
      </c>
      <c r="B6" s="3416">
        <v>212</v>
      </c>
      <c r="C6" s="3325">
        <v>154.30000000000001</v>
      </c>
      <c r="D6" s="3326" t="s">
        <v>3754</v>
      </c>
      <c r="E6" s="3332">
        <v>20000</v>
      </c>
      <c r="F6" s="3333" t="s">
        <v>3696</v>
      </c>
      <c r="G6" s="3334" t="s">
        <v>3755</v>
      </c>
      <c r="H6" s="3330"/>
      <c r="I6" s="3331"/>
    </row>
    <row r="7" spans="1:11" ht="15">
      <c r="A7" s="3318">
        <v>5</v>
      </c>
      <c r="B7" s="3416">
        <v>213</v>
      </c>
      <c r="C7" s="3325">
        <v>176.26</v>
      </c>
      <c r="D7" s="3326" t="s">
        <v>3697</v>
      </c>
      <c r="E7" s="3327">
        <v>22000</v>
      </c>
      <c r="F7" s="3333" t="s">
        <v>3696</v>
      </c>
      <c r="G7" s="3335" t="s">
        <v>3756</v>
      </c>
      <c r="H7" s="3330"/>
      <c r="I7" s="3331"/>
    </row>
    <row r="8" spans="1:11" ht="15">
      <c r="A8" s="3318">
        <v>6</v>
      </c>
      <c r="B8" s="3416">
        <v>214</v>
      </c>
      <c r="C8" s="3336">
        <v>155.13</v>
      </c>
      <c r="D8" s="3326" t="s">
        <v>3757</v>
      </c>
      <c r="E8" s="3327">
        <v>21000</v>
      </c>
      <c r="F8" s="3337" t="s">
        <v>3696</v>
      </c>
      <c r="G8" s="3329" t="s">
        <v>3758</v>
      </c>
      <c r="H8" s="3330" t="s">
        <v>3759</v>
      </c>
      <c r="I8" s="3331">
        <v>21000</v>
      </c>
      <c r="K8">
        <f t="shared" ref="K8:K71" si="0">I8*12/365/C8</f>
        <v>4.4505315471160296</v>
      </c>
    </row>
    <row r="9" spans="1:11" ht="15">
      <c r="A9" s="3338">
        <v>7</v>
      </c>
      <c r="B9" s="3339">
        <v>215</v>
      </c>
      <c r="C9" s="3340">
        <v>111.52</v>
      </c>
      <c r="D9" s="3339" t="s">
        <v>3698</v>
      </c>
      <c r="E9" s="3341">
        <v>17500</v>
      </c>
      <c r="F9" s="3339" t="s">
        <v>3704</v>
      </c>
      <c r="G9" s="3342" t="s">
        <v>3760</v>
      </c>
      <c r="H9" s="3339" t="s">
        <v>3761</v>
      </c>
      <c r="I9" s="3343">
        <v>17500</v>
      </c>
      <c r="K9">
        <f t="shared" si="0"/>
        <v>5.1590967158664336</v>
      </c>
    </row>
    <row r="10" spans="1:11" ht="15">
      <c r="A10" s="3338">
        <v>8</v>
      </c>
      <c r="B10" s="3417">
        <v>216</v>
      </c>
      <c r="C10" s="3344">
        <v>100.84</v>
      </c>
      <c r="D10" s="3345" t="s">
        <v>3703</v>
      </c>
      <c r="E10" s="3346">
        <v>17500</v>
      </c>
      <c r="F10" s="3339" t="s">
        <v>3704</v>
      </c>
      <c r="G10" s="3342" t="s">
        <v>3762</v>
      </c>
      <c r="H10" s="3339" t="s">
        <v>3761</v>
      </c>
      <c r="I10" s="3343">
        <v>17500</v>
      </c>
      <c r="K10">
        <f t="shared" si="0"/>
        <v>5.7054984703830289</v>
      </c>
    </row>
    <row r="11" spans="1:11" ht="15">
      <c r="A11" s="3318">
        <v>9</v>
      </c>
      <c r="B11" s="3328">
        <v>311</v>
      </c>
      <c r="C11" s="3347">
        <v>158.19999999999999</v>
      </c>
      <c r="D11" s="3328" t="s">
        <v>3695</v>
      </c>
      <c r="E11" s="3348">
        <v>22000</v>
      </c>
      <c r="F11" s="3328" t="s">
        <v>3696</v>
      </c>
      <c r="G11" s="3349" t="s">
        <v>3763</v>
      </c>
      <c r="H11" s="3350" t="s">
        <v>3764</v>
      </c>
      <c r="I11" s="3351">
        <v>21000</v>
      </c>
      <c r="K11">
        <f t="shared" si="0"/>
        <v>4.3641653533761673</v>
      </c>
    </row>
    <row r="12" spans="1:11" ht="15">
      <c r="A12" s="3318">
        <v>10</v>
      </c>
      <c r="B12" s="3416">
        <v>312</v>
      </c>
      <c r="C12" s="3352">
        <v>154.30000000000001</v>
      </c>
      <c r="D12" s="3326" t="s">
        <v>3754</v>
      </c>
      <c r="E12" s="3332">
        <v>20000</v>
      </c>
      <c r="F12" s="3328" t="s">
        <v>3696</v>
      </c>
      <c r="G12" s="3353" t="s">
        <v>3765</v>
      </c>
      <c r="H12" s="3330" t="s">
        <v>3766</v>
      </c>
      <c r="I12" s="3331">
        <v>18000</v>
      </c>
      <c r="K12">
        <f t="shared" si="0"/>
        <v>3.8352613215671303</v>
      </c>
    </row>
    <row r="13" spans="1:11" ht="15">
      <c r="A13" s="3318">
        <v>11</v>
      </c>
      <c r="B13" s="3328">
        <v>313</v>
      </c>
      <c r="C13" s="3347">
        <v>176.26</v>
      </c>
      <c r="D13" s="3328" t="s">
        <v>3697</v>
      </c>
      <c r="E13" s="3327">
        <v>22000</v>
      </c>
      <c r="F13" s="3328" t="s">
        <v>3696</v>
      </c>
      <c r="G13" s="3349" t="s">
        <v>3767</v>
      </c>
      <c r="H13" s="3328" t="s">
        <v>3768</v>
      </c>
      <c r="I13" s="3354">
        <v>19000</v>
      </c>
      <c r="K13">
        <f t="shared" si="0"/>
        <v>3.54395514720626</v>
      </c>
    </row>
    <row r="14" spans="1:11" ht="15">
      <c r="A14" s="3338">
        <v>12</v>
      </c>
      <c r="B14" s="3417">
        <v>314</v>
      </c>
      <c r="C14" s="3355">
        <v>155.13</v>
      </c>
      <c r="D14" s="3345" t="s">
        <v>3757</v>
      </c>
      <c r="E14" s="3346">
        <v>21000</v>
      </c>
      <c r="F14" s="3339" t="s">
        <v>3696</v>
      </c>
      <c r="G14" s="3342" t="s">
        <v>3733</v>
      </c>
      <c r="H14" s="3339" t="s">
        <v>3761</v>
      </c>
      <c r="I14" s="3356">
        <v>20000</v>
      </c>
      <c r="K14">
        <f t="shared" si="0"/>
        <v>4.2386014734438371</v>
      </c>
    </row>
    <row r="15" spans="1:11" ht="15">
      <c r="A15" s="3357">
        <v>13</v>
      </c>
      <c r="B15" s="3418">
        <v>315</v>
      </c>
      <c r="C15" s="3358">
        <v>111.52</v>
      </c>
      <c r="D15" s="3359" t="s">
        <v>3698</v>
      </c>
      <c r="E15" s="3360">
        <v>17500</v>
      </c>
      <c r="F15" s="3361" t="s">
        <v>3704</v>
      </c>
      <c r="G15" s="3362" t="s">
        <v>3699</v>
      </c>
      <c r="H15" s="3363" t="s">
        <v>3700</v>
      </c>
      <c r="I15" s="3364">
        <v>17500</v>
      </c>
      <c r="K15">
        <f t="shared" si="0"/>
        <v>5.1590967158664336</v>
      </c>
    </row>
    <row r="16" spans="1:11" ht="15">
      <c r="A16" s="3318">
        <v>14</v>
      </c>
      <c r="B16" s="3416">
        <v>316</v>
      </c>
      <c r="C16" s="3325">
        <v>100.84</v>
      </c>
      <c r="D16" s="3326" t="s">
        <v>3703</v>
      </c>
      <c r="E16" s="3327">
        <v>17500</v>
      </c>
      <c r="F16" s="3328" t="s">
        <v>3704</v>
      </c>
      <c r="G16" s="3329" t="s">
        <v>3769</v>
      </c>
      <c r="H16" s="3330" t="s">
        <v>3770</v>
      </c>
      <c r="I16" s="3351">
        <v>17500</v>
      </c>
      <c r="K16">
        <f t="shared" si="0"/>
        <v>5.7054984703830289</v>
      </c>
    </row>
    <row r="17" spans="1:11" ht="15">
      <c r="A17" s="3318">
        <v>15</v>
      </c>
      <c r="B17" s="3328">
        <v>411</v>
      </c>
      <c r="C17" s="3347">
        <v>158.19999999999999</v>
      </c>
      <c r="D17" s="3328" t="s">
        <v>3695</v>
      </c>
      <c r="E17" s="3348">
        <v>22000</v>
      </c>
      <c r="F17" s="3328" t="s">
        <v>3696</v>
      </c>
      <c r="G17" s="3349" t="s">
        <v>3771</v>
      </c>
      <c r="H17" s="3350" t="s">
        <v>3772</v>
      </c>
      <c r="I17" s="3351">
        <v>22000</v>
      </c>
      <c r="K17">
        <f t="shared" si="0"/>
        <v>4.5719827511559847</v>
      </c>
    </row>
    <row r="18" spans="1:11" ht="15">
      <c r="A18" s="3357">
        <v>16</v>
      </c>
      <c r="B18" s="3361">
        <v>412</v>
      </c>
      <c r="C18" s="3365">
        <v>154.30000000000001</v>
      </c>
      <c r="D18" s="3359" t="s">
        <v>3754</v>
      </c>
      <c r="E18" s="3366">
        <v>20000</v>
      </c>
      <c r="F18" s="3361" t="s">
        <v>3696</v>
      </c>
      <c r="G18" s="3367" t="s">
        <v>3701</v>
      </c>
      <c r="H18" s="3361" t="s">
        <v>3702</v>
      </c>
      <c r="I18" s="3368">
        <v>20000</v>
      </c>
      <c r="K18">
        <f t="shared" si="0"/>
        <v>4.2614014684079224</v>
      </c>
    </row>
    <row r="19" spans="1:11" ht="15">
      <c r="A19" s="3357">
        <v>17</v>
      </c>
      <c r="B19" s="3361">
        <v>413</v>
      </c>
      <c r="C19" s="3365">
        <v>176.26</v>
      </c>
      <c r="D19" s="3361" t="s">
        <v>3697</v>
      </c>
      <c r="E19" s="3369">
        <v>22000</v>
      </c>
      <c r="F19" s="3361" t="s">
        <v>3696</v>
      </c>
      <c r="G19" s="3367" t="s">
        <v>3701</v>
      </c>
      <c r="H19" s="3361" t="s">
        <v>3702</v>
      </c>
      <c r="I19" s="3368">
        <v>22000</v>
      </c>
      <c r="K19">
        <f t="shared" si="0"/>
        <v>4.1035270125546166</v>
      </c>
    </row>
    <row r="20" spans="1:11" ht="15">
      <c r="A20" s="3357">
        <v>18</v>
      </c>
      <c r="B20" s="3361">
        <v>414</v>
      </c>
      <c r="C20" s="3365">
        <v>155.13</v>
      </c>
      <c r="D20" s="3359" t="s">
        <v>3757</v>
      </c>
      <c r="E20" s="3360">
        <v>21000</v>
      </c>
      <c r="F20" s="3361" t="s">
        <v>3696</v>
      </c>
      <c r="G20" s="3367" t="s">
        <v>3701</v>
      </c>
      <c r="H20" s="3361" t="s">
        <v>3702</v>
      </c>
      <c r="I20" s="3368">
        <v>21000</v>
      </c>
      <c r="K20">
        <f t="shared" si="0"/>
        <v>4.4505315471160296</v>
      </c>
    </row>
    <row r="21" spans="1:11" ht="15">
      <c r="A21" s="3318">
        <v>19</v>
      </c>
      <c r="B21" s="3328">
        <v>415</v>
      </c>
      <c r="C21" s="3347">
        <v>111.52</v>
      </c>
      <c r="D21" s="3328" t="s">
        <v>3698</v>
      </c>
      <c r="E21" s="3348">
        <v>17500</v>
      </c>
      <c r="F21" s="3328" t="s">
        <v>3704</v>
      </c>
      <c r="G21" s="3349" t="s">
        <v>3773</v>
      </c>
      <c r="H21" s="3328" t="s">
        <v>3774</v>
      </c>
      <c r="I21" s="3354">
        <v>16000</v>
      </c>
      <c r="K21">
        <f t="shared" si="0"/>
        <v>4.7168884259350259</v>
      </c>
    </row>
    <row r="22" spans="1:11" ht="15">
      <c r="A22" s="3318">
        <v>20</v>
      </c>
      <c r="B22" s="3416">
        <v>416</v>
      </c>
      <c r="C22" s="3325">
        <v>100.84</v>
      </c>
      <c r="D22" s="3326" t="s">
        <v>3703</v>
      </c>
      <c r="E22" s="3327">
        <v>17500</v>
      </c>
      <c r="F22" s="3328" t="s">
        <v>3704</v>
      </c>
      <c r="G22" s="3370" t="s">
        <v>3775</v>
      </c>
      <c r="H22" s="3371" t="s">
        <v>3776</v>
      </c>
      <c r="I22" s="3351">
        <v>15800</v>
      </c>
      <c r="K22">
        <f t="shared" si="0"/>
        <v>5.1512500475458207</v>
      </c>
    </row>
    <row r="23" spans="1:11" ht="15">
      <c r="A23" s="3338">
        <v>21</v>
      </c>
      <c r="B23" s="3339">
        <v>511</v>
      </c>
      <c r="C23" s="3340">
        <v>158.19999999999999</v>
      </c>
      <c r="D23" s="3339" t="s">
        <v>3708</v>
      </c>
      <c r="E23" s="3341">
        <v>21000</v>
      </c>
      <c r="F23" s="3339" t="s">
        <v>3696</v>
      </c>
      <c r="G23" s="3342" t="s">
        <v>3777</v>
      </c>
      <c r="H23" s="3339" t="s">
        <v>3778</v>
      </c>
      <c r="I23" s="3343">
        <v>21000</v>
      </c>
      <c r="K23">
        <f t="shared" si="0"/>
        <v>4.3641653533761673</v>
      </c>
    </row>
    <row r="24" spans="1:11" ht="15">
      <c r="A24" s="3338">
        <v>22</v>
      </c>
      <c r="B24" s="3372">
        <v>512</v>
      </c>
      <c r="C24" s="3373">
        <v>154.30000000000001</v>
      </c>
      <c r="D24" s="3372" t="s">
        <v>3754</v>
      </c>
      <c r="E24" s="3374">
        <v>20000</v>
      </c>
      <c r="F24" s="3339" t="s">
        <v>3696</v>
      </c>
      <c r="G24" s="3375" t="s">
        <v>3779</v>
      </c>
      <c r="H24" s="3376" t="s">
        <v>3780</v>
      </c>
      <c r="I24" s="3377">
        <v>20000</v>
      </c>
      <c r="K24">
        <f t="shared" si="0"/>
        <v>4.2614014684079224</v>
      </c>
    </row>
    <row r="25" spans="1:11" ht="15">
      <c r="A25" s="3318">
        <v>23</v>
      </c>
      <c r="B25" s="3328">
        <v>513</v>
      </c>
      <c r="C25" s="3347">
        <v>176.26</v>
      </c>
      <c r="D25" s="3328" t="s">
        <v>3781</v>
      </c>
      <c r="E25" s="3348">
        <v>22000</v>
      </c>
      <c r="F25" s="3328" t="s">
        <v>3696</v>
      </c>
      <c r="G25" s="3349" t="s">
        <v>3782</v>
      </c>
      <c r="H25" s="3328" t="s">
        <v>3783</v>
      </c>
      <c r="I25" s="3354">
        <v>22000</v>
      </c>
      <c r="K25">
        <f t="shared" si="0"/>
        <v>4.1035270125546166</v>
      </c>
    </row>
    <row r="26" spans="1:11" ht="15">
      <c r="A26" s="3338">
        <v>24</v>
      </c>
      <c r="B26" s="3339">
        <v>514</v>
      </c>
      <c r="C26" s="3340">
        <v>155.13</v>
      </c>
      <c r="D26" s="3345" t="s">
        <v>3784</v>
      </c>
      <c r="E26" s="3346">
        <v>21000</v>
      </c>
      <c r="F26" s="3339" t="s">
        <v>3696</v>
      </c>
      <c r="G26" s="3375" t="s">
        <v>3785</v>
      </c>
      <c r="H26" s="3339" t="s">
        <v>3786</v>
      </c>
      <c r="I26" s="3343">
        <v>20000</v>
      </c>
      <c r="K26">
        <f t="shared" si="0"/>
        <v>4.2386014734438371</v>
      </c>
    </row>
    <row r="27" spans="1:11" ht="15">
      <c r="A27" s="3318">
        <v>25</v>
      </c>
      <c r="B27" s="3337">
        <v>515</v>
      </c>
      <c r="C27" s="3347">
        <v>111.52</v>
      </c>
      <c r="D27" s="3337" t="s">
        <v>3698</v>
      </c>
      <c r="E27" s="3332">
        <v>17500</v>
      </c>
      <c r="F27" s="3328" t="s">
        <v>3704</v>
      </c>
      <c r="G27" s="3378" t="s">
        <v>3787</v>
      </c>
      <c r="H27" s="3379" t="s">
        <v>3705</v>
      </c>
      <c r="I27" s="3351">
        <v>17000</v>
      </c>
      <c r="K27">
        <f t="shared" si="0"/>
        <v>5.0116939525559641</v>
      </c>
    </row>
    <row r="28" spans="1:11" ht="15">
      <c r="A28" s="3357">
        <v>26</v>
      </c>
      <c r="B28" s="3361">
        <v>516</v>
      </c>
      <c r="C28" s="3365">
        <v>100.84</v>
      </c>
      <c r="D28" s="3359" t="s">
        <v>3703</v>
      </c>
      <c r="E28" s="3360">
        <v>17500</v>
      </c>
      <c r="F28" s="3361" t="s">
        <v>3704</v>
      </c>
      <c r="G28" s="3380" t="s">
        <v>3788</v>
      </c>
      <c r="H28" s="3361" t="s">
        <v>3706</v>
      </c>
      <c r="I28" s="3368">
        <v>16000</v>
      </c>
      <c r="K28">
        <f t="shared" si="0"/>
        <v>5.2164557443501982</v>
      </c>
    </row>
    <row r="29" spans="1:11" ht="15">
      <c r="A29" s="3318">
        <v>27</v>
      </c>
      <c r="B29" s="3328">
        <v>611</v>
      </c>
      <c r="C29" s="3347">
        <v>158.19999999999999</v>
      </c>
      <c r="D29" s="3328" t="s">
        <v>3708</v>
      </c>
      <c r="E29" s="3348">
        <v>21000</v>
      </c>
      <c r="F29" s="3328" t="s">
        <v>3696</v>
      </c>
      <c r="G29" s="3349" t="s">
        <v>3789</v>
      </c>
      <c r="H29" s="3350" t="s">
        <v>3790</v>
      </c>
      <c r="I29" s="3351">
        <v>21000</v>
      </c>
      <c r="K29">
        <f t="shared" si="0"/>
        <v>4.3641653533761673</v>
      </c>
    </row>
    <row r="30" spans="1:11" ht="15">
      <c r="A30" s="3318">
        <v>28</v>
      </c>
      <c r="B30" s="3328">
        <v>612</v>
      </c>
      <c r="C30" s="3347">
        <v>154.30000000000001</v>
      </c>
      <c r="D30" s="3337" t="s">
        <v>3754</v>
      </c>
      <c r="E30" s="3332">
        <v>20000</v>
      </c>
      <c r="F30" s="3328" t="s">
        <v>3696</v>
      </c>
      <c r="G30" s="3349" t="s">
        <v>3791</v>
      </c>
      <c r="H30" s="3328" t="s">
        <v>3792</v>
      </c>
      <c r="I30" s="3354">
        <v>20000</v>
      </c>
      <c r="K30">
        <f t="shared" si="0"/>
        <v>4.2614014684079224</v>
      </c>
    </row>
    <row r="31" spans="1:11" ht="15">
      <c r="A31" s="3338">
        <v>29</v>
      </c>
      <c r="B31" s="3417">
        <v>613</v>
      </c>
      <c r="C31" s="3344">
        <v>176.26</v>
      </c>
      <c r="D31" s="3345" t="s">
        <v>3781</v>
      </c>
      <c r="E31" s="3346">
        <v>22000</v>
      </c>
      <c r="F31" s="3339" t="s">
        <v>3696</v>
      </c>
      <c r="G31" s="3381" t="s">
        <v>3793</v>
      </c>
      <c r="H31" s="3382" t="s">
        <v>3794</v>
      </c>
      <c r="I31" s="3377">
        <v>22000</v>
      </c>
      <c r="K31">
        <f t="shared" si="0"/>
        <v>4.1035270125546166</v>
      </c>
    </row>
    <row r="32" spans="1:11" ht="15">
      <c r="A32" s="3318">
        <v>30</v>
      </c>
      <c r="B32" s="3419">
        <v>614</v>
      </c>
      <c r="C32" s="3352">
        <v>155.13</v>
      </c>
      <c r="D32" s="3326" t="s">
        <v>3784</v>
      </c>
      <c r="E32" s="3327">
        <v>21000</v>
      </c>
      <c r="F32" s="3328" t="s">
        <v>3696</v>
      </c>
      <c r="G32" s="3370" t="s">
        <v>3795</v>
      </c>
      <c r="H32" s="3371" t="s">
        <v>3796</v>
      </c>
      <c r="I32" s="3351">
        <v>21000</v>
      </c>
      <c r="K32">
        <f t="shared" si="0"/>
        <v>4.4505315471160296</v>
      </c>
    </row>
    <row r="33" spans="1:11" ht="15">
      <c r="A33" s="3318">
        <v>31</v>
      </c>
      <c r="B33" s="3328">
        <v>615</v>
      </c>
      <c r="C33" s="3347">
        <v>111.52</v>
      </c>
      <c r="D33" s="3328" t="s">
        <v>3698</v>
      </c>
      <c r="E33" s="3348">
        <v>17500</v>
      </c>
      <c r="F33" s="3328" t="s">
        <v>3704</v>
      </c>
      <c r="G33" s="3349" t="s">
        <v>3797</v>
      </c>
      <c r="H33" s="3328" t="s">
        <v>3707</v>
      </c>
      <c r="I33" s="3354">
        <v>17000</v>
      </c>
      <c r="K33">
        <f t="shared" si="0"/>
        <v>5.0116939525559641</v>
      </c>
    </row>
    <row r="34" spans="1:11" ht="15">
      <c r="A34" s="3318">
        <v>32</v>
      </c>
      <c r="B34" s="3416">
        <v>616</v>
      </c>
      <c r="C34" s="3352">
        <v>100.84</v>
      </c>
      <c r="D34" s="3326" t="s">
        <v>3703</v>
      </c>
      <c r="E34" s="3327">
        <v>17500</v>
      </c>
      <c r="F34" s="3328" t="s">
        <v>3704</v>
      </c>
      <c r="G34" s="3370" t="s">
        <v>3798</v>
      </c>
      <c r="H34" s="3371" t="s">
        <v>3799</v>
      </c>
      <c r="I34" s="3351">
        <v>16500</v>
      </c>
      <c r="K34">
        <f t="shared" si="0"/>
        <v>5.3794699863611424</v>
      </c>
    </row>
    <row r="35" spans="1:11" ht="15">
      <c r="A35" s="3318">
        <v>33</v>
      </c>
      <c r="B35" s="3328">
        <v>711</v>
      </c>
      <c r="C35" s="3347">
        <v>158.19999999999999</v>
      </c>
      <c r="D35" s="3328" t="s">
        <v>3708</v>
      </c>
      <c r="E35" s="3348">
        <v>21000</v>
      </c>
      <c r="F35" s="3328" t="s">
        <v>3696</v>
      </c>
      <c r="G35" s="3383" t="s">
        <v>3800</v>
      </c>
      <c r="H35" s="3350" t="s">
        <v>3801</v>
      </c>
      <c r="I35" s="3351">
        <v>21000</v>
      </c>
      <c r="K35">
        <f t="shared" si="0"/>
        <v>4.3641653533761673</v>
      </c>
    </row>
    <row r="36" spans="1:11" ht="15">
      <c r="A36" s="3318">
        <v>34</v>
      </c>
      <c r="B36" s="3328">
        <v>712</v>
      </c>
      <c r="C36" s="3347">
        <v>154.30000000000001</v>
      </c>
      <c r="D36" s="3337" t="s">
        <v>3754</v>
      </c>
      <c r="E36" s="3332">
        <v>20000</v>
      </c>
      <c r="F36" s="3328" t="s">
        <v>3696</v>
      </c>
      <c r="G36" s="3349" t="s">
        <v>3802</v>
      </c>
      <c r="H36" s="3350" t="s">
        <v>3803</v>
      </c>
      <c r="I36" s="3351">
        <v>20000</v>
      </c>
      <c r="K36">
        <f t="shared" si="0"/>
        <v>4.2614014684079224</v>
      </c>
    </row>
    <row r="37" spans="1:11" ht="15">
      <c r="A37" s="3318">
        <v>35</v>
      </c>
      <c r="B37" s="3328">
        <v>713</v>
      </c>
      <c r="C37" s="3347">
        <v>194.67</v>
      </c>
      <c r="D37" s="3328" t="s">
        <v>3710</v>
      </c>
      <c r="E37" s="3348">
        <v>27000</v>
      </c>
      <c r="F37" s="3328" t="s">
        <v>3804</v>
      </c>
      <c r="G37" s="3349" t="s">
        <v>3805</v>
      </c>
      <c r="H37" s="3328" t="s">
        <v>3806</v>
      </c>
      <c r="I37" s="3354">
        <v>27000</v>
      </c>
      <c r="K37">
        <f t="shared" si="0"/>
        <v>4.5598768833241508</v>
      </c>
    </row>
    <row r="38" spans="1:11" ht="15">
      <c r="A38" s="3318">
        <v>36</v>
      </c>
      <c r="B38" s="3328">
        <v>714</v>
      </c>
      <c r="C38" s="3347">
        <v>135.66</v>
      </c>
      <c r="D38" s="3328" t="s">
        <v>3711</v>
      </c>
      <c r="E38" s="3348">
        <v>19000</v>
      </c>
      <c r="F38" s="3328" t="s">
        <v>3696</v>
      </c>
      <c r="G38" s="3349" t="s">
        <v>3805</v>
      </c>
      <c r="H38" s="3328" t="s">
        <v>3806</v>
      </c>
      <c r="I38" s="3354">
        <v>19000</v>
      </c>
      <c r="K38">
        <f t="shared" si="0"/>
        <v>4.6045815586508576</v>
      </c>
    </row>
    <row r="39" spans="1:11" ht="15">
      <c r="A39" s="3318">
        <v>37</v>
      </c>
      <c r="B39" s="3328">
        <v>715</v>
      </c>
      <c r="C39" s="3352">
        <v>147.19</v>
      </c>
      <c r="D39" s="3328" t="s">
        <v>3714</v>
      </c>
      <c r="E39" s="3348">
        <v>19500</v>
      </c>
      <c r="F39" s="3328" t="s">
        <v>3696</v>
      </c>
      <c r="G39" s="3349" t="s">
        <v>3709</v>
      </c>
      <c r="H39" s="3350" t="s">
        <v>3807</v>
      </c>
      <c r="I39" s="3351">
        <v>19500</v>
      </c>
      <c r="K39">
        <f t="shared" si="0"/>
        <v>4.3555668891294168</v>
      </c>
    </row>
    <row r="40" spans="1:11" ht="15">
      <c r="A40" s="3318">
        <v>38</v>
      </c>
      <c r="B40" s="3328">
        <v>811</v>
      </c>
      <c r="C40" s="3347">
        <v>158.19999999999999</v>
      </c>
      <c r="D40" s="3328" t="s">
        <v>3708</v>
      </c>
      <c r="E40" s="3348">
        <v>21000</v>
      </c>
      <c r="F40" s="3328" t="s">
        <v>3696</v>
      </c>
      <c r="G40" s="3349" t="s">
        <v>3808</v>
      </c>
      <c r="H40" s="3328" t="s">
        <v>3761</v>
      </c>
      <c r="I40" s="3354">
        <v>20000</v>
      </c>
      <c r="K40">
        <f t="shared" si="0"/>
        <v>4.156347955596349</v>
      </c>
    </row>
    <row r="41" spans="1:11" ht="15">
      <c r="A41" s="3318">
        <v>39</v>
      </c>
      <c r="B41" s="3328">
        <v>812</v>
      </c>
      <c r="C41" s="3347">
        <v>154.30000000000001</v>
      </c>
      <c r="D41" s="3337" t="s">
        <v>3754</v>
      </c>
      <c r="E41" s="3348">
        <v>20000</v>
      </c>
      <c r="F41" s="3328" t="s">
        <v>3696</v>
      </c>
      <c r="G41" s="3349" t="s">
        <v>3809</v>
      </c>
      <c r="H41" s="3328" t="s">
        <v>3810</v>
      </c>
      <c r="I41" s="3354">
        <v>18000</v>
      </c>
      <c r="K41">
        <f t="shared" si="0"/>
        <v>3.8352613215671303</v>
      </c>
    </row>
    <row r="42" spans="1:11" ht="15">
      <c r="A42" s="3318">
        <v>40</v>
      </c>
      <c r="B42" s="3328">
        <v>813</v>
      </c>
      <c r="C42" s="3347">
        <v>194.67</v>
      </c>
      <c r="D42" s="3328" t="s">
        <v>3710</v>
      </c>
      <c r="E42" s="3348">
        <v>27000</v>
      </c>
      <c r="F42" s="3328" t="s">
        <v>3804</v>
      </c>
      <c r="G42" s="3349" t="s">
        <v>3709</v>
      </c>
      <c r="H42" s="3328" t="s">
        <v>3761</v>
      </c>
      <c r="I42" s="3354">
        <v>25000</v>
      </c>
      <c r="K42">
        <f t="shared" si="0"/>
        <v>4.222108225300139</v>
      </c>
    </row>
    <row r="43" spans="1:11" ht="15">
      <c r="A43" s="3357">
        <v>42</v>
      </c>
      <c r="B43" s="3420">
        <v>814</v>
      </c>
      <c r="C43" s="3358">
        <v>135.66</v>
      </c>
      <c r="D43" s="3361" t="s">
        <v>3711</v>
      </c>
      <c r="E43" s="3369">
        <v>19000</v>
      </c>
      <c r="F43" s="3361" t="s">
        <v>3696</v>
      </c>
      <c r="G43" s="3367" t="s">
        <v>3712</v>
      </c>
      <c r="H43" s="3384" t="s">
        <v>3713</v>
      </c>
      <c r="I43" s="3364">
        <v>19000</v>
      </c>
      <c r="K43">
        <f t="shared" si="0"/>
        <v>4.6045815586508576</v>
      </c>
    </row>
    <row r="44" spans="1:11" ht="15">
      <c r="A44" s="3338">
        <v>43</v>
      </c>
      <c r="B44" s="3385">
        <v>815</v>
      </c>
      <c r="C44" s="3386">
        <v>147.19</v>
      </c>
      <c r="D44" s="3385" t="s">
        <v>3714</v>
      </c>
      <c r="E44" s="3387">
        <v>19500</v>
      </c>
      <c r="F44" s="3385" t="s">
        <v>3696</v>
      </c>
      <c r="G44" s="3342" t="s">
        <v>3811</v>
      </c>
      <c r="H44" s="3388" t="s">
        <v>3812</v>
      </c>
      <c r="I44" s="3377">
        <v>19000</v>
      </c>
      <c r="K44">
        <f t="shared" si="0"/>
        <v>4.2438856868440471</v>
      </c>
    </row>
    <row r="45" spans="1:11" ht="15">
      <c r="A45" s="3357">
        <v>44</v>
      </c>
      <c r="B45" s="3361">
        <v>911</v>
      </c>
      <c r="C45" s="3365">
        <v>158.19999999999999</v>
      </c>
      <c r="D45" s="3361" t="s">
        <v>3695</v>
      </c>
      <c r="E45" s="3369">
        <v>22000</v>
      </c>
      <c r="F45" s="3361" t="s">
        <v>3696</v>
      </c>
      <c r="G45" s="3380" t="s">
        <v>3715</v>
      </c>
      <c r="H45" s="3361" t="s">
        <v>3716</v>
      </c>
      <c r="I45" s="3368">
        <v>21500</v>
      </c>
      <c r="K45">
        <f t="shared" si="0"/>
        <v>4.4680740522660765</v>
      </c>
    </row>
    <row r="46" spans="1:11" ht="15">
      <c r="A46" s="3318">
        <v>45</v>
      </c>
      <c r="B46" s="3328">
        <v>912</v>
      </c>
      <c r="C46" s="3347">
        <v>154.30000000000001</v>
      </c>
      <c r="D46" s="3337" t="s">
        <v>3754</v>
      </c>
      <c r="E46" s="3348">
        <v>20000</v>
      </c>
      <c r="F46" s="3328" t="s">
        <v>3696</v>
      </c>
      <c r="G46" s="3349" t="s">
        <v>3813</v>
      </c>
      <c r="H46" s="3328" t="s">
        <v>3814</v>
      </c>
      <c r="I46" s="3354">
        <v>20000</v>
      </c>
      <c r="K46">
        <f t="shared" si="0"/>
        <v>4.2614014684079224</v>
      </c>
    </row>
    <row r="47" spans="1:11" ht="15">
      <c r="A47" s="3318">
        <v>46</v>
      </c>
      <c r="B47" s="3328">
        <v>913</v>
      </c>
      <c r="C47" s="3347">
        <v>194.67</v>
      </c>
      <c r="D47" s="3328" t="s">
        <v>3710</v>
      </c>
      <c r="E47" s="3348">
        <v>27000</v>
      </c>
      <c r="F47" s="3328" t="s">
        <v>3804</v>
      </c>
      <c r="G47" s="3349" t="s">
        <v>3815</v>
      </c>
      <c r="H47" s="3328" t="s">
        <v>3816</v>
      </c>
      <c r="I47" s="3354">
        <v>25000</v>
      </c>
      <c r="K47">
        <f t="shared" si="0"/>
        <v>4.222108225300139</v>
      </c>
    </row>
    <row r="48" spans="1:11" ht="15">
      <c r="A48" s="3338">
        <v>47</v>
      </c>
      <c r="B48" s="3339">
        <v>914</v>
      </c>
      <c r="C48" s="3340">
        <v>135.66</v>
      </c>
      <c r="D48" s="3339" t="s">
        <v>3711</v>
      </c>
      <c r="E48" s="3341">
        <v>19000</v>
      </c>
      <c r="F48" s="3339" t="s">
        <v>3696</v>
      </c>
      <c r="G48" s="3375" t="s">
        <v>3817</v>
      </c>
      <c r="H48" s="3339" t="s">
        <v>3818</v>
      </c>
      <c r="I48" s="3343">
        <v>19000</v>
      </c>
      <c r="K48">
        <f t="shared" si="0"/>
        <v>4.6045815586508576</v>
      </c>
    </row>
    <row r="49" spans="1:11" ht="15">
      <c r="A49" s="3318">
        <v>48</v>
      </c>
      <c r="B49" s="3328">
        <v>915</v>
      </c>
      <c r="C49" s="3347">
        <v>147.19</v>
      </c>
      <c r="D49" s="3328" t="s">
        <v>3714</v>
      </c>
      <c r="E49" s="3348">
        <v>19500</v>
      </c>
      <c r="F49" s="3328" t="s">
        <v>3696</v>
      </c>
      <c r="G49" s="3349" t="s">
        <v>3819</v>
      </c>
      <c r="H49" s="3328" t="s">
        <v>3820</v>
      </c>
      <c r="I49" s="3354">
        <v>18000</v>
      </c>
      <c r="K49">
        <f t="shared" si="0"/>
        <v>4.0205232822733086</v>
      </c>
    </row>
    <row r="50" spans="1:11" ht="15">
      <c r="A50" s="3318">
        <v>49</v>
      </c>
      <c r="B50" s="3328">
        <v>1011</v>
      </c>
      <c r="C50" s="3347">
        <v>158.19999999999999</v>
      </c>
      <c r="D50" s="3328" t="s">
        <v>3695</v>
      </c>
      <c r="E50" s="3348">
        <v>22000</v>
      </c>
      <c r="F50" s="3328" t="s">
        <v>3696</v>
      </c>
      <c r="G50" s="3349" t="s">
        <v>3821</v>
      </c>
      <c r="H50" s="3328" t="s">
        <v>3822</v>
      </c>
      <c r="I50" s="3354">
        <v>21500</v>
      </c>
      <c r="K50">
        <f t="shared" si="0"/>
        <v>4.4680740522660765</v>
      </c>
    </row>
    <row r="51" spans="1:11" ht="15">
      <c r="A51" s="3318">
        <v>50</v>
      </c>
      <c r="B51" s="3328">
        <v>1012</v>
      </c>
      <c r="C51" s="3347">
        <v>154.30000000000001</v>
      </c>
      <c r="D51" s="3337" t="s">
        <v>3754</v>
      </c>
      <c r="E51" s="3348">
        <v>20000</v>
      </c>
      <c r="F51" s="3328" t="s">
        <v>3696</v>
      </c>
      <c r="G51" s="3349" t="s">
        <v>3823</v>
      </c>
      <c r="H51" s="3328" t="s">
        <v>3814</v>
      </c>
      <c r="I51" s="3354">
        <v>20000</v>
      </c>
      <c r="K51">
        <f t="shared" si="0"/>
        <v>4.2614014684079224</v>
      </c>
    </row>
    <row r="52" spans="1:11" ht="15">
      <c r="A52" s="3318">
        <v>51</v>
      </c>
      <c r="B52" s="3328">
        <v>1013</v>
      </c>
      <c r="C52" s="3347">
        <v>194.67</v>
      </c>
      <c r="D52" s="3328" t="s">
        <v>3710</v>
      </c>
      <c r="E52" s="3348">
        <v>27000</v>
      </c>
      <c r="F52" s="3328" t="s">
        <v>3804</v>
      </c>
      <c r="G52" s="3349" t="s">
        <v>3824</v>
      </c>
      <c r="H52" s="3328" t="s">
        <v>3786</v>
      </c>
      <c r="I52" s="3354">
        <v>25000</v>
      </c>
      <c r="K52">
        <f t="shared" si="0"/>
        <v>4.222108225300139</v>
      </c>
    </row>
    <row r="53" spans="1:11" ht="15">
      <c r="A53" s="3357">
        <v>52</v>
      </c>
      <c r="B53" s="3361">
        <v>1014</v>
      </c>
      <c r="C53" s="3365">
        <v>135.66</v>
      </c>
      <c r="D53" s="3361" t="s">
        <v>3711</v>
      </c>
      <c r="E53" s="3369">
        <v>19000</v>
      </c>
      <c r="F53" s="3361" t="s">
        <v>3696</v>
      </c>
      <c r="G53" s="3380" t="s">
        <v>3717</v>
      </c>
      <c r="H53" s="3361" t="s">
        <v>3718</v>
      </c>
      <c r="I53" s="3368">
        <v>19000</v>
      </c>
      <c r="K53">
        <f t="shared" si="0"/>
        <v>4.6045815586508576</v>
      </c>
    </row>
    <row r="54" spans="1:11" ht="15">
      <c r="A54" s="3318">
        <v>53</v>
      </c>
      <c r="B54" s="3328">
        <v>1015</v>
      </c>
      <c r="C54" s="3347">
        <v>147.19</v>
      </c>
      <c r="D54" s="3328" t="s">
        <v>3714</v>
      </c>
      <c r="E54" s="3348">
        <v>19500</v>
      </c>
      <c r="F54" s="3328" t="s">
        <v>3696</v>
      </c>
      <c r="G54" s="3349" t="s">
        <v>3719</v>
      </c>
      <c r="H54" s="3328" t="s">
        <v>3825</v>
      </c>
      <c r="I54" s="3354">
        <v>17500</v>
      </c>
      <c r="K54">
        <f t="shared" si="0"/>
        <v>3.9088420799879384</v>
      </c>
    </row>
    <row r="55" spans="1:11" ht="15">
      <c r="A55" s="3318">
        <v>54</v>
      </c>
      <c r="B55" s="3416">
        <v>1111</v>
      </c>
      <c r="C55" s="3336">
        <v>158.19999999999999</v>
      </c>
      <c r="D55" s="3326" t="s">
        <v>3695</v>
      </c>
      <c r="E55" s="3327">
        <v>22000</v>
      </c>
      <c r="F55" s="3328" t="s">
        <v>3696</v>
      </c>
      <c r="G55" s="3349" t="s">
        <v>3709</v>
      </c>
      <c r="H55" s="3371" t="s">
        <v>3826</v>
      </c>
      <c r="I55" s="3351">
        <v>22000</v>
      </c>
      <c r="K55">
        <f t="shared" si="0"/>
        <v>4.5719827511559847</v>
      </c>
    </row>
    <row r="56" spans="1:11" ht="15">
      <c r="A56" s="3357">
        <v>55</v>
      </c>
      <c r="B56" s="3361">
        <v>1112</v>
      </c>
      <c r="C56" s="3365">
        <v>154.30000000000001</v>
      </c>
      <c r="D56" s="3389" t="s">
        <v>3754</v>
      </c>
      <c r="E56" s="3369">
        <v>20000</v>
      </c>
      <c r="F56" s="3361" t="s">
        <v>3696</v>
      </c>
      <c r="G56" s="3390" t="s">
        <v>3720</v>
      </c>
      <c r="H56" s="3391" t="s">
        <v>3721</v>
      </c>
      <c r="I56" s="3368">
        <v>19500</v>
      </c>
      <c r="K56">
        <f t="shared" si="0"/>
        <v>4.154866431697724</v>
      </c>
    </row>
    <row r="57" spans="1:11" ht="15">
      <c r="A57" s="3318">
        <v>56</v>
      </c>
      <c r="B57" s="3392">
        <v>1113</v>
      </c>
      <c r="C57" s="3393">
        <v>194.67</v>
      </c>
      <c r="D57" s="3328" t="s">
        <v>3710</v>
      </c>
      <c r="E57" s="3348">
        <v>27000</v>
      </c>
      <c r="F57" s="3392" t="s">
        <v>3804</v>
      </c>
      <c r="G57" s="3394" t="s">
        <v>3824</v>
      </c>
      <c r="H57" s="3392" t="s">
        <v>3827</v>
      </c>
      <c r="I57" s="3395">
        <v>22000</v>
      </c>
      <c r="K57">
        <f t="shared" si="0"/>
        <v>3.7154552382641226</v>
      </c>
    </row>
    <row r="58" spans="1:11" ht="15">
      <c r="A58" s="3338">
        <v>57</v>
      </c>
      <c r="B58" s="3417">
        <v>1114</v>
      </c>
      <c r="C58" s="3355">
        <v>135.66</v>
      </c>
      <c r="D58" s="3339" t="s">
        <v>3711</v>
      </c>
      <c r="E58" s="3341">
        <v>19000</v>
      </c>
      <c r="F58" s="3339" t="s">
        <v>3696</v>
      </c>
      <c r="G58" s="3342" t="s">
        <v>3828</v>
      </c>
      <c r="H58" s="3382" t="s">
        <v>3826</v>
      </c>
      <c r="I58" s="3377">
        <v>19000</v>
      </c>
      <c r="K58">
        <f t="shared" si="0"/>
        <v>4.6045815586508576</v>
      </c>
    </row>
    <row r="59" spans="1:11" ht="15">
      <c r="A59" s="3318">
        <v>58</v>
      </c>
      <c r="B59" s="3416">
        <v>1115</v>
      </c>
      <c r="C59" s="3336">
        <v>147.19</v>
      </c>
      <c r="D59" s="3326" t="s">
        <v>3714</v>
      </c>
      <c r="E59" s="3327">
        <v>19500</v>
      </c>
      <c r="F59" s="3328" t="s">
        <v>3696</v>
      </c>
      <c r="G59" s="3370" t="s">
        <v>3829</v>
      </c>
      <c r="H59" s="3371" t="s">
        <v>3794</v>
      </c>
      <c r="I59" s="3351">
        <v>19000</v>
      </c>
      <c r="K59">
        <f t="shared" si="0"/>
        <v>4.2438856868440471</v>
      </c>
    </row>
    <row r="60" spans="1:11" ht="15">
      <c r="A60" s="3318">
        <v>59</v>
      </c>
      <c r="B60" s="3416">
        <v>1211</v>
      </c>
      <c r="C60" s="3336">
        <v>158.19999999999999</v>
      </c>
      <c r="D60" s="3326" t="s">
        <v>3695</v>
      </c>
      <c r="E60" s="3327">
        <v>22000</v>
      </c>
      <c r="F60" s="3328" t="s">
        <v>3696</v>
      </c>
      <c r="G60" s="3349" t="s">
        <v>3808</v>
      </c>
      <c r="H60" s="3371" t="s">
        <v>3826</v>
      </c>
      <c r="I60" s="3351">
        <v>22000</v>
      </c>
      <c r="K60">
        <f t="shared" si="0"/>
        <v>4.5719827511559847</v>
      </c>
    </row>
    <row r="61" spans="1:11" ht="15">
      <c r="A61" s="3357">
        <v>60</v>
      </c>
      <c r="B61" s="3361">
        <v>1212</v>
      </c>
      <c r="C61" s="3365">
        <v>154.30000000000001</v>
      </c>
      <c r="D61" s="3389" t="s">
        <v>3754</v>
      </c>
      <c r="E61" s="3366">
        <v>20000</v>
      </c>
      <c r="F61" s="3361" t="s">
        <v>3696</v>
      </c>
      <c r="G61" s="3362" t="s">
        <v>3722</v>
      </c>
      <c r="H61" s="3396" t="s">
        <v>3723</v>
      </c>
      <c r="I61" s="3364">
        <v>19000</v>
      </c>
      <c r="K61">
        <f t="shared" si="0"/>
        <v>4.0483313949875264</v>
      </c>
    </row>
    <row r="62" spans="1:11" ht="15">
      <c r="A62" s="3338">
        <v>61</v>
      </c>
      <c r="B62" s="3417">
        <v>1213</v>
      </c>
      <c r="C62" s="3344">
        <v>194.67</v>
      </c>
      <c r="D62" s="3339" t="s">
        <v>3710</v>
      </c>
      <c r="E62" s="3341">
        <v>27000</v>
      </c>
      <c r="F62" s="3339" t="s">
        <v>3804</v>
      </c>
      <c r="G62" s="3342" t="s">
        <v>3830</v>
      </c>
      <c r="H62" s="3382" t="s">
        <v>3761</v>
      </c>
      <c r="I62" s="3377">
        <v>27000</v>
      </c>
      <c r="K62">
        <f t="shared" si="0"/>
        <v>4.5598768833241508</v>
      </c>
    </row>
    <row r="63" spans="1:11" ht="15">
      <c r="A63" s="3357">
        <v>62</v>
      </c>
      <c r="B63" s="3361">
        <v>1214</v>
      </c>
      <c r="C63" s="3365">
        <v>135.66</v>
      </c>
      <c r="D63" s="3361" t="s">
        <v>3711</v>
      </c>
      <c r="E63" s="3369">
        <v>19000</v>
      </c>
      <c r="F63" s="3361" t="s">
        <v>3696</v>
      </c>
      <c r="G63" s="3397" t="s">
        <v>3724</v>
      </c>
      <c r="H63" s="3361" t="s">
        <v>3725</v>
      </c>
      <c r="I63" s="3368">
        <v>19000</v>
      </c>
      <c r="K63">
        <f t="shared" si="0"/>
        <v>4.6045815586508576</v>
      </c>
    </row>
    <row r="64" spans="1:11" ht="15">
      <c r="A64" s="3338">
        <v>63</v>
      </c>
      <c r="B64" s="3339">
        <v>1215</v>
      </c>
      <c r="C64" s="3340">
        <v>147.19</v>
      </c>
      <c r="D64" s="3339" t="s">
        <v>3714</v>
      </c>
      <c r="E64" s="3341">
        <v>19500</v>
      </c>
      <c r="F64" s="3339" t="s">
        <v>3696</v>
      </c>
      <c r="G64" s="3398" t="s">
        <v>3831</v>
      </c>
      <c r="H64" s="3339" t="s">
        <v>3826</v>
      </c>
      <c r="I64" s="3343">
        <v>19000</v>
      </c>
      <c r="K64">
        <f t="shared" si="0"/>
        <v>4.2438856868440471</v>
      </c>
    </row>
    <row r="65" spans="1:11" ht="15">
      <c r="A65" s="3357">
        <v>64</v>
      </c>
      <c r="B65" s="3361">
        <v>1311</v>
      </c>
      <c r="C65" s="3365">
        <v>158.19999999999999</v>
      </c>
      <c r="D65" s="3361" t="s">
        <v>3695</v>
      </c>
      <c r="E65" s="3369">
        <v>22000</v>
      </c>
      <c r="F65" s="3361" t="s">
        <v>3696</v>
      </c>
      <c r="G65" s="3397" t="s">
        <v>3726</v>
      </c>
      <c r="H65" s="3361" t="s">
        <v>3727</v>
      </c>
      <c r="I65" s="3368">
        <v>22000</v>
      </c>
      <c r="K65">
        <f t="shared" si="0"/>
        <v>4.5719827511559847</v>
      </c>
    </row>
    <row r="66" spans="1:11" ht="15">
      <c r="A66" s="3318">
        <v>65</v>
      </c>
      <c r="B66" s="3328">
        <v>1312</v>
      </c>
      <c r="C66" s="3336">
        <v>154.30000000000001</v>
      </c>
      <c r="D66" s="3337" t="s">
        <v>3754</v>
      </c>
      <c r="E66" s="3332">
        <v>20000</v>
      </c>
      <c r="F66" s="3328" t="s">
        <v>3696</v>
      </c>
      <c r="G66" s="3349" t="s">
        <v>3832</v>
      </c>
      <c r="H66" s="3350" t="s">
        <v>3833</v>
      </c>
      <c r="I66" s="3351">
        <v>17500</v>
      </c>
      <c r="K66">
        <f t="shared" si="0"/>
        <v>3.7287262848569322</v>
      </c>
    </row>
    <row r="67" spans="1:11" ht="15">
      <c r="A67" s="3318">
        <v>66</v>
      </c>
      <c r="B67" s="3328">
        <v>1313</v>
      </c>
      <c r="C67" s="3347">
        <v>194.67</v>
      </c>
      <c r="D67" s="3328" t="s">
        <v>3710</v>
      </c>
      <c r="E67" s="3348">
        <v>27000</v>
      </c>
      <c r="F67" s="3328" t="s">
        <v>3804</v>
      </c>
      <c r="G67" s="3349" t="s">
        <v>3834</v>
      </c>
      <c r="H67" s="3328" t="s">
        <v>3835</v>
      </c>
      <c r="I67" s="3354">
        <v>25000</v>
      </c>
      <c r="K67">
        <f t="shared" si="0"/>
        <v>4.222108225300139</v>
      </c>
    </row>
    <row r="68" spans="1:11" ht="15">
      <c r="A68" s="3357">
        <v>67</v>
      </c>
      <c r="B68" s="3361">
        <v>1314</v>
      </c>
      <c r="C68" s="3365">
        <v>135.66</v>
      </c>
      <c r="D68" s="3361" t="s">
        <v>3711</v>
      </c>
      <c r="E68" s="3369">
        <v>19000</v>
      </c>
      <c r="F68" s="3361" t="s">
        <v>3696</v>
      </c>
      <c r="G68" s="3367" t="s">
        <v>3728</v>
      </c>
      <c r="H68" s="3361" t="s">
        <v>3729</v>
      </c>
      <c r="I68" s="3368">
        <v>19000</v>
      </c>
      <c r="K68">
        <f t="shared" si="0"/>
        <v>4.6045815586508576</v>
      </c>
    </row>
    <row r="69" spans="1:11" ht="15">
      <c r="A69" s="3318">
        <v>68</v>
      </c>
      <c r="B69" s="3328">
        <v>1315</v>
      </c>
      <c r="C69" s="3347">
        <v>147.19</v>
      </c>
      <c r="D69" s="3328" t="s">
        <v>3714</v>
      </c>
      <c r="E69" s="3348">
        <v>19500</v>
      </c>
      <c r="F69" s="3328" t="s">
        <v>3696</v>
      </c>
      <c r="G69" s="3349" t="s">
        <v>3836</v>
      </c>
      <c r="H69" s="3328" t="s">
        <v>3837</v>
      </c>
      <c r="I69" s="3354">
        <v>19500</v>
      </c>
      <c r="K69">
        <f t="shared" si="0"/>
        <v>4.3555668891294168</v>
      </c>
    </row>
    <row r="70" spans="1:11" ht="15">
      <c r="A70" s="3338">
        <v>69</v>
      </c>
      <c r="B70" s="3339">
        <v>1411</v>
      </c>
      <c r="C70" s="3340">
        <v>158.19999999999999</v>
      </c>
      <c r="D70" s="3339" t="s">
        <v>3695</v>
      </c>
      <c r="E70" s="3341">
        <v>22000</v>
      </c>
      <c r="F70" s="3339" t="s">
        <v>3696</v>
      </c>
      <c r="G70" s="3375" t="s">
        <v>3838</v>
      </c>
      <c r="H70" s="3339" t="s">
        <v>3814</v>
      </c>
      <c r="I70" s="3343">
        <v>22000</v>
      </c>
      <c r="K70">
        <f t="shared" si="0"/>
        <v>4.5719827511559847</v>
      </c>
    </row>
    <row r="71" spans="1:11" ht="15">
      <c r="A71" s="3318">
        <v>70</v>
      </c>
      <c r="B71" s="3328">
        <v>1412</v>
      </c>
      <c r="C71" s="3347">
        <v>154.30000000000001</v>
      </c>
      <c r="D71" s="3337" t="s">
        <v>3754</v>
      </c>
      <c r="E71" s="3332">
        <v>20000</v>
      </c>
      <c r="F71" s="3328" t="s">
        <v>3696</v>
      </c>
      <c r="G71" s="3349" t="s">
        <v>3839</v>
      </c>
      <c r="H71" s="3328" t="s">
        <v>3840</v>
      </c>
      <c r="I71" s="3354">
        <v>20000</v>
      </c>
      <c r="K71">
        <f t="shared" si="0"/>
        <v>4.2614014684079224</v>
      </c>
    </row>
    <row r="72" spans="1:11" ht="15">
      <c r="A72" s="3318">
        <v>71</v>
      </c>
      <c r="B72" s="3416">
        <v>1413</v>
      </c>
      <c r="C72" s="3352">
        <v>194.67</v>
      </c>
      <c r="D72" s="3328" t="s">
        <v>3710</v>
      </c>
      <c r="E72" s="3348">
        <v>27000</v>
      </c>
      <c r="F72" s="3328" t="s">
        <v>3804</v>
      </c>
      <c r="G72" s="3399" t="s">
        <v>3730</v>
      </c>
      <c r="H72" s="3371" t="s">
        <v>3841</v>
      </c>
      <c r="I72" s="3351">
        <v>27000</v>
      </c>
      <c r="K72">
        <f t="shared" ref="K72:K92" si="1">I72*12/365/C72</f>
        <v>4.5598768833241508</v>
      </c>
    </row>
    <row r="73" spans="1:11" ht="15">
      <c r="A73" s="3357">
        <v>72</v>
      </c>
      <c r="B73" s="3421">
        <v>1414</v>
      </c>
      <c r="C73" s="3400">
        <v>135.66</v>
      </c>
      <c r="D73" s="3361" t="s">
        <v>3711</v>
      </c>
      <c r="E73" s="3369">
        <v>19000</v>
      </c>
      <c r="F73" s="3361" t="s">
        <v>3696</v>
      </c>
      <c r="G73" s="3362" t="s">
        <v>3731</v>
      </c>
      <c r="H73" s="3401" t="s">
        <v>3732</v>
      </c>
      <c r="I73" s="3368">
        <v>19000</v>
      </c>
      <c r="K73">
        <f t="shared" si="1"/>
        <v>4.6045815586508576</v>
      </c>
    </row>
    <row r="74" spans="1:11" ht="15">
      <c r="A74" s="3318">
        <v>73</v>
      </c>
      <c r="B74" s="3328">
        <v>1415</v>
      </c>
      <c r="C74" s="3347">
        <v>147.19</v>
      </c>
      <c r="D74" s="3328" t="s">
        <v>3714</v>
      </c>
      <c r="E74" s="3348">
        <v>19500</v>
      </c>
      <c r="F74" s="3328" t="s">
        <v>3696</v>
      </c>
      <c r="G74" s="3329" t="s">
        <v>3730</v>
      </c>
      <c r="H74" s="3328" t="s">
        <v>3841</v>
      </c>
      <c r="I74" s="3354">
        <v>19500</v>
      </c>
      <c r="K74">
        <f t="shared" si="1"/>
        <v>4.3555668891294168</v>
      </c>
    </row>
    <row r="75" spans="1:11" ht="15">
      <c r="A75" s="3318">
        <v>74</v>
      </c>
      <c r="B75" s="3328">
        <v>1511</v>
      </c>
      <c r="C75" s="3347">
        <v>158.19999999999999</v>
      </c>
      <c r="D75" s="3328" t="s">
        <v>3695</v>
      </c>
      <c r="E75" s="3348">
        <v>22000</v>
      </c>
      <c r="F75" s="3328" t="s">
        <v>3696</v>
      </c>
      <c r="G75" s="3349" t="s">
        <v>3842</v>
      </c>
      <c r="H75" s="3328" t="s">
        <v>3841</v>
      </c>
      <c r="I75" s="3354">
        <v>22000</v>
      </c>
      <c r="K75">
        <f t="shared" si="1"/>
        <v>4.5719827511559847</v>
      </c>
    </row>
    <row r="76" spans="1:11" ht="15">
      <c r="A76" s="3318">
        <v>75</v>
      </c>
      <c r="B76" s="3328">
        <v>1512</v>
      </c>
      <c r="C76" s="3347">
        <v>154.30000000000001</v>
      </c>
      <c r="D76" s="3337" t="s">
        <v>3754</v>
      </c>
      <c r="E76" s="3332">
        <v>20000</v>
      </c>
      <c r="F76" s="3328" t="s">
        <v>3696</v>
      </c>
      <c r="G76" s="3349" t="s">
        <v>3843</v>
      </c>
      <c r="H76" s="3328" t="s">
        <v>3844</v>
      </c>
      <c r="I76" s="3354">
        <v>20000</v>
      </c>
      <c r="K76">
        <f t="shared" si="1"/>
        <v>4.2614014684079224</v>
      </c>
    </row>
    <row r="77" spans="1:11" ht="15">
      <c r="A77" s="3318">
        <v>76</v>
      </c>
      <c r="B77" s="3328">
        <v>1513</v>
      </c>
      <c r="C77" s="3347">
        <v>194.67</v>
      </c>
      <c r="D77" s="3328" t="s">
        <v>3710</v>
      </c>
      <c r="E77" s="3348">
        <v>27000</v>
      </c>
      <c r="F77" s="3328" t="s">
        <v>3804</v>
      </c>
      <c r="G77" s="3349" t="s">
        <v>3845</v>
      </c>
      <c r="H77" s="3328" t="s">
        <v>3846</v>
      </c>
      <c r="I77" s="3354">
        <v>25000</v>
      </c>
      <c r="K77">
        <f t="shared" si="1"/>
        <v>4.222108225300139</v>
      </c>
    </row>
    <row r="78" spans="1:11" ht="15">
      <c r="A78" s="3318">
        <v>77</v>
      </c>
      <c r="B78" s="3422">
        <v>1514</v>
      </c>
      <c r="C78" s="3402">
        <v>135.66</v>
      </c>
      <c r="D78" s="3328" t="s">
        <v>3711</v>
      </c>
      <c r="E78" s="3348">
        <v>19000</v>
      </c>
      <c r="F78" s="3328" t="s">
        <v>3696</v>
      </c>
      <c r="G78" s="3329" t="s">
        <v>3733</v>
      </c>
      <c r="H78" s="3403" t="s">
        <v>3847</v>
      </c>
      <c r="I78" s="3354">
        <v>19000</v>
      </c>
      <c r="K78">
        <f t="shared" si="1"/>
        <v>4.6045815586508576</v>
      </c>
    </row>
    <row r="79" spans="1:11" ht="15">
      <c r="A79" s="3318">
        <v>78</v>
      </c>
      <c r="B79" s="3416">
        <v>1515</v>
      </c>
      <c r="C79" s="3352">
        <v>147.19</v>
      </c>
      <c r="D79" s="3326" t="s">
        <v>3714</v>
      </c>
      <c r="E79" s="3327">
        <v>19500</v>
      </c>
      <c r="F79" s="3328" t="s">
        <v>3696</v>
      </c>
      <c r="G79" s="3329" t="s">
        <v>3848</v>
      </c>
      <c r="H79" s="3403" t="s">
        <v>3734</v>
      </c>
      <c r="I79" s="3351">
        <v>16500</v>
      </c>
      <c r="K79">
        <f t="shared" si="1"/>
        <v>3.6854796754171995</v>
      </c>
    </row>
    <row r="80" spans="1:11" ht="15">
      <c r="A80" s="3318">
        <v>79</v>
      </c>
      <c r="B80" s="3328">
        <v>1611</v>
      </c>
      <c r="C80" s="3347">
        <v>158.19999999999999</v>
      </c>
      <c r="D80" s="3328" t="s">
        <v>3695</v>
      </c>
      <c r="E80" s="3348">
        <v>22000</v>
      </c>
      <c r="F80" s="3328" t="s">
        <v>3696</v>
      </c>
      <c r="G80" s="3349" t="s">
        <v>3849</v>
      </c>
      <c r="H80" s="3328" t="s">
        <v>3814</v>
      </c>
      <c r="I80" s="3354">
        <v>22000</v>
      </c>
      <c r="K80">
        <f t="shared" si="1"/>
        <v>4.5719827511559847</v>
      </c>
    </row>
    <row r="81" spans="1:11" ht="15">
      <c r="A81" s="3318">
        <v>80</v>
      </c>
      <c r="B81" s="3328">
        <v>1612</v>
      </c>
      <c r="C81" s="3347">
        <v>154.30000000000001</v>
      </c>
      <c r="D81" s="3337" t="s">
        <v>3754</v>
      </c>
      <c r="E81" s="3332">
        <v>20000</v>
      </c>
      <c r="F81" s="3328" t="s">
        <v>3696</v>
      </c>
      <c r="G81" s="3404" t="s">
        <v>3850</v>
      </c>
      <c r="H81" s="3328" t="s">
        <v>3851</v>
      </c>
      <c r="I81" s="3405">
        <v>18000</v>
      </c>
      <c r="K81">
        <f t="shared" si="1"/>
        <v>3.8352613215671303</v>
      </c>
    </row>
    <row r="82" spans="1:11" ht="15">
      <c r="A82" s="3318">
        <v>81</v>
      </c>
      <c r="B82" s="3328">
        <v>1613</v>
      </c>
      <c r="C82" s="3347">
        <v>194.67</v>
      </c>
      <c r="D82" s="3328" t="s">
        <v>3710</v>
      </c>
      <c r="E82" s="3348">
        <v>27000</v>
      </c>
      <c r="F82" s="3328" t="s">
        <v>3804</v>
      </c>
      <c r="G82" s="3404" t="s">
        <v>3850</v>
      </c>
      <c r="H82" s="3328" t="s">
        <v>3852</v>
      </c>
      <c r="I82" s="3405">
        <v>25000</v>
      </c>
      <c r="K82">
        <f t="shared" si="1"/>
        <v>4.222108225300139</v>
      </c>
    </row>
    <row r="83" spans="1:11" ht="15">
      <c r="A83" s="3318">
        <v>82</v>
      </c>
      <c r="B83" s="3416">
        <v>1614</v>
      </c>
      <c r="C83" s="3352">
        <v>135.66</v>
      </c>
      <c r="D83" s="3328" t="s">
        <v>3711</v>
      </c>
      <c r="E83" s="3348">
        <v>19000</v>
      </c>
      <c r="F83" s="3328" t="s">
        <v>3696</v>
      </c>
      <c r="G83" s="3399" t="s">
        <v>3853</v>
      </c>
      <c r="H83" s="3371" t="s">
        <v>3854</v>
      </c>
      <c r="I83" s="3351">
        <v>18000</v>
      </c>
      <c r="K83">
        <f t="shared" si="1"/>
        <v>4.3622351608271286</v>
      </c>
    </row>
    <row r="84" spans="1:11" ht="15">
      <c r="A84" s="3338">
        <v>83</v>
      </c>
      <c r="B84" s="3339">
        <v>1615</v>
      </c>
      <c r="C84" s="3340">
        <v>147.19</v>
      </c>
      <c r="D84" s="3339" t="s">
        <v>3714</v>
      </c>
      <c r="E84" s="3341">
        <v>19500</v>
      </c>
      <c r="F84" s="3339" t="s">
        <v>3696</v>
      </c>
      <c r="G84" s="3342" t="s">
        <v>3855</v>
      </c>
      <c r="H84" s="3339" t="s">
        <v>3847</v>
      </c>
      <c r="I84" s="3343">
        <v>19500</v>
      </c>
      <c r="K84">
        <f t="shared" si="1"/>
        <v>4.3555668891294168</v>
      </c>
    </row>
    <row r="85" spans="1:11" ht="15">
      <c r="A85" s="3318">
        <v>84</v>
      </c>
      <c r="B85" s="3328">
        <v>1711</v>
      </c>
      <c r="C85" s="3347">
        <v>158.19999999999999</v>
      </c>
      <c r="D85" s="3328" t="s">
        <v>3695</v>
      </c>
      <c r="E85" s="3348">
        <v>22000</v>
      </c>
      <c r="F85" s="3328" t="s">
        <v>3696</v>
      </c>
      <c r="G85" s="3349" t="s">
        <v>3856</v>
      </c>
      <c r="H85" s="3350" t="s">
        <v>3857</v>
      </c>
      <c r="I85" s="3351">
        <v>21000</v>
      </c>
      <c r="K85">
        <f t="shared" si="1"/>
        <v>4.3641653533761673</v>
      </c>
    </row>
    <row r="86" spans="1:11" ht="15">
      <c r="A86" s="3357">
        <v>85</v>
      </c>
      <c r="B86" s="3361">
        <v>1712</v>
      </c>
      <c r="C86" s="3365">
        <v>154.30000000000001</v>
      </c>
      <c r="D86" s="3389" t="s">
        <v>3754</v>
      </c>
      <c r="E86" s="3369">
        <v>20000</v>
      </c>
      <c r="F86" s="3361" t="s">
        <v>3696</v>
      </c>
      <c r="G86" s="3380" t="s">
        <v>3735</v>
      </c>
      <c r="H86" s="3361" t="s">
        <v>3736</v>
      </c>
      <c r="I86" s="3368">
        <v>18000</v>
      </c>
      <c r="K86">
        <f t="shared" si="1"/>
        <v>3.8352613215671303</v>
      </c>
    </row>
    <row r="87" spans="1:11" ht="15">
      <c r="A87" s="3318">
        <v>86</v>
      </c>
      <c r="B87" s="3328">
        <v>1713</v>
      </c>
      <c r="C87" s="3347">
        <v>194.67</v>
      </c>
      <c r="D87" s="3328" t="s">
        <v>3710</v>
      </c>
      <c r="E87" s="3348">
        <v>27000</v>
      </c>
      <c r="F87" s="3328" t="s">
        <v>3804</v>
      </c>
      <c r="G87" s="3349" t="s">
        <v>3808</v>
      </c>
      <c r="H87" s="3328" t="s">
        <v>3774</v>
      </c>
      <c r="I87" s="3354">
        <v>25000</v>
      </c>
      <c r="K87">
        <f t="shared" si="1"/>
        <v>4.222108225300139</v>
      </c>
    </row>
    <row r="88" spans="1:11" ht="15">
      <c r="A88" s="3318">
        <v>87</v>
      </c>
      <c r="B88" s="3416">
        <v>1714</v>
      </c>
      <c r="C88" s="3352">
        <v>135.66</v>
      </c>
      <c r="D88" s="3328" t="s">
        <v>3711</v>
      </c>
      <c r="E88" s="3348">
        <v>19000</v>
      </c>
      <c r="F88" s="3328" t="s">
        <v>3696</v>
      </c>
      <c r="G88" s="3399" t="s">
        <v>3701</v>
      </c>
      <c r="H88" s="3371" t="s">
        <v>3806</v>
      </c>
      <c r="I88" s="3351">
        <v>19000</v>
      </c>
      <c r="K88">
        <f t="shared" si="1"/>
        <v>4.6045815586508576</v>
      </c>
    </row>
    <row r="89" spans="1:11" ht="15">
      <c r="A89" s="3318">
        <v>88</v>
      </c>
      <c r="B89" s="3328">
        <v>1715</v>
      </c>
      <c r="C89" s="3347">
        <v>147.19</v>
      </c>
      <c r="D89" s="3328" t="s">
        <v>3714</v>
      </c>
      <c r="E89" s="3348">
        <v>19500</v>
      </c>
      <c r="F89" s="3328" t="s">
        <v>3696</v>
      </c>
      <c r="G89" s="3349" t="s">
        <v>3808</v>
      </c>
      <c r="H89" s="3328" t="s">
        <v>3774</v>
      </c>
      <c r="I89" s="3354">
        <v>17500</v>
      </c>
      <c r="K89">
        <f t="shared" si="1"/>
        <v>3.9088420799879384</v>
      </c>
    </row>
    <row r="90" spans="1:11" ht="15">
      <c r="A90" s="3318">
        <v>89</v>
      </c>
      <c r="B90" s="3328">
        <v>1811</v>
      </c>
      <c r="C90" s="3347">
        <v>158.19999999999999</v>
      </c>
      <c r="D90" s="3328" t="s">
        <v>3695</v>
      </c>
      <c r="E90" s="3348">
        <v>22000</v>
      </c>
      <c r="F90" s="3328" t="s">
        <v>3696</v>
      </c>
      <c r="G90" s="3349" t="s">
        <v>3737</v>
      </c>
      <c r="H90" s="3328" t="s">
        <v>3716</v>
      </c>
      <c r="I90" s="3354">
        <v>20000</v>
      </c>
      <c r="K90">
        <f t="shared" si="1"/>
        <v>4.156347955596349</v>
      </c>
    </row>
    <row r="91" spans="1:11" ht="15">
      <c r="A91" s="3318">
        <v>90</v>
      </c>
      <c r="B91" s="3328">
        <v>1812</v>
      </c>
      <c r="C91" s="3347">
        <v>154.30000000000001</v>
      </c>
      <c r="D91" s="3337" t="s">
        <v>3754</v>
      </c>
      <c r="E91" s="3332">
        <v>20000</v>
      </c>
      <c r="F91" s="3328" t="s">
        <v>3696</v>
      </c>
      <c r="G91" s="3349" t="s">
        <v>3858</v>
      </c>
      <c r="H91" s="3328" t="s">
        <v>3859</v>
      </c>
      <c r="I91" s="3354">
        <v>18500</v>
      </c>
      <c r="K91">
        <f t="shared" si="1"/>
        <v>3.9417963582773283</v>
      </c>
    </row>
    <row r="92" spans="1:11" ht="15">
      <c r="A92" s="3318">
        <v>91</v>
      </c>
      <c r="B92" s="3328">
        <v>1813</v>
      </c>
      <c r="C92" s="3347">
        <v>194.67</v>
      </c>
      <c r="D92" s="3328" t="s">
        <v>3710</v>
      </c>
      <c r="E92" s="3348">
        <v>27000</v>
      </c>
      <c r="F92" s="3328" t="s">
        <v>3804</v>
      </c>
      <c r="G92" s="3349" t="s">
        <v>3860</v>
      </c>
      <c r="H92" s="3328" t="s">
        <v>3861</v>
      </c>
      <c r="I92" s="3354">
        <v>26000</v>
      </c>
      <c r="K92">
        <f t="shared" si="1"/>
        <v>4.3909925543121453</v>
      </c>
    </row>
    <row r="93" spans="1:11" ht="15">
      <c r="A93" s="3318">
        <v>92</v>
      </c>
      <c r="B93" s="3423">
        <v>1814</v>
      </c>
      <c r="C93" s="3406">
        <v>135.66</v>
      </c>
      <c r="D93" s="3852" t="s">
        <v>3738</v>
      </c>
      <c r="E93" s="3854">
        <v>31500</v>
      </c>
      <c r="F93" s="3328" t="s">
        <v>3696</v>
      </c>
      <c r="G93" s="3329" t="s">
        <v>3862</v>
      </c>
      <c r="H93" s="3328" t="s">
        <v>3863</v>
      </c>
      <c r="I93" s="3354">
        <v>31500</v>
      </c>
      <c r="K93">
        <f>I93*12/365/(C93+C94)</f>
        <v>3.6613626952666225</v>
      </c>
    </row>
    <row r="94" spans="1:11" ht="15">
      <c r="A94" s="3318">
        <v>93</v>
      </c>
      <c r="B94" s="3423">
        <v>1815</v>
      </c>
      <c r="C94" s="3406">
        <v>147.19</v>
      </c>
      <c r="D94" s="3853"/>
      <c r="E94" s="3855"/>
      <c r="F94" s="3328" t="s">
        <v>3696</v>
      </c>
      <c r="G94" s="3329" t="s">
        <v>3862</v>
      </c>
      <c r="H94" s="3328" t="s">
        <v>3863</v>
      </c>
      <c r="I94" s="3354"/>
    </row>
    <row r="95" spans="1:11" ht="15">
      <c r="A95" s="3318">
        <v>94</v>
      </c>
      <c r="B95" s="3328">
        <v>1911</v>
      </c>
      <c r="C95" s="3347">
        <v>158.19999999999999</v>
      </c>
      <c r="D95" s="3326" t="s">
        <v>3695</v>
      </c>
      <c r="E95" s="3327">
        <v>22000</v>
      </c>
      <c r="F95" s="3328" t="s">
        <v>3696</v>
      </c>
      <c r="G95" s="3349" t="s">
        <v>3739</v>
      </c>
      <c r="H95" s="3328" t="s">
        <v>3864</v>
      </c>
      <c r="I95" s="3354">
        <v>20000</v>
      </c>
      <c r="K95">
        <f t="shared" ref="K95:K106" si="2">I95*12/365/C95</f>
        <v>4.156347955596349</v>
      </c>
    </row>
    <row r="96" spans="1:11" ht="15">
      <c r="A96" s="3318">
        <v>95</v>
      </c>
      <c r="B96" s="3328">
        <v>1912</v>
      </c>
      <c r="C96" s="3347">
        <v>154.30000000000001</v>
      </c>
      <c r="D96" s="3337" t="s">
        <v>3754</v>
      </c>
      <c r="E96" s="3332">
        <v>20000</v>
      </c>
      <c r="F96" s="3328" t="s">
        <v>3696</v>
      </c>
      <c r="G96" s="3349" t="s">
        <v>3865</v>
      </c>
      <c r="H96" s="3328" t="s">
        <v>3847</v>
      </c>
      <c r="I96" s="3354">
        <v>19000</v>
      </c>
      <c r="K96">
        <f t="shared" si="2"/>
        <v>4.0483313949875264</v>
      </c>
    </row>
    <row r="97" spans="1:11" ht="15">
      <c r="A97" s="3318">
        <v>96</v>
      </c>
      <c r="B97" s="3416">
        <v>1913</v>
      </c>
      <c r="C97" s="3336">
        <v>194.67</v>
      </c>
      <c r="D97" s="3326" t="s">
        <v>3710</v>
      </c>
      <c r="E97" s="3327">
        <v>27000</v>
      </c>
      <c r="F97" s="3328" t="s">
        <v>3804</v>
      </c>
      <c r="G97" s="3329" t="s">
        <v>3866</v>
      </c>
      <c r="H97" s="3328" t="s">
        <v>3716</v>
      </c>
      <c r="I97" s="3351">
        <v>27000</v>
      </c>
      <c r="K97">
        <f t="shared" si="2"/>
        <v>4.5598768833241508</v>
      </c>
    </row>
    <row r="98" spans="1:11" ht="15">
      <c r="A98" s="3318">
        <v>97</v>
      </c>
      <c r="B98" s="3407">
        <v>1914</v>
      </c>
      <c r="C98" s="3347">
        <v>135.66</v>
      </c>
      <c r="D98" s="3852" t="s">
        <v>3738</v>
      </c>
      <c r="E98" s="3854">
        <v>31500</v>
      </c>
      <c r="F98" s="3328" t="s">
        <v>3696</v>
      </c>
      <c r="G98" s="3856" t="s">
        <v>3867</v>
      </c>
      <c r="H98" s="3858" t="s">
        <v>3764</v>
      </c>
      <c r="I98" s="3860">
        <v>30000</v>
      </c>
      <c r="K98">
        <f>I98*12/365/(C98+C99)</f>
        <v>3.4870120907301172</v>
      </c>
    </row>
    <row r="99" spans="1:11" ht="15">
      <c r="A99" s="3318">
        <v>98</v>
      </c>
      <c r="B99" s="3407">
        <v>1915</v>
      </c>
      <c r="C99" s="3347">
        <v>147.19</v>
      </c>
      <c r="D99" s="3853"/>
      <c r="E99" s="3855"/>
      <c r="F99" s="3328" t="s">
        <v>3696</v>
      </c>
      <c r="G99" s="3857"/>
      <c r="H99" s="3859"/>
      <c r="I99" s="3861"/>
    </row>
    <row r="100" spans="1:11" ht="15">
      <c r="A100" s="3318">
        <v>99</v>
      </c>
      <c r="B100" s="3424">
        <v>2011</v>
      </c>
      <c r="C100" s="3336">
        <v>158.19999999999999</v>
      </c>
      <c r="D100" s="3862" t="s">
        <v>3868</v>
      </c>
      <c r="E100" s="3865" t="s">
        <v>3869</v>
      </c>
      <c r="F100" s="3328" t="s">
        <v>3696</v>
      </c>
      <c r="G100" s="3868" t="s">
        <v>3870</v>
      </c>
      <c r="H100" s="3871"/>
      <c r="I100" s="3846">
        <v>50000</v>
      </c>
      <c r="K100">
        <f>I100*12/365/(C100+C101+C102)</f>
        <v>3.241192531968287</v>
      </c>
    </row>
    <row r="101" spans="1:11" ht="15">
      <c r="A101" s="3318">
        <v>100</v>
      </c>
      <c r="B101" s="3416">
        <v>2012</v>
      </c>
      <c r="C101" s="3336">
        <v>154.30000000000001</v>
      </c>
      <c r="D101" s="3863"/>
      <c r="E101" s="3866"/>
      <c r="F101" s="3328" t="s">
        <v>3696</v>
      </c>
      <c r="G101" s="3869"/>
      <c r="H101" s="3872"/>
      <c r="I101" s="3874"/>
    </row>
    <row r="102" spans="1:11" ht="15">
      <c r="A102" s="3318">
        <v>101</v>
      </c>
      <c r="B102" s="3416">
        <v>2013</v>
      </c>
      <c r="C102" s="3336">
        <v>194.67</v>
      </c>
      <c r="D102" s="3864"/>
      <c r="E102" s="3867"/>
      <c r="F102" s="3328" t="s">
        <v>3804</v>
      </c>
      <c r="G102" s="3870"/>
      <c r="H102" s="3873"/>
      <c r="I102" s="3847"/>
    </row>
    <row r="103" spans="1:11" ht="15">
      <c r="A103" s="3338">
        <v>102</v>
      </c>
      <c r="B103" s="3417">
        <v>2014</v>
      </c>
      <c r="C103" s="3355">
        <v>135.66</v>
      </c>
      <c r="D103" s="3339" t="s">
        <v>3711</v>
      </c>
      <c r="E103" s="3341">
        <v>19000</v>
      </c>
      <c r="F103" s="3339" t="s">
        <v>3696</v>
      </c>
      <c r="G103" s="3342" t="s">
        <v>3871</v>
      </c>
      <c r="H103" s="3382" t="s">
        <v>3872</v>
      </c>
      <c r="I103" s="3377">
        <v>19000</v>
      </c>
      <c r="K103">
        <f t="shared" si="2"/>
        <v>4.6045815586508576</v>
      </c>
    </row>
    <row r="104" spans="1:11" ht="15">
      <c r="A104" s="3338">
        <v>103</v>
      </c>
      <c r="B104" s="3425">
        <v>2015</v>
      </c>
      <c r="C104" s="3355">
        <v>147.19</v>
      </c>
      <c r="D104" s="3408" t="s">
        <v>3714</v>
      </c>
      <c r="E104" s="3409">
        <v>19500</v>
      </c>
      <c r="F104" s="3339" t="s">
        <v>3696</v>
      </c>
      <c r="G104" s="3375" t="s">
        <v>3871</v>
      </c>
      <c r="H104" s="3382" t="s">
        <v>3872</v>
      </c>
      <c r="I104" s="3377">
        <v>19000</v>
      </c>
      <c r="K104">
        <f t="shared" si="2"/>
        <v>4.2438856868440471</v>
      </c>
    </row>
    <row r="105" spans="1:11" ht="15">
      <c r="A105" s="3318">
        <v>104</v>
      </c>
      <c r="B105" s="3328">
        <v>2111</v>
      </c>
      <c r="C105" s="3347">
        <v>223.33</v>
      </c>
      <c r="D105" s="3328" t="s">
        <v>3873</v>
      </c>
      <c r="E105" s="3348">
        <v>28500</v>
      </c>
      <c r="F105" s="3328" t="s">
        <v>3804</v>
      </c>
      <c r="G105" s="3349" t="s">
        <v>3874</v>
      </c>
      <c r="H105" s="3328" t="s">
        <v>3875</v>
      </c>
      <c r="I105" s="3354">
        <v>26000</v>
      </c>
      <c r="K105">
        <f t="shared" si="2"/>
        <v>3.8274952785024188</v>
      </c>
    </row>
    <row r="106" spans="1:11" ht="15">
      <c r="A106" s="3338">
        <v>105</v>
      </c>
      <c r="B106" s="3417">
        <v>2112</v>
      </c>
      <c r="C106" s="3355">
        <v>224.57</v>
      </c>
      <c r="D106" s="3339" t="s">
        <v>3876</v>
      </c>
      <c r="E106" s="3346">
        <v>28500</v>
      </c>
      <c r="F106" s="3339" t="s">
        <v>3804</v>
      </c>
      <c r="G106" s="3410" t="s">
        <v>3877</v>
      </c>
      <c r="H106" s="3382" t="s">
        <v>3878</v>
      </c>
      <c r="I106" s="3377">
        <v>28500</v>
      </c>
      <c r="K106">
        <f t="shared" si="2"/>
        <v>4.1723574002309434</v>
      </c>
    </row>
    <row r="107" spans="1:11" ht="15">
      <c r="A107" s="3338">
        <v>106</v>
      </c>
      <c r="B107" s="3417">
        <v>2113</v>
      </c>
      <c r="C107" s="3355">
        <v>236.91</v>
      </c>
      <c r="D107" s="3339" t="s">
        <v>3879</v>
      </c>
      <c r="E107" s="3346">
        <v>28500</v>
      </c>
      <c r="F107" s="3339" t="s">
        <v>3804</v>
      </c>
      <c r="G107" s="3342" t="s">
        <v>3880</v>
      </c>
      <c r="H107" s="3382" t="s">
        <v>3878</v>
      </c>
      <c r="I107" s="3377">
        <v>28500</v>
      </c>
      <c r="K107">
        <f>I107*12/365/C107</f>
        <v>3.9550306081206492</v>
      </c>
    </row>
    <row r="108" spans="1:11" ht="15">
      <c r="A108" s="3318">
        <v>107</v>
      </c>
      <c r="B108" s="3416" t="s">
        <v>3453</v>
      </c>
      <c r="C108" s="3336">
        <v>971.53</v>
      </c>
      <c r="D108" s="3328"/>
      <c r="E108" s="3327"/>
      <c r="F108" s="3337" t="s">
        <v>3750</v>
      </c>
      <c r="G108" s="3329" t="s">
        <v>3881</v>
      </c>
      <c r="H108" s="3371"/>
      <c r="I108" s="3351">
        <v>100000</v>
      </c>
    </row>
    <row r="109" spans="1:11" ht="15.75" thickBot="1">
      <c r="A109" s="3411"/>
      <c r="B109" s="3412"/>
      <c r="C109" s="3413">
        <f>SUM(C3:C108)</f>
        <v>17700.45</v>
      </c>
      <c r="D109" s="3414"/>
      <c r="E109" s="3415">
        <f t="shared" ref="E109" si="3">SUM(E3:E108)</f>
        <v>2103500</v>
      </c>
      <c r="F109" s="3415"/>
      <c r="G109" s="3415"/>
      <c r="H109" s="3415"/>
      <c r="I109" s="3415">
        <f>SUM(I3:I108)</f>
        <v>2170300</v>
      </c>
    </row>
    <row r="112" spans="1:11" ht="18" thickBot="1">
      <c r="A112" s="3848" t="s">
        <v>3882</v>
      </c>
      <c r="B112" s="3849"/>
      <c r="C112" s="3849"/>
      <c r="D112" s="3849"/>
      <c r="E112" s="3849"/>
      <c r="F112" s="3849"/>
      <c r="G112" s="3849"/>
      <c r="H112" s="3849"/>
      <c r="I112" s="3850"/>
    </row>
    <row r="113" spans="1:11" ht="45">
      <c r="A113" s="3426" t="s">
        <v>3694</v>
      </c>
      <c r="B113" s="3312" t="s">
        <v>3190</v>
      </c>
      <c r="C113" s="3313" t="s">
        <v>3913</v>
      </c>
      <c r="D113" s="3312" t="s">
        <v>3741</v>
      </c>
      <c r="E113" s="3314" t="s">
        <v>3742</v>
      </c>
      <c r="F113" s="3315" t="s">
        <v>3914</v>
      </c>
      <c r="G113" s="3316" t="s">
        <v>3744</v>
      </c>
      <c r="H113" s="3312" t="s">
        <v>3745</v>
      </c>
      <c r="I113" s="3317" t="s">
        <v>3746</v>
      </c>
    </row>
    <row r="114" spans="1:11" ht="15">
      <c r="A114" s="3427">
        <v>1</v>
      </c>
      <c r="B114" s="3419">
        <v>221</v>
      </c>
      <c r="C114" s="3428">
        <v>158.19999999999999</v>
      </c>
      <c r="D114" s="3328" t="s">
        <v>3708</v>
      </c>
      <c r="E114" s="3348">
        <v>21000</v>
      </c>
      <c r="F114" s="3337" t="s">
        <v>3696</v>
      </c>
      <c r="G114" s="3429" t="s">
        <v>3756</v>
      </c>
      <c r="H114" s="3430"/>
      <c r="I114" s="3351"/>
    </row>
    <row r="115" spans="1:11" ht="15">
      <c r="A115" s="3427">
        <v>4</v>
      </c>
      <c r="B115" s="3419">
        <v>222</v>
      </c>
      <c r="C115" s="3428">
        <v>154.30000000000001</v>
      </c>
      <c r="D115" s="3337" t="s">
        <v>3754</v>
      </c>
      <c r="E115" s="3332">
        <v>20000</v>
      </c>
      <c r="F115" s="3328" t="s">
        <v>3696</v>
      </c>
      <c r="G115" s="3431" t="s">
        <v>3883</v>
      </c>
      <c r="H115" s="3430" t="s">
        <v>3884</v>
      </c>
      <c r="I115" s="3351">
        <v>16800</v>
      </c>
      <c r="K115">
        <f t="shared" ref="K115:K178" si="4">I115*12/365/C115</f>
        <v>3.5795772334626546</v>
      </c>
    </row>
    <row r="116" spans="1:11" ht="15">
      <c r="A116" s="3427">
        <v>5</v>
      </c>
      <c r="B116" s="3419">
        <v>223</v>
      </c>
      <c r="C116" s="3428">
        <v>176.26</v>
      </c>
      <c r="D116" s="3337"/>
      <c r="E116" s="3332"/>
      <c r="F116" s="3328" t="s">
        <v>3696</v>
      </c>
      <c r="G116" s="3431" t="s">
        <v>3883</v>
      </c>
      <c r="H116" s="3430" t="s">
        <v>3884</v>
      </c>
      <c r="I116" s="3351">
        <v>19700</v>
      </c>
      <c r="K116">
        <f t="shared" si="4"/>
        <v>3.6745219157875431</v>
      </c>
    </row>
    <row r="117" spans="1:11" ht="15">
      <c r="A117" s="3427">
        <v>6</v>
      </c>
      <c r="B117" s="3419">
        <v>224</v>
      </c>
      <c r="C117" s="3428">
        <v>155.13</v>
      </c>
      <c r="D117" s="3432"/>
      <c r="E117" s="3433"/>
      <c r="F117" s="3328" t="s">
        <v>3696</v>
      </c>
      <c r="G117" s="3431" t="s">
        <v>3915</v>
      </c>
      <c r="H117" s="3430" t="s">
        <v>3761</v>
      </c>
      <c r="I117" s="3351">
        <v>22000</v>
      </c>
      <c r="K117">
        <f t="shared" si="4"/>
        <v>4.6624616207882212</v>
      </c>
    </row>
    <row r="118" spans="1:11" ht="15">
      <c r="A118" s="3427">
        <v>7</v>
      </c>
      <c r="B118" s="3419">
        <v>225</v>
      </c>
      <c r="C118" s="3428">
        <v>111.52</v>
      </c>
      <c r="D118" s="3432"/>
      <c r="E118" s="3433"/>
      <c r="F118" s="3328" t="s">
        <v>3704</v>
      </c>
      <c r="G118" s="3431" t="s">
        <v>3915</v>
      </c>
      <c r="H118" s="3430" t="s">
        <v>3761</v>
      </c>
      <c r="I118" s="3351">
        <v>17500</v>
      </c>
      <c r="K118">
        <f t="shared" si="4"/>
        <v>5.1590967158664336</v>
      </c>
    </row>
    <row r="119" spans="1:11" ht="15">
      <c r="A119" s="3427">
        <v>8</v>
      </c>
      <c r="B119" s="3419">
        <v>226</v>
      </c>
      <c r="C119" s="3428">
        <v>100.84</v>
      </c>
      <c r="D119" s="3326" t="s">
        <v>3703</v>
      </c>
      <c r="E119" s="3348">
        <v>17500</v>
      </c>
      <c r="F119" s="3328" t="s">
        <v>3704</v>
      </c>
      <c r="G119" s="3431" t="s">
        <v>3916</v>
      </c>
      <c r="H119" s="3430" t="s">
        <v>3786</v>
      </c>
      <c r="I119" s="3351">
        <v>17500</v>
      </c>
      <c r="K119">
        <f t="shared" si="4"/>
        <v>5.7054984703830289</v>
      </c>
    </row>
    <row r="120" spans="1:11" ht="15">
      <c r="A120" s="3434">
        <v>9</v>
      </c>
      <c r="B120" s="3425">
        <v>321</v>
      </c>
      <c r="C120" s="3435">
        <v>158.19999999999999</v>
      </c>
      <c r="D120" s="3436" t="s">
        <v>3708</v>
      </c>
      <c r="E120" s="3437">
        <v>21000</v>
      </c>
      <c r="F120" s="3372" t="s">
        <v>3696</v>
      </c>
      <c r="G120" s="3438" t="s">
        <v>3917</v>
      </c>
      <c r="H120" s="3439" t="s">
        <v>3918</v>
      </c>
      <c r="I120" s="3377">
        <v>21000</v>
      </c>
      <c r="K120">
        <f t="shared" si="4"/>
        <v>4.3641653533761673</v>
      </c>
    </row>
    <row r="121" spans="1:11" ht="15">
      <c r="A121" s="3427">
        <v>10</v>
      </c>
      <c r="B121" s="3328">
        <v>322</v>
      </c>
      <c r="C121" s="3347">
        <v>154.30000000000001</v>
      </c>
      <c r="D121" s="3332" t="s">
        <v>3754</v>
      </c>
      <c r="E121" s="3332">
        <v>20000</v>
      </c>
      <c r="F121" s="3328" t="s">
        <v>3696</v>
      </c>
      <c r="G121" s="3349" t="s">
        <v>3919</v>
      </c>
      <c r="H121" s="3328" t="s">
        <v>3920</v>
      </c>
      <c r="I121" s="3354">
        <v>20000</v>
      </c>
      <c r="K121">
        <f t="shared" si="4"/>
        <v>4.2614014684079224</v>
      </c>
    </row>
    <row r="122" spans="1:11" ht="15">
      <c r="A122" s="3434">
        <v>11</v>
      </c>
      <c r="B122" s="3425">
        <v>323</v>
      </c>
      <c r="C122" s="3435">
        <v>176.26</v>
      </c>
      <c r="D122" s="3339" t="s">
        <v>3781</v>
      </c>
      <c r="E122" s="3341">
        <v>22000</v>
      </c>
      <c r="F122" s="3339" t="s">
        <v>3696</v>
      </c>
      <c r="G122" s="3440" t="s">
        <v>3921</v>
      </c>
      <c r="H122" s="3439" t="s">
        <v>3794</v>
      </c>
      <c r="I122" s="3377">
        <v>22000</v>
      </c>
      <c r="K122">
        <f t="shared" si="4"/>
        <v>4.1035270125546166</v>
      </c>
    </row>
    <row r="123" spans="1:11" ht="15">
      <c r="A123" s="3434">
        <v>12</v>
      </c>
      <c r="B123" s="3339">
        <v>324</v>
      </c>
      <c r="C123" s="3340">
        <v>155.13</v>
      </c>
      <c r="D123" s="3339" t="s">
        <v>3784</v>
      </c>
      <c r="E123" s="3341">
        <v>21000</v>
      </c>
      <c r="F123" s="3339" t="s">
        <v>3696</v>
      </c>
      <c r="G123" s="3440" t="s">
        <v>3922</v>
      </c>
      <c r="H123" s="3339" t="s">
        <v>3923</v>
      </c>
      <c r="I123" s="3343">
        <v>21000</v>
      </c>
      <c r="K123">
        <f t="shared" si="4"/>
        <v>4.4505315471160296</v>
      </c>
    </row>
    <row r="124" spans="1:11" ht="15">
      <c r="A124" s="3427">
        <v>13</v>
      </c>
      <c r="B124" s="3328">
        <v>325</v>
      </c>
      <c r="C124" s="3347">
        <v>111.52</v>
      </c>
      <c r="D124" s="3337" t="s">
        <v>3698</v>
      </c>
      <c r="E124" s="3332">
        <v>17500</v>
      </c>
      <c r="F124" s="3328" t="s">
        <v>3704</v>
      </c>
      <c r="G124" s="3349" t="s">
        <v>3924</v>
      </c>
      <c r="H124" s="3328" t="s">
        <v>3707</v>
      </c>
      <c r="I124" s="3354">
        <v>17500</v>
      </c>
      <c r="K124">
        <f t="shared" si="4"/>
        <v>5.1590967158664336</v>
      </c>
    </row>
    <row r="125" spans="1:11" ht="15">
      <c r="A125" s="3441">
        <v>15</v>
      </c>
      <c r="B125" s="3420">
        <v>326</v>
      </c>
      <c r="C125" s="3442">
        <v>100.84</v>
      </c>
      <c r="D125" s="3389" t="s">
        <v>3703</v>
      </c>
      <c r="E125" s="3366">
        <v>17500</v>
      </c>
      <c r="F125" s="3361" t="s">
        <v>3704</v>
      </c>
      <c r="G125" s="3443" t="s">
        <v>3885</v>
      </c>
      <c r="H125" s="3444" t="s">
        <v>3884</v>
      </c>
      <c r="I125" s="3364">
        <v>16000</v>
      </c>
      <c r="K125">
        <f t="shared" si="4"/>
        <v>5.2164557443501982</v>
      </c>
    </row>
    <row r="126" spans="1:11" ht="15">
      <c r="A126" s="3427">
        <v>16</v>
      </c>
      <c r="B126" s="3419">
        <v>421</v>
      </c>
      <c r="C126" s="3428">
        <v>158.19999999999999</v>
      </c>
      <c r="D126" s="3328" t="s">
        <v>3708</v>
      </c>
      <c r="E126" s="3348">
        <v>21000</v>
      </c>
      <c r="F126" s="3328" t="s">
        <v>3696</v>
      </c>
      <c r="G126" s="3349" t="s">
        <v>3925</v>
      </c>
      <c r="H126" s="3430" t="s">
        <v>3794</v>
      </c>
      <c r="I126" s="3351">
        <v>21000</v>
      </c>
      <c r="K126">
        <f t="shared" si="4"/>
        <v>4.3641653533761673</v>
      </c>
    </row>
    <row r="127" spans="1:11" ht="15">
      <c r="A127" s="3434">
        <v>17</v>
      </c>
      <c r="B127" s="3425">
        <v>422</v>
      </c>
      <c r="C127" s="3435">
        <v>154.30000000000001</v>
      </c>
      <c r="D127" s="3341" t="s">
        <v>3754</v>
      </c>
      <c r="E127" s="3341">
        <v>20000</v>
      </c>
      <c r="F127" s="3339" t="s">
        <v>3696</v>
      </c>
      <c r="G127" s="3440" t="s">
        <v>3926</v>
      </c>
      <c r="H127" s="3439" t="s">
        <v>3927</v>
      </c>
      <c r="I127" s="3377">
        <v>20000</v>
      </c>
      <c r="K127">
        <f t="shared" si="4"/>
        <v>4.2614014684079224</v>
      </c>
    </row>
    <row r="128" spans="1:11" ht="15">
      <c r="A128" s="3427">
        <v>18</v>
      </c>
      <c r="B128" s="3328">
        <v>423</v>
      </c>
      <c r="C128" s="3347">
        <v>176.26</v>
      </c>
      <c r="D128" s="3328" t="s">
        <v>3781</v>
      </c>
      <c r="E128" s="3348">
        <v>22000</v>
      </c>
      <c r="F128" s="3328" t="s">
        <v>3696</v>
      </c>
      <c r="G128" s="3349" t="s">
        <v>3928</v>
      </c>
      <c r="H128" s="3328" t="s">
        <v>3929</v>
      </c>
      <c r="I128" s="3354">
        <v>21500</v>
      </c>
      <c r="K128">
        <f t="shared" si="4"/>
        <v>4.0102650349965572</v>
      </c>
    </row>
    <row r="129" spans="1:11" ht="15">
      <c r="A129" s="3427">
        <v>19</v>
      </c>
      <c r="B129" s="3328">
        <v>424</v>
      </c>
      <c r="C129" s="3347">
        <v>155.13</v>
      </c>
      <c r="D129" s="3328" t="s">
        <v>3784</v>
      </c>
      <c r="E129" s="3348">
        <v>21000</v>
      </c>
      <c r="F129" s="3328" t="s">
        <v>3696</v>
      </c>
      <c r="G129" s="3349" t="s">
        <v>3886</v>
      </c>
      <c r="H129" s="3328" t="s">
        <v>3887</v>
      </c>
      <c r="I129" s="3354">
        <v>21000</v>
      </c>
      <c r="K129">
        <f t="shared" si="4"/>
        <v>4.4505315471160296</v>
      </c>
    </row>
    <row r="130" spans="1:11" ht="15">
      <c r="A130" s="3441">
        <v>20</v>
      </c>
      <c r="B130" s="3361">
        <v>425</v>
      </c>
      <c r="C130" s="3365">
        <v>111.52</v>
      </c>
      <c r="D130" s="3389" t="s">
        <v>3698</v>
      </c>
      <c r="E130" s="3366">
        <v>17500</v>
      </c>
      <c r="F130" s="3361" t="s">
        <v>3704</v>
      </c>
      <c r="G130" s="3380" t="s">
        <v>3886</v>
      </c>
      <c r="H130" s="3361" t="s">
        <v>3887</v>
      </c>
      <c r="I130" s="3368">
        <v>17500</v>
      </c>
      <c r="K130">
        <f t="shared" si="4"/>
        <v>5.1590967158664336</v>
      </c>
    </row>
    <row r="131" spans="1:11" ht="15">
      <c r="A131" s="3434">
        <v>21</v>
      </c>
      <c r="B131" s="3425">
        <v>426</v>
      </c>
      <c r="C131" s="3435">
        <v>100.84</v>
      </c>
      <c r="D131" s="3339" t="s">
        <v>3703</v>
      </c>
      <c r="E131" s="3341">
        <v>17500</v>
      </c>
      <c r="F131" s="3339" t="s">
        <v>3704</v>
      </c>
      <c r="G131" s="3440" t="s">
        <v>3930</v>
      </c>
      <c r="H131" s="3439" t="s">
        <v>3812</v>
      </c>
      <c r="I131" s="3377">
        <v>17500</v>
      </c>
      <c r="K131">
        <f t="shared" si="4"/>
        <v>5.7054984703830289</v>
      </c>
    </row>
    <row r="132" spans="1:11" ht="15">
      <c r="A132" s="3427">
        <v>22</v>
      </c>
      <c r="B132" s="3419">
        <v>521</v>
      </c>
      <c r="C132" s="3428">
        <v>158.19999999999999</v>
      </c>
      <c r="D132" s="3328" t="s">
        <v>3708</v>
      </c>
      <c r="E132" s="3348">
        <v>21000</v>
      </c>
      <c r="F132" s="3328" t="s">
        <v>3696</v>
      </c>
      <c r="G132" s="3404" t="s">
        <v>3931</v>
      </c>
      <c r="H132" s="3430" t="s">
        <v>3878</v>
      </c>
      <c r="I132" s="3351">
        <v>21000</v>
      </c>
      <c r="K132">
        <f t="shared" si="4"/>
        <v>4.3641653533761673</v>
      </c>
    </row>
    <row r="133" spans="1:11" ht="15">
      <c r="A133" s="3434">
        <v>23</v>
      </c>
      <c r="B133" s="3425">
        <v>522</v>
      </c>
      <c r="C133" s="3435">
        <v>154.30000000000001</v>
      </c>
      <c r="D133" s="3341" t="s">
        <v>3754</v>
      </c>
      <c r="E133" s="3341">
        <v>20000</v>
      </c>
      <c r="F133" s="3339" t="s">
        <v>3696</v>
      </c>
      <c r="G133" s="3440" t="s">
        <v>3932</v>
      </c>
      <c r="H133" s="3439" t="s">
        <v>3794</v>
      </c>
      <c r="I133" s="3377">
        <v>20000</v>
      </c>
      <c r="K133">
        <f t="shared" si="4"/>
        <v>4.2614014684079224</v>
      </c>
    </row>
    <row r="134" spans="1:11" ht="15">
      <c r="A134" s="3441">
        <v>24</v>
      </c>
      <c r="B134" s="3420">
        <v>523</v>
      </c>
      <c r="C134" s="3442">
        <v>176.26</v>
      </c>
      <c r="D134" s="3361" t="s">
        <v>3781</v>
      </c>
      <c r="E134" s="3369">
        <v>22000</v>
      </c>
      <c r="F134" s="3361" t="s">
        <v>3696</v>
      </c>
      <c r="G134" s="3380" t="s">
        <v>3888</v>
      </c>
      <c r="H134" s="3444" t="s">
        <v>3716</v>
      </c>
      <c r="I134" s="3364">
        <v>22000</v>
      </c>
      <c r="K134">
        <f t="shared" si="4"/>
        <v>4.1035270125546166</v>
      </c>
    </row>
    <row r="135" spans="1:11" ht="15">
      <c r="A135" s="3434">
        <v>25</v>
      </c>
      <c r="B135" s="3425">
        <v>524</v>
      </c>
      <c r="C135" s="3435">
        <v>155.13</v>
      </c>
      <c r="D135" s="3339" t="s">
        <v>3784</v>
      </c>
      <c r="E135" s="3341">
        <v>21000</v>
      </c>
      <c r="F135" s="3339" t="s">
        <v>3696</v>
      </c>
      <c r="G135" s="3440" t="s">
        <v>3933</v>
      </c>
      <c r="H135" s="3439" t="s">
        <v>3786</v>
      </c>
      <c r="I135" s="3377">
        <v>21000</v>
      </c>
      <c r="K135">
        <f t="shared" si="4"/>
        <v>4.4505315471160296</v>
      </c>
    </row>
    <row r="136" spans="1:11" ht="15">
      <c r="A136" s="3427">
        <v>26</v>
      </c>
      <c r="B136" s="3328">
        <v>525</v>
      </c>
      <c r="C136" s="3347">
        <v>111.52</v>
      </c>
      <c r="D136" s="3337" t="s">
        <v>3698</v>
      </c>
      <c r="E136" s="3332">
        <v>17500</v>
      </c>
      <c r="F136" s="3328" t="s">
        <v>3704</v>
      </c>
      <c r="G136" s="3349" t="s">
        <v>3934</v>
      </c>
      <c r="H136" s="3328" t="s">
        <v>3812</v>
      </c>
      <c r="I136" s="3354">
        <v>21250</v>
      </c>
      <c r="K136">
        <f t="shared" si="4"/>
        <v>6.2646174406949555</v>
      </c>
    </row>
    <row r="137" spans="1:11" ht="15">
      <c r="A137" s="3427">
        <v>27</v>
      </c>
      <c r="B137" s="3328">
        <v>526</v>
      </c>
      <c r="C137" s="3347">
        <v>100.84</v>
      </c>
      <c r="D137" s="3337" t="s">
        <v>3703</v>
      </c>
      <c r="E137" s="3332">
        <v>17500</v>
      </c>
      <c r="F137" s="3328" t="s">
        <v>3704</v>
      </c>
      <c r="G137" s="3445" t="s">
        <v>3935</v>
      </c>
      <c r="H137" s="3328" t="s">
        <v>3936</v>
      </c>
      <c r="I137" s="3354">
        <v>17500</v>
      </c>
      <c r="K137">
        <f t="shared" si="4"/>
        <v>5.7054984703830289</v>
      </c>
    </row>
    <row r="138" spans="1:11" ht="15">
      <c r="A138" s="3427">
        <v>28</v>
      </c>
      <c r="B138" s="3419">
        <v>621</v>
      </c>
      <c r="C138" s="3428">
        <v>158.19999999999999</v>
      </c>
      <c r="D138" s="3328" t="s">
        <v>3708</v>
      </c>
      <c r="E138" s="3348">
        <v>21000</v>
      </c>
      <c r="F138" s="3328" t="s">
        <v>3696</v>
      </c>
      <c r="G138" s="3431" t="s">
        <v>3709</v>
      </c>
      <c r="H138" s="3430" t="s">
        <v>3774</v>
      </c>
      <c r="I138" s="3351">
        <v>21000</v>
      </c>
      <c r="K138">
        <f t="shared" si="4"/>
        <v>4.3641653533761673</v>
      </c>
    </row>
    <row r="139" spans="1:11" ht="15">
      <c r="A139" s="3434">
        <v>29</v>
      </c>
      <c r="B139" s="3458">
        <v>622</v>
      </c>
      <c r="C139" s="3340">
        <v>154.30000000000001</v>
      </c>
      <c r="D139" s="3341" t="s">
        <v>3754</v>
      </c>
      <c r="E139" s="3341">
        <v>20000</v>
      </c>
      <c r="F139" s="3339" t="s">
        <v>3696</v>
      </c>
      <c r="G139" s="3440" t="s">
        <v>3937</v>
      </c>
      <c r="H139" s="3439" t="s">
        <v>3774</v>
      </c>
      <c r="I139" s="3343">
        <v>20000</v>
      </c>
      <c r="K139">
        <f t="shared" si="4"/>
        <v>4.2614014684079224</v>
      </c>
    </row>
    <row r="140" spans="1:11" ht="15">
      <c r="A140" s="3427">
        <v>30</v>
      </c>
      <c r="B140" s="3419">
        <v>623</v>
      </c>
      <c r="C140" s="3428">
        <v>176.26</v>
      </c>
      <c r="D140" s="3328" t="s">
        <v>3781</v>
      </c>
      <c r="E140" s="3348">
        <v>22000</v>
      </c>
      <c r="F140" s="3328" t="s">
        <v>3696</v>
      </c>
      <c r="G140" s="3404" t="s">
        <v>3938</v>
      </c>
      <c r="H140" s="3430" t="s">
        <v>3889</v>
      </c>
      <c r="I140" s="3351">
        <v>21000</v>
      </c>
      <c r="K140">
        <f t="shared" si="4"/>
        <v>3.9170030574384982</v>
      </c>
    </row>
    <row r="141" spans="1:11" ht="15">
      <c r="A141" s="3427">
        <v>31</v>
      </c>
      <c r="B141" s="3419">
        <v>624</v>
      </c>
      <c r="C141" s="3428">
        <v>155.13</v>
      </c>
      <c r="D141" s="3328" t="s">
        <v>3784</v>
      </c>
      <c r="E141" s="3348">
        <v>21000</v>
      </c>
      <c r="F141" s="3328" t="s">
        <v>3696</v>
      </c>
      <c r="G141" s="3404" t="s">
        <v>3773</v>
      </c>
      <c r="H141" s="3430" t="s">
        <v>3884</v>
      </c>
      <c r="I141" s="3351">
        <v>20000</v>
      </c>
      <c r="K141">
        <f t="shared" si="4"/>
        <v>4.2386014734438371</v>
      </c>
    </row>
    <row r="142" spans="1:11" ht="15">
      <c r="A142" s="3427">
        <v>32</v>
      </c>
      <c r="B142" s="3328">
        <v>625</v>
      </c>
      <c r="C142" s="3347">
        <v>111.52</v>
      </c>
      <c r="D142" s="3337" t="s">
        <v>3698</v>
      </c>
      <c r="E142" s="3332">
        <v>17500</v>
      </c>
      <c r="F142" s="3328" t="s">
        <v>3704</v>
      </c>
      <c r="G142" s="3349" t="s">
        <v>3939</v>
      </c>
      <c r="H142" s="3328" t="s">
        <v>3707</v>
      </c>
      <c r="I142" s="3354">
        <v>17000</v>
      </c>
      <c r="K142">
        <f t="shared" si="4"/>
        <v>5.0116939525559641</v>
      </c>
    </row>
    <row r="143" spans="1:11" ht="15">
      <c r="A143" s="3427">
        <v>33</v>
      </c>
      <c r="B143" s="3328">
        <v>626</v>
      </c>
      <c r="C143" s="3347">
        <v>100.84</v>
      </c>
      <c r="D143" s="3328" t="s">
        <v>3703</v>
      </c>
      <c r="E143" s="3348">
        <v>17500</v>
      </c>
      <c r="F143" s="3328" t="s">
        <v>3704</v>
      </c>
      <c r="G143" s="3349" t="s">
        <v>3849</v>
      </c>
      <c r="H143" s="3328" t="s">
        <v>3723</v>
      </c>
      <c r="I143" s="3354">
        <v>17500</v>
      </c>
      <c r="K143">
        <f t="shared" si="4"/>
        <v>5.7054984703830289</v>
      </c>
    </row>
    <row r="144" spans="1:11" ht="15">
      <c r="A144" s="3427">
        <v>34</v>
      </c>
      <c r="B144" s="3419">
        <v>721</v>
      </c>
      <c r="C144" s="3428">
        <v>158.19999999999999</v>
      </c>
      <c r="D144" s="3328" t="s">
        <v>3708</v>
      </c>
      <c r="E144" s="3348">
        <v>21000</v>
      </c>
      <c r="F144" s="3328" t="s">
        <v>3696</v>
      </c>
      <c r="G144" s="3349" t="s">
        <v>3940</v>
      </c>
      <c r="H144" s="3430" t="s">
        <v>3786</v>
      </c>
      <c r="I144" s="3351">
        <v>21000</v>
      </c>
      <c r="K144">
        <f t="shared" si="4"/>
        <v>4.3641653533761673</v>
      </c>
    </row>
    <row r="145" spans="1:11" ht="15">
      <c r="A145" s="3427">
        <v>35</v>
      </c>
      <c r="B145" s="3419">
        <v>722</v>
      </c>
      <c r="C145" s="3428">
        <v>154.30000000000001</v>
      </c>
      <c r="D145" s="3348" t="s">
        <v>3754</v>
      </c>
      <c r="E145" s="3348">
        <v>20000</v>
      </c>
      <c r="F145" s="3328" t="s">
        <v>3696</v>
      </c>
      <c r="G145" s="3349" t="s">
        <v>3925</v>
      </c>
      <c r="H145" s="3430" t="s">
        <v>3941</v>
      </c>
      <c r="I145" s="3351">
        <v>20000</v>
      </c>
      <c r="K145">
        <f t="shared" si="4"/>
        <v>4.2614014684079224</v>
      </c>
    </row>
    <row r="146" spans="1:11" ht="15">
      <c r="A146" s="3427">
        <v>36</v>
      </c>
      <c r="B146" s="3328">
        <v>723</v>
      </c>
      <c r="C146" s="3347">
        <v>194.67</v>
      </c>
      <c r="D146" s="3337" t="s">
        <v>3710</v>
      </c>
      <c r="E146" s="3332">
        <v>27000</v>
      </c>
      <c r="F146" s="3328" t="s">
        <v>3804</v>
      </c>
      <c r="G146" s="3349" t="s">
        <v>3942</v>
      </c>
      <c r="H146" s="3328" t="s">
        <v>3761</v>
      </c>
      <c r="I146" s="3354">
        <v>25000</v>
      </c>
      <c r="K146">
        <f t="shared" si="4"/>
        <v>4.222108225300139</v>
      </c>
    </row>
    <row r="147" spans="1:11" ht="15">
      <c r="A147" s="3427">
        <v>37</v>
      </c>
      <c r="B147" s="3328">
        <v>724</v>
      </c>
      <c r="C147" s="3347">
        <v>135.66</v>
      </c>
      <c r="D147" s="3337" t="s">
        <v>3711</v>
      </c>
      <c r="E147" s="3332">
        <v>19000</v>
      </c>
      <c r="F147" s="3328" t="s">
        <v>3696</v>
      </c>
      <c r="G147" s="3349" t="s">
        <v>3943</v>
      </c>
      <c r="H147" s="3328" t="s">
        <v>3812</v>
      </c>
      <c r="I147" s="3354">
        <v>17500</v>
      </c>
      <c r="K147">
        <f t="shared" si="4"/>
        <v>4.2410619619152641</v>
      </c>
    </row>
    <row r="148" spans="1:11" ht="15">
      <c r="A148" s="3427">
        <v>38</v>
      </c>
      <c r="B148" s="3419">
        <v>725</v>
      </c>
      <c r="C148" s="3428">
        <v>147.19</v>
      </c>
      <c r="D148" s="3328" t="s">
        <v>3714</v>
      </c>
      <c r="E148" s="3348">
        <v>19500</v>
      </c>
      <c r="F148" s="3328" t="s">
        <v>3696</v>
      </c>
      <c r="G148" s="3349" t="s">
        <v>3944</v>
      </c>
      <c r="H148" s="3328" t="s">
        <v>3945</v>
      </c>
      <c r="I148" s="3351">
        <v>17000</v>
      </c>
      <c r="K148">
        <f t="shared" si="4"/>
        <v>3.7971608777025692</v>
      </c>
    </row>
    <row r="149" spans="1:11" ht="15">
      <c r="A149" s="3427">
        <v>39</v>
      </c>
      <c r="B149" s="3419">
        <v>821</v>
      </c>
      <c r="C149" s="3428">
        <v>158.19999999999999</v>
      </c>
      <c r="D149" s="3328" t="s">
        <v>3708</v>
      </c>
      <c r="E149" s="3348">
        <v>21000</v>
      </c>
      <c r="F149" s="3328" t="s">
        <v>3696</v>
      </c>
      <c r="G149" s="3349" t="s">
        <v>3925</v>
      </c>
      <c r="H149" s="3430" t="s">
        <v>3761</v>
      </c>
      <c r="I149" s="3351">
        <v>20000</v>
      </c>
      <c r="K149">
        <f t="shared" si="4"/>
        <v>4.156347955596349</v>
      </c>
    </row>
    <row r="150" spans="1:11" ht="15">
      <c r="A150" s="3427">
        <v>40</v>
      </c>
      <c r="B150" s="3328">
        <v>822</v>
      </c>
      <c r="C150" s="3428">
        <v>154.30000000000001</v>
      </c>
      <c r="D150" s="3332" t="s">
        <v>3754</v>
      </c>
      <c r="E150" s="3332">
        <v>20000</v>
      </c>
      <c r="F150" s="3328" t="s">
        <v>3696</v>
      </c>
      <c r="G150" s="3349" t="s">
        <v>3890</v>
      </c>
      <c r="H150" s="3350" t="s">
        <v>3901</v>
      </c>
      <c r="I150" s="3351">
        <v>20000</v>
      </c>
      <c r="K150">
        <f t="shared" si="4"/>
        <v>4.2614014684079224</v>
      </c>
    </row>
    <row r="151" spans="1:11" ht="15">
      <c r="A151" s="3427">
        <v>41</v>
      </c>
      <c r="B151" s="3328">
        <v>824</v>
      </c>
      <c r="C151" s="3347">
        <v>135.66</v>
      </c>
      <c r="D151" s="3337" t="s">
        <v>3711</v>
      </c>
      <c r="E151" s="3332">
        <v>19000</v>
      </c>
      <c r="F151" s="3328" t="s">
        <v>3696</v>
      </c>
      <c r="G151" s="3349" t="s">
        <v>3946</v>
      </c>
      <c r="H151" s="3328" t="s">
        <v>3947</v>
      </c>
      <c r="I151" s="3354">
        <v>19000</v>
      </c>
      <c r="K151">
        <f t="shared" si="4"/>
        <v>4.6045815586508576</v>
      </c>
    </row>
    <row r="152" spans="1:11" ht="15">
      <c r="A152" s="3427">
        <v>43</v>
      </c>
      <c r="B152" s="3419">
        <v>825</v>
      </c>
      <c r="C152" s="3428">
        <v>147.19</v>
      </c>
      <c r="D152" s="3328" t="s">
        <v>3714</v>
      </c>
      <c r="E152" s="3348">
        <v>19500</v>
      </c>
      <c r="F152" s="3328" t="s">
        <v>3696</v>
      </c>
      <c r="G152" s="3404" t="s">
        <v>3948</v>
      </c>
      <c r="H152" s="3430" t="s">
        <v>3949</v>
      </c>
      <c r="I152" s="3351">
        <v>17500</v>
      </c>
      <c r="K152">
        <f t="shared" si="4"/>
        <v>3.9088420799879384</v>
      </c>
    </row>
    <row r="153" spans="1:11" ht="15">
      <c r="A153" s="3434">
        <v>44</v>
      </c>
      <c r="B153" s="3425">
        <v>921</v>
      </c>
      <c r="C153" s="3435">
        <v>158.19999999999999</v>
      </c>
      <c r="D153" s="3339" t="s">
        <v>3708</v>
      </c>
      <c r="E153" s="3341">
        <v>21000</v>
      </c>
      <c r="F153" s="3339" t="s">
        <v>3696</v>
      </c>
      <c r="G153" s="3440" t="s">
        <v>3950</v>
      </c>
      <c r="H153" s="3439" t="s">
        <v>3761</v>
      </c>
      <c r="I153" s="3377">
        <v>21000</v>
      </c>
      <c r="K153">
        <f t="shared" si="4"/>
        <v>4.3641653533761673</v>
      </c>
    </row>
    <row r="154" spans="1:11" ht="15">
      <c r="A154" s="3427">
        <v>45</v>
      </c>
      <c r="B154" s="3328">
        <v>922</v>
      </c>
      <c r="C154" s="3347">
        <v>154.30000000000001</v>
      </c>
      <c r="D154" s="3332" t="s">
        <v>3754</v>
      </c>
      <c r="E154" s="3332">
        <v>20000</v>
      </c>
      <c r="F154" s="3328" t="s">
        <v>3696</v>
      </c>
      <c r="G154" s="3349" t="s">
        <v>3891</v>
      </c>
      <c r="H154" s="3328" t="s">
        <v>3841</v>
      </c>
      <c r="I154" s="3354">
        <v>20000</v>
      </c>
      <c r="K154">
        <f t="shared" si="4"/>
        <v>4.2614014684079224</v>
      </c>
    </row>
    <row r="155" spans="1:11" ht="15">
      <c r="A155" s="3427">
        <v>46</v>
      </c>
      <c r="B155" s="3328">
        <v>923</v>
      </c>
      <c r="C155" s="3347">
        <v>194.67</v>
      </c>
      <c r="D155" s="3337" t="s">
        <v>3710</v>
      </c>
      <c r="E155" s="3332">
        <v>27000</v>
      </c>
      <c r="F155" s="3328" t="s">
        <v>3804</v>
      </c>
      <c r="G155" s="3349" t="s">
        <v>3891</v>
      </c>
      <c r="H155" s="3350" t="s">
        <v>3951</v>
      </c>
      <c r="I155" s="3405">
        <v>27000</v>
      </c>
      <c r="K155">
        <f t="shared" si="4"/>
        <v>4.5598768833241508</v>
      </c>
    </row>
    <row r="156" spans="1:11" ht="15">
      <c r="A156" s="3427">
        <v>47</v>
      </c>
      <c r="B156" s="3419">
        <v>924</v>
      </c>
      <c r="C156" s="3428">
        <v>135.66</v>
      </c>
      <c r="D156" s="3337" t="s">
        <v>3711</v>
      </c>
      <c r="E156" s="3332">
        <v>19000</v>
      </c>
      <c r="F156" s="3328" t="s">
        <v>3696</v>
      </c>
      <c r="G156" s="3349" t="s">
        <v>3952</v>
      </c>
      <c r="H156" s="3350" t="s">
        <v>3892</v>
      </c>
      <c r="I156" s="3351">
        <v>12000</v>
      </c>
      <c r="K156">
        <f t="shared" si="4"/>
        <v>2.9081567738847522</v>
      </c>
    </row>
    <row r="157" spans="1:11" ht="15">
      <c r="A157" s="3441">
        <v>48</v>
      </c>
      <c r="B157" s="3361">
        <v>925</v>
      </c>
      <c r="C157" s="3365">
        <v>147.19</v>
      </c>
      <c r="D157" s="3389" t="s">
        <v>3714</v>
      </c>
      <c r="E157" s="3366">
        <v>19500</v>
      </c>
      <c r="F157" s="3361" t="s">
        <v>3696</v>
      </c>
      <c r="G157" s="3380" t="s">
        <v>3893</v>
      </c>
      <c r="H157" s="3361" t="s">
        <v>3894</v>
      </c>
      <c r="I157" s="3368">
        <v>19500</v>
      </c>
      <c r="K157">
        <f t="shared" si="4"/>
        <v>4.3555668891294168</v>
      </c>
    </row>
    <row r="158" spans="1:11" ht="15">
      <c r="A158" s="3434">
        <v>49</v>
      </c>
      <c r="B158" s="3425">
        <v>1021</v>
      </c>
      <c r="C158" s="3435">
        <v>158.19999999999999</v>
      </c>
      <c r="D158" s="3339" t="s">
        <v>3708</v>
      </c>
      <c r="E158" s="3341">
        <v>21000</v>
      </c>
      <c r="F158" s="3339" t="s">
        <v>3696</v>
      </c>
      <c r="G158" s="3440" t="s">
        <v>3953</v>
      </c>
      <c r="H158" s="3439" t="s">
        <v>3761</v>
      </c>
      <c r="I158" s="3377">
        <v>21000</v>
      </c>
      <c r="K158">
        <f t="shared" si="4"/>
        <v>4.3641653533761673</v>
      </c>
    </row>
    <row r="159" spans="1:11" ht="15">
      <c r="A159" s="3427">
        <v>50</v>
      </c>
      <c r="B159" s="3328">
        <v>1022</v>
      </c>
      <c r="C159" s="3347">
        <v>154.30000000000001</v>
      </c>
      <c r="D159" s="3332" t="s">
        <v>3754</v>
      </c>
      <c r="E159" s="3332">
        <v>20000</v>
      </c>
      <c r="F159" s="3328" t="s">
        <v>3696</v>
      </c>
      <c r="G159" s="3349" t="s">
        <v>3954</v>
      </c>
      <c r="H159" s="3350" t="s">
        <v>3951</v>
      </c>
      <c r="I159" s="3405">
        <v>20000</v>
      </c>
      <c r="K159">
        <f t="shared" si="4"/>
        <v>4.2614014684079224</v>
      </c>
    </row>
    <row r="160" spans="1:11" ht="15">
      <c r="A160" s="3434">
        <v>51</v>
      </c>
      <c r="B160" s="3339">
        <v>1023</v>
      </c>
      <c r="C160" s="3340">
        <v>194.67</v>
      </c>
      <c r="D160" s="3372" t="s">
        <v>3710</v>
      </c>
      <c r="E160" s="3374">
        <v>27000</v>
      </c>
      <c r="F160" s="3339" t="s">
        <v>3804</v>
      </c>
      <c r="G160" s="3375" t="s">
        <v>3955</v>
      </c>
      <c r="H160" s="3339" t="s">
        <v>3814</v>
      </c>
      <c r="I160" s="3343">
        <v>27000</v>
      </c>
      <c r="K160">
        <f t="shared" si="4"/>
        <v>4.5598768833241508</v>
      </c>
    </row>
    <row r="161" spans="1:11" ht="15">
      <c r="A161" s="3427">
        <v>52</v>
      </c>
      <c r="B161" s="3328">
        <v>1024</v>
      </c>
      <c r="C161" s="3347">
        <v>135.66</v>
      </c>
      <c r="D161" s="3337" t="s">
        <v>3711</v>
      </c>
      <c r="E161" s="3332">
        <v>19000</v>
      </c>
      <c r="F161" s="3328" t="s">
        <v>3696</v>
      </c>
      <c r="G161" s="3349" t="s">
        <v>3896</v>
      </c>
      <c r="H161" s="3328" t="s">
        <v>3956</v>
      </c>
      <c r="I161" s="3354">
        <v>10000</v>
      </c>
      <c r="K161">
        <f t="shared" si="4"/>
        <v>2.4234639782372933</v>
      </c>
    </row>
    <row r="162" spans="1:11" ht="15">
      <c r="A162" s="3427">
        <v>53</v>
      </c>
      <c r="B162" s="3419">
        <v>1025</v>
      </c>
      <c r="C162" s="3428">
        <v>147.19</v>
      </c>
      <c r="D162" s="3328" t="s">
        <v>3714</v>
      </c>
      <c r="E162" s="3348">
        <v>19500</v>
      </c>
      <c r="F162" s="3328" t="s">
        <v>3696</v>
      </c>
      <c r="G162" s="3349" t="s">
        <v>3895</v>
      </c>
      <c r="H162" s="3328" t="s">
        <v>3786</v>
      </c>
      <c r="I162" s="3351">
        <v>19500</v>
      </c>
      <c r="K162">
        <f t="shared" si="4"/>
        <v>4.3555668891294168</v>
      </c>
    </row>
    <row r="163" spans="1:11" ht="15">
      <c r="A163" s="3427">
        <v>54</v>
      </c>
      <c r="B163" s="3419">
        <v>1121</v>
      </c>
      <c r="C163" s="3428">
        <v>158.19999999999999</v>
      </c>
      <c r="D163" s="3328" t="s">
        <v>3708</v>
      </c>
      <c r="E163" s="3348">
        <v>21000</v>
      </c>
      <c r="F163" s="3328" t="s">
        <v>3696</v>
      </c>
      <c r="G163" s="3349" t="s">
        <v>3896</v>
      </c>
      <c r="H163" s="3328" t="s">
        <v>3957</v>
      </c>
      <c r="I163" s="3351">
        <v>21000</v>
      </c>
      <c r="K163">
        <f t="shared" si="4"/>
        <v>4.3641653533761673</v>
      </c>
    </row>
    <row r="164" spans="1:11" ht="15">
      <c r="A164" s="3427">
        <v>55</v>
      </c>
      <c r="B164" s="3328">
        <v>1122</v>
      </c>
      <c r="C164" s="3347">
        <v>154.30000000000001</v>
      </c>
      <c r="D164" s="3446" t="s">
        <v>3754</v>
      </c>
      <c r="E164" s="3447">
        <v>20000</v>
      </c>
      <c r="F164" s="3328" t="s">
        <v>3696</v>
      </c>
      <c r="G164" s="3349" t="s">
        <v>3958</v>
      </c>
      <c r="H164" s="3328" t="s">
        <v>3827</v>
      </c>
      <c r="I164" s="3354">
        <v>20000</v>
      </c>
      <c r="K164">
        <f t="shared" si="4"/>
        <v>4.2614014684079224</v>
      </c>
    </row>
    <row r="165" spans="1:11" ht="15">
      <c r="A165" s="3441">
        <v>56</v>
      </c>
      <c r="B165" s="3361">
        <v>1124</v>
      </c>
      <c r="C165" s="3365">
        <v>135.66</v>
      </c>
      <c r="D165" s="3389" t="s">
        <v>3711</v>
      </c>
      <c r="E165" s="3366">
        <v>19000</v>
      </c>
      <c r="F165" s="3361" t="s">
        <v>3696</v>
      </c>
      <c r="G165" s="3380" t="s">
        <v>3897</v>
      </c>
      <c r="H165" s="3361" t="s">
        <v>3959</v>
      </c>
      <c r="I165" s="3368">
        <v>12000</v>
      </c>
      <c r="K165">
        <f t="shared" si="4"/>
        <v>2.9081567738847522</v>
      </c>
    </row>
    <row r="166" spans="1:11" ht="15">
      <c r="A166" s="3427">
        <v>57</v>
      </c>
      <c r="B166" s="3328">
        <v>1125</v>
      </c>
      <c r="C166" s="3347">
        <v>147.19</v>
      </c>
      <c r="D166" s="3337" t="s">
        <v>3714</v>
      </c>
      <c r="E166" s="3332">
        <v>19500</v>
      </c>
      <c r="F166" s="3328" t="s">
        <v>3696</v>
      </c>
      <c r="G166" s="3349" t="s">
        <v>3960</v>
      </c>
      <c r="H166" s="3328" t="s">
        <v>3961</v>
      </c>
      <c r="I166" s="3354">
        <v>17500</v>
      </c>
      <c r="K166">
        <f t="shared" si="4"/>
        <v>3.9088420799879384</v>
      </c>
    </row>
    <row r="167" spans="1:11" ht="15">
      <c r="A167" s="3427">
        <v>58</v>
      </c>
      <c r="B167" s="3419">
        <v>1221</v>
      </c>
      <c r="C167" s="3428">
        <v>158.19999999999999</v>
      </c>
      <c r="D167" s="3328" t="s">
        <v>3754</v>
      </c>
      <c r="E167" s="3348">
        <v>20000</v>
      </c>
      <c r="F167" s="3328" t="s">
        <v>3696</v>
      </c>
      <c r="G167" s="3399" t="s">
        <v>3898</v>
      </c>
      <c r="H167" s="3430" t="s">
        <v>3761</v>
      </c>
      <c r="I167" s="3351">
        <v>20000</v>
      </c>
      <c r="K167">
        <f t="shared" si="4"/>
        <v>4.156347955596349</v>
      </c>
    </row>
    <row r="168" spans="1:11" ht="15">
      <c r="A168" s="3441">
        <v>59</v>
      </c>
      <c r="B168" s="3420">
        <v>1222</v>
      </c>
      <c r="C168" s="3442">
        <v>154.30000000000001</v>
      </c>
      <c r="D168" s="3366" t="s">
        <v>3754</v>
      </c>
      <c r="E168" s="3366">
        <v>20000</v>
      </c>
      <c r="F168" s="3361" t="s">
        <v>3696</v>
      </c>
      <c r="G168" s="3448" t="s">
        <v>3899</v>
      </c>
      <c r="H168" s="3444" t="s">
        <v>3900</v>
      </c>
      <c r="I168" s="3364">
        <v>20000</v>
      </c>
      <c r="K168">
        <f t="shared" si="4"/>
        <v>4.2614014684079224</v>
      </c>
    </row>
    <row r="169" spans="1:11" ht="15">
      <c r="A169" s="3434">
        <v>60</v>
      </c>
      <c r="B169" s="3339">
        <v>1223</v>
      </c>
      <c r="C169" s="3340">
        <v>194.67</v>
      </c>
      <c r="D169" s="3372" t="s">
        <v>3710</v>
      </c>
      <c r="E169" s="3374">
        <v>27000</v>
      </c>
      <c r="F169" s="3339" t="s">
        <v>3804</v>
      </c>
      <c r="G169" s="3342" t="s">
        <v>3962</v>
      </c>
      <c r="H169" s="3339" t="s">
        <v>3814</v>
      </c>
      <c r="I169" s="3343">
        <v>27000</v>
      </c>
      <c r="K169">
        <f t="shared" si="4"/>
        <v>4.5598768833241508</v>
      </c>
    </row>
    <row r="170" spans="1:11" ht="15">
      <c r="A170" s="3441">
        <v>61</v>
      </c>
      <c r="B170" s="3420">
        <v>1224</v>
      </c>
      <c r="C170" s="3442">
        <v>135.66</v>
      </c>
      <c r="D170" s="3361" t="s">
        <v>3711</v>
      </c>
      <c r="E170" s="3369">
        <v>19000</v>
      </c>
      <c r="F170" s="3361" t="s">
        <v>3696</v>
      </c>
      <c r="G170" s="3448" t="s">
        <v>3893</v>
      </c>
      <c r="H170" s="3401" t="s">
        <v>3706</v>
      </c>
      <c r="I170" s="3368">
        <v>19000</v>
      </c>
      <c r="K170">
        <f t="shared" si="4"/>
        <v>4.6045815586508576</v>
      </c>
    </row>
    <row r="171" spans="1:11" ht="15">
      <c r="A171" s="3427">
        <v>62</v>
      </c>
      <c r="B171" s="3328">
        <v>1225</v>
      </c>
      <c r="C171" s="3347">
        <v>147.19</v>
      </c>
      <c r="D171" s="3337" t="s">
        <v>3714</v>
      </c>
      <c r="E171" s="3332">
        <v>19500</v>
      </c>
      <c r="F171" s="3328" t="s">
        <v>3696</v>
      </c>
      <c r="G171" s="3349" t="s">
        <v>3963</v>
      </c>
      <c r="H171" s="3328" t="s">
        <v>3901</v>
      </c>
      <c r="I171" s="3354">
        <v>19000</v>
      </c>
      <c r="K171">
        <f t="shared" si="4"/>
        <v>4.2438856868440471</v>
      </c>
    </row>
    <row r="172" spans="1:11" ht="15">
      <c r="A172" s="3427">
        <v>63</v>
      </c>
      <c r="B172" s="3419">
        <v>1321</v>
      </c>
      <c r="C172" s="3428">
        <v>158.19999999999999</v>
      </c>
      <c r="D172" s="3328" t="s">
        <v>3708</v>
      </c>
      <c r="E172" s="3348">
        <v>21000</v>
      </c>
      <c r="F172" s="3328" t="s">
        <v>3696</v>
      </c>
      <c r="G172" s="3404" t="s">
        <v>3964</v>
      </c>
      <c r="H172" s="3430" t="s">
        <v>3761</v>
      </c>
      <c r="I172" s="3351">
        <v>21000</v>
      </c>
      <c r="K172">
        <f t="shared" si="4"/>
        <v>4.3641653533761673</v>
      </c>
    </row>
    <row r="173" spans="1:11" ht="15">
      <c r="A173" s="3427">
        <v>64</v>
      </c>
      <c r="B173" s="3328">
        <v>1322</v>
      </c>
      <c r="C173" s="3428">
        <v>154.30000000000001</v>
      </c>
      <c r="D173" s="3332" t="s">
        <v>3754</v>
      </c>
      <c r="E173" s="3332">
        <v>20000</v>
      </c>
      <c r="F173" s="3328" t="s">
        <v>3696</v>
      </c>
      <c r="G173" s="3349" t="s">
        <v>3965</v>
      </c>
      <c r="H173" s="3350" t="s">
        <v>3857</v>
      </c>
      <c r="I173" s="3351">
        <v>18000</v>
      </c>
      <c r="K173">
        <f t="shared" si="4"/>
        <v>3.8352613215671303</v>
      </c>
    </row>
    <row r="174" spans="1:11" ht="15">
      <c r="A174" s="3427">
        <v>65</v>
      </c>
      <c r="B174" s="3328">
        <v>1323</v>
      </c>
      <c r="C174" s="3428">
        <v>194.67</v>
      </c>
      <c r="D174" s="3337" t="s">
        <v>3710</v>
      </c>
      <c r="E174" s="3332">
        <v>27000</v>
      </c>
      <c r="F174" s="3328" t="s">
        <v>3804</v>
      </c>
      <c r="G174" s="3404" t="s">
        <v>3966</v>
      </c>
      <c r="H174" s="3328" t="s">
        <v>3967</v>
      </c>
      <c r="I174" s="3405">
        <v>18500</v>
      </c>
      <c r="K174">
        <f t="shared" si="4"/>
        <v>3.1243600867221031</v>
      </c>
    </row>
    <row r="175" spans="1:11" ht="15">
      <c r="A175" s="3434">
        <v>66</v>
      </c>
      <c r="B175" s="3425">
        <v>1324</v>
      </c>
      <c r="C175" s="3435">
        <v>135.66</v>
      </c>
      <c r="D175" s="3339" t="s">
        <v>3711</v>
      </c>
      <c r="E175" s="3341">
        <v>19000</v>
      </c>
      <c r="F175" s="3339" t="s">
        <v>3696</v>
      </c>
      <c r="G175" s="3449" t="s">
        <v>3968</v>
      </c>
      <c r="H175" s="3382" t="s">
        <v>3761</v>
      </c>
      <c r="I175" s="3377">
        <v>19000</v>
      </c>
      <c r="K175">
        <f t="shared" si="4"/>
        <v>4.6045815586508576</v>
      </c>
    </row>
    <row r="176" spans="1:11" ht="15">
      <c r="A176" s="3427">
        <v>67</v>
      </c>
      <c r="B176" s="3328">
        <v>1325</v>
      </c>
      <c r="C176" s="3347">
        <v>147.19</v>
      </c>
      <c r="D176" s="3337" t="s">
        <v>3714</v>
      </c>
      <c r="E176" s="3332">
        <v>19500</v>
      </c>
      <c r="F176" s="3328" t="s">
        <v>3696</v>
      </c>
      <c r="G176" s="3349" t="s">
        <v>3969</v>
      </c>
      <c r="H176" s="3328" t="s">
        <v>3970</v>
      </c>
      <c r="I176" s="3354">
        <v>16700</v>
      </c>
      <c r="K176">
        <f t="shared" si="4"/>
        <v>3.7301521563313469</v>
      </c>
    </row>
    <row r="177" spans="1:11" ht="15">
      <c r="A177" s="3434">
        <v>68</v>
      </c>
      <c r="B177" s="3339">
        <v>1421</v>
      </c>
      <c r="C177" s="3340">
        <v>158.19999999999999</v>
      </c>
      <c r="D177" s="3339" t="s">
        <v>3708</v>
      </c>
      <c r="E177" s="3341">
        <v>21000</v>
      </c>
      <c r="F177" s="3339" t="s">
        <v>3696</v>
      </c>
      <c r="G177" s="3375" t="s">
        <v>3971</v>
      </c>
      <c r="H177" s="3339" t="s">
        <v>3972</v>
      </c>
      <c r="I177" s="3343">
        <v>21000</v>
      </c>
      <c r="K177">
        <f t="shared" si="4"/>
        <v>4.3641653533761673</v>
      </c>
    </row>
    <row r="178" spans="1:11" ht="15">
      <c r="A178" s="3427">
        <v>69</v>
      </c>
      <c r="B178" s="3328">
        <v>1423</v>
      </c>
      <c r="C178" s="3347">
        <v>194.67</v>
      </c>
      <c r="D178" s="3337" t="s">
        <v>3710</v>
      </c>
      <c r="E178" s="3332">
        <v>27000</v>
      </c>
      <c r="F178" s="3328" t="s">
        <v>3804</v>
      </c>
      <c r="G178" s="3349" t="s">
        <v>3973</v>
      </c>
      <c r="H178" s="3328" t="s">
        <v>3814</v>
      </c>
      <c r="I178" s="3354">
        <v>27000</v>
      </c>
      <c r="K178">
        <f t="shared" si="4"/>
        <v>4.5598768833241508</v>
      </c>
    </row>
    <row r="179" spans="1:11" ht="15">
      <c r="A179" s="3441">
        <v>70</v>
      </c>
      <c r="B179" s="3361">
        <v>1424</v>
      </c>
      <c r="C179" s="3365">
        <v>135.66</v>
      </c>
      <c r="D179" s="3389" t="s">
        <v>3711</v>
      </c>
      <c r="E179" s="3366">
        <v>19000</v>
      </c>
      <c r="F179" s="3361" t="s">
        <v>3696</v>
      </c>
      <c r="G179" s="3380" t="s">
        <v>3902</v>
      </c>
      <c r="H179" s="3361" t="s">
        <v>3974</v>
      </c>
      <c r="I179" s="3368">
        <v>11500</v>
      </c>
      <c r="K179">
        <f t="shared" ref="K179:K205" si="5">I179*12/365/C179</f>
        <v>2.7869835749728877</v>
      </c>
    </row>
    <row r="180" spans="1:11" ht="15">
      <c r="A180" s="3441">
        <v>71</v>
      </c>
      <c r="B180" s="3420">
        <v>1521</v>
      </c>
      <c r="C180" s="3442">
        <v>158.19999999999999</v>
      </c>
      <c r="D180" s="3361" t="s">
        <v>3708</v>
      </c>
      <c r="E180" s="3369">
        <v>21000</v>
      </c>
      <c r="F180" s="3361" t="s">
        <v>3696</v>
      </c>
      <c r="G180" s="3380" t="s">
        <v>3903</v>
      </c>
      <c r="H180" s="3444" t="s">
        <v>3904</v>
      </c>
      <c r="I180" s="3364">
        <v>21000</v>
      </c>
      <c r="K180">
        <f t="shared" si="5"/>
        <v>4.3641653533761673</v>
      </c>
    </row>
    <row r="181" spans="1:11" ht="15">
      <c r="A181" s="3441">
        <v>72</v>
      </c>
      <c r="B181" s="3361">
        <v>1522</v>
      </c>
      <c r="C181" s="3365">
        <v>154.30000000000001</v>
      </c>
      <c r="D181" s="3366" t="s">
        <v>3754</v>
      </c>
      <c r="E181" s="3366">
        <v>20000</v>
      </c>
      <c r="F181" s="3361" t="s">
        <v>3696</v>
      </c>
      <c r="G181" s="3380" t="s">
        <v>3905</v>
      </c>
      <c r="H181" s="3361" t="s">
        <v>3906</v>
      </c>
      <c r="I181" s="3368">
        <v>21800</v>
      </c>
      <c r="K181">
        <f t="shared" si="5"/>
        <v>4.6449276005646354</v>
      </c>
    </row>
    <row r="182" spans="1:11" ht="15">
      <c r="A182" s="3427">
        <v>73</v>
      </c>
      <c r="B182" s="3328">
        <v>1524</v>
      </c>
      <c r="C182" s="3347">
        <v>135.66</v>
      </c>
      <c r="D182" s="3337" t="s">
        <v>3711</v>
      </c>
      <c r="E182" s="3332">
        <v>19000</v>
      </c>
      <c r="F182" s="3328" t="s">
        <v>3696</v>
      </c>
      <c r="G182" s="3349" t="s">
        <v>3975</v>
      </c>
      <c r="H182" s="3328" t="s">
        <v>3976</v>
      </c>
      <c r="I182" s="3354">
        <v>20000</v>
      </c>
      <c r="K182">
        <f t="shared" si="5"/>
        <v>4.8469279564745866</v>
      </c>
    </row>
    <row r="183" spans="1:11" ht="15">
      <c r="A183" s="3427">
        <v>74</v>
      </c>
      <c r="B183" s="3328">
        <v>1525</v>
      </c>
      <c r="C183" s="3347">
        <v>147.19</v>
      </c>
      <c r="D183" s="3337" t="s">
        <v>3714</v>
      </c>
      <c r="E183" s="3332">
        <v>19500</v>
      </c>
      <c r="F183" s="3328" t="s">
        <v>3696</v>
      </c>
      <c r="G183" s="3349" t="s">
        <v>3977</v>
      </c>
      <c r="H183" s="3328" t="s">
        <v>3978</v>
      </c>
      <c r="I183" s="3354">
        <v>9000</v>
      </c>
      <c r="K183">
        <f t="shared" si="5"/>
        <v>2.0102616411366543</v>
      </c>
    </row>
    <row r="184" spans="1:11" ht="15">
      <c r="A184" s="3441">
        <v>75</v>
      </c>
      <c r="B184" s="3420">
        <v>1621</v>
      </c>
      <c r="C184" s="3442">
        <v>158.19999999999999</v>
      </c>
      <c r="D184" s="3361" t="s">
        <v>3708</v>
      </c>
      <c r="E184" s="3369">
        <v>21000</v>
      </c>
      <c r="F184" s="3361" t="s">
        <v>3696</v>
      </c>
      <c r="G184" s="3443" t="s">
        <v>3907</v>
      </c>
      <c r="H184" s="3444" t="s">
        <v>3894</v>
      </c>
      <c r="I184" s="3364">
        <v>21000</v>
      </c>
      <c r="K184">
        <f t="shared" si="5"/>
        <v>4.3641653533761673</v>
      </c>
    </row>
    <row r="185" spans="1:11" ht="15">
      <c r="A185" s="3427">
        <v>76</v>
      </c>
      <c r="B185" s="3328">
        <v>1623</v>
      </c>
      <c r="C185" s="3347">
        <v>194.67</v>
      </c>
      <c r="D185" s="3337" t="s">
        <v>3710</v>
      </c>
      <c r="E185" s="3332">
        <v>27000</v>
      </c>
      <c r="F185" s="3328" t="s">
        <v>3804</v>
      </c>
      <c r="G185" s="3349" t="s">
        <v>3979</v>
      </c>
      <c r="H185" s="3328" t="s">
        <v>3814</v>
      </c>
      <c r="I185" s="3354">
        <v>27000</v>
      </c>
      <c r="K185">
        <f t="shared" si="5"/>
        <v>4.5598768833241508</v>
      </c>
    </row>
    <row r="186" spans="1:11" ht="15">
      <c r="A186" s="3427">
        <v>77</v>
      </c>
      <c r="B186" s="3419">
        <v>1624</v>
      </c>
      <c r="C186" s="3428">
        <v>135.66</v>
      </c>
      <c r="D186" s="3834" t="s">
        <v>3738</v>
      </c>
      <c r="E186" s="3836">
        <v>31500</v>
      </c>
      <c r="F186" s="3337" t="s">
        <v>3696</v>
      </c>
      <c r="G186" s="3842" t="s">
        <v>3980</v>
      </c>
      <c r="H186" s="3844" t="s">
        <v>3847</v>
      </c>
      <c r="I186" s="3846">
        <v>25000</v>
      </c>
      <c r="K186">
        <f>I186*12/365/(C186+C187)</f>
        <v>2.905843408941764</v>
      </c>
    </row>
    <row r="187" spans="1:11" ht="15">
      <c r="A187" s="3427">
        <v>78</v>
      </c>
      <c r="B187" s="3419">
        <v>1625</v>
      </c>
      <c r="C187" s="3428">
        <v>147.19</v>
      </c>
      <c r="D187" s="3835"/>
      <c r="E187" s="3837"/>
      <c r="F187" s="3337" t="s">
        <v>3696</v>
      </c>
      <c r="G187" s="3843"/>
      <c r="H187" s="3845"/>
      <c r="I187" s="3847"/>
    </row>
    <row r="188" spans="1:11" ht="15">
      <c r="A188" s="3441">
        <v>79</v>
      </c>
      <c r="B188" s="3361">
        <v>1721</v>
      </c>
      <c r="C188" s="3365">
        <v>158.19999999999999</v>
      </c>
      <c r="D188" s="3361" t="s">
        <v>3708</v>
      </c>
      <c r="E188" s="3369">
        <v>21000</v>
      </c>
      <c r="F188" s="3361" t="s">
        <v>3696</v>
      </c>
      <c r="G188" s="3380" t="s">
        <v>3903</v>
      </c>
      <c r="H188" s="3361" t="s">
        <v>3904</v>
      </c>
      <c r="I188" s="3368">
        <v>20000</v>
      </c>
      <c r="K188">
        <f t="shared" si="5"/>
        <v>4.156347955596349</v>
      </c>
    </row>
    <row r="189" spans="1:11" ht="15">
      <c r="A189" s="3427">
        <v>80</v>
      </c>
      <c r="B189" s="3328">
        <v>1722</v>
      </c>
      <c r="C189" s="3347">
        <v>154.30000000000001</v>
      </c>
      <c r="D189" s="3332" t="s">
        <v>3754</v>
      </c>
      <c r="E189" s="3332">
        <v>20000</v>
      </c>
      <c r="F189" s="3328" t="s">
        <v>3696</v>
      </c>
      <c r="G189" s="3349" t="s">
        <v>3981</v>
      </c>
      <c r="H189" s="3328" t="s">
        <v>3982</v>
      </c>
      <c r="I189" s="3354">
        <v>19500</v>
      </c>
      <c r="K189">
        <f t="shared" si="5"/>
        <v>4.154866431697724</v>
      </c>
    </row>
    <row r="190" spans="1:11" ht="15">
      <c r="A190" s="3427">
        <v>81</v>
      </c>
      <c r="B190" s="3337">
        <v>1723</v>
      </c>
      <c r="C190" s="3428">
        <v>194.67</v>
      </c>
      <c r="D190" s="3337" t="s">
        <v>3710</v>
      </c>
      <c r="E190" s="3332">
        <v>27000</v>
      </c>
      <c r="F190" s="3328" t="s">
        <v>3804</v>
      </c>
      <c r="G190" s="3404" t="s">
        <v>3983</v>
      </c>
      <c r="H190" s="3328" t="s">
        <v>3812</v>
      </c>
      <c r="I190" s="3405">
        <v>27000</v>
      </c>
      <c r="K190">
        <f t="shared" si="5"/>
        <v>4.5598768833241508</v>
      </c>
    </row>
    <row r="191" spans="1:11" ht="15">
      <c r="A191" s="3427">
        <v>82</v>
      </c>
      <c r="B191" s="3419">
        <v>1724</v>
      </c>
      <c r="C191" s="3428">
        <v>135.66</v>
      </c>
      <c r="D191" s="3834" t="s">
        <v>3738</v>
      </c>
      <c r="E191" s="3836">
        <v>31500</v>
      </c>
      <c r="F191" s="3337" t="s">
        <v>3696</v>
      </c>
      <c r="G191" s="3842" t="s">
        <v>3984</v>
      </c>
      <c r="H191" s="3844" t="s">
        <v>3985</v>
      </c>
      <c r="I191" s="3846">
        <v>22000</v>
      </c>
      <c r="K191">
        <f>I191*12/365/(C191+C192)</f>
        <v>2.5571421998687525</v>
      </c>
    </row>
    <row r="192" spans="1:11" ht="15">
      <c r="A192" s="3427">
        <v>83</v>
      </c>
      <c r="B192" s="3419">
        <v>1725</v>
      </c>
      <c r="C192" s="3428">
        <v>147.19</v>
      </c>
      <c r="D192" s="3835"/>
      <c r="E192" s="3837"/>
      <c r="F192" s="3337" t="s">
        <v>3696</v>
      </c>
      <c r="G192" s="3843"/>
      <c r="H192" s="3845"/>
      <c r="I192" s="3847"/>
    </row>
    <row r="193" spans="1:11" ht="15">
      <c r="A193" s="3427">
        <v>84</v>
      </c>
      <c r="B193" s="3419">
        <v>1821</v>
      </c>
      <c r="C193" s="3428">
        <v>158.19999999999999</v>
      </c>
      <c r="D193" s="3328" t="s">
        <v>3708</v>
      </c>
      <c r="E193" s="3348">
        <v>21000</v>
      </c>
      <c r="F193" s="3328" t="s">
        <v>3696</v>
      </c>
      <c r="G193" s="3431" t="s">
        <v>3986</v>
      </c>
      <c r="H193" s="3430" t="s">
        <v>3806</v>
      </c>
      <c r="I193" s="3351">
        <v>20000</v>
      </c>
      <c r="K193">
        <f t="shared" si="5"/>
        <v>4.156347955596349</v>
      </c>
    </row>
    <row r="194" spans="1:11" ht="15">
      <c r="A194" s="3427">
        <v>85</v>
      </c>
      <c r="B194" s="3328">
        <v>1822</v>
      </c>
      <c r="C194" s="3347">
        <v>154.30000000000001</v>
      </c>
      <c r="D194" s="3332" t="s">
        <v>3754</v>
      </c>
      <c r="E194" s="3332">
        <v>20000</v>
      </c>
      <c r="F194" s="3328" t="s">
        <v>3696</v>
      </c>
      <c r="G194" s="3349" t="s">
        <v>3987</v>
      </c>
      <c r="H194" s="3328" t="s">
        <v>3988</v>
      </c>
      <c r="I194" s="3354">
        <v>18000</v>
      </c>
      <c r="K194">
        <f t="shared" si="5"/>
        <v>3.8352613215671303</v>
      </c>
    </row>
    <row r="195" spans="1:11" ht="15">
      <c r="A195" s="3427">
        <v>86</v>
      </c>
      <c r="B195" s="3328">
        <v>1824</v>
      </c>
      <c r="C195" s="3347">
        <v>135.66</v>
      </c>
      <c r="D195" s="3337" t="s">
        <v>3711</v>
      </c>
      <c r="E195" s="3332">
        <v>19000</v>
      </c>
      <c r="F195" s="3328" t="s">
        <v>3696</v>
      </c>
      <c r="G195" s="3349" t="s">
        <v>3989</v>
      </c>
      <c r="H195" s="3328" t="s">
        <v>3990</v>
      </c>
      <c r="I195" s="3354">
        <v>13000</v>
      </c>
      <c r="K195">
        <f t="shared" si="5"/>
        <v>3.1505031717084817</v>
      </c>
    </row>
    <row r="196" spans="1:11" ht="15">
      <c r="A196" s="3441">
        <v>87</v>
      </c>
      <c r="B196" s="3420">
        <v>1825</v>
      </c>
      <c r="C196" s="3442">
        <v>147.19</v>
      </c>
      <c r="D196" s="3450"/>
      <c r="E196" s="3451"/>
      <c r="F196" s="3361" t="s">
        <v>3696</v>
      </c>
      <c r="G196" s="3443" t="s">
        <v>3908</v>
      </c>
      <c r="H196" s="3444" t="s">
        <v>3718</v>
      </c>
      <c r="I196" s="3364">
        <v>14000</v>
      </c>
      <c r="K196">
        <f t="shared" si="5"/>
        <v>3.1270736639903509</v>
      </c>
    </row>
    <row r="197" spans="1:11" ht="15">
      <c r="A197" s="3441">
        <v>88</v>
      </c>
      <c r="B197" s="3420">
        <v>1921</v>
      </c>
      <c r="C197" s="3442">
        <v>158.19999999999999</v>
      </c>
      <c r="D197" s="3361" t="s">
        <v>3708</v>
      </c>
      <c r="E197" s="3369">
        <v>21000</v>
      </c>
      <c r="F197" s="3361" t="s">
        <v>3696</v>
      </c>
      <c r="G197" s="3443" t="s">
        <v>3909</v>
      </c>
      <c r="H197" s="3444" t="s">
        <v>3910</v>
      </c>
      <c r="I197" s="3364">
        <v>20000</v>
      </c>
      <c r="K197">
        <f t="shared" si="5"/>
        <v>4.156347955596349</v>
      </c>
    </row>
    <row r="198" spans="1:11" ht="15">
      <c r="A198" s="3427">
        <v>89</v>
      </c>
      <c r="B198" s="3419">
        <v>1922</v>
      </c>
      <c r="C198" s="3428">
        <v>154.30000000000001</v>
      </c>
      <c r="D198" s="3348" t="s">
        <v>3754</v>
      </c>
      <c r="E198" s="3348">
        <v>20000</v>
      </c>
      <c r="F198" s="3328" t="s">
        <v>3696</v>
      </c>
      <c r="G198" s="3349" t="s">
        <v>3849</v>
      </c>
      <c r="H198" s="3430" t="s">
        <v>3826</v>
      </c>
      <c r="I198" s="3351">
        <v>20000</v>
      </c>
      <c r="K198">
        <f t="shared" si="5"/>
        <v>4.2614014684079224</v>
      </c>
    </row>
    <row r="199" spans="1:11" ht="15">
      <c r="A199" s="3441">
        <v>90</v>
      </c>
      <c r="B199" s="3420">
        <v>2021</v>
      </c>
      <c r="C199" s="3442">
        <v>158.19999999999999</v>
      </c>
      <c r="D199" s="3361" t="s">
        <v>3708</v>
      </c>
      <c r="E199" s="3369">
        <v>21000</v>
      </c>
      <c r="F199" s="3361" t="s">
        <v>3696</v>
      </c>
      <c r="G199" s="3443" t="s">
        <v>3911</v>
      </c>
      <c r="H199" s="3444" t="s">
        <v>3912</v>
      </c>
      <c r="I199" s="3364">
        <v>20000</v>
      </c>
      <c r="K199">
        <f t="shared" si="5"/>
        <v>4.156347955596349</v>
      </c>
    </row>
    <row r="200" spans="1:11" ht="15">
      <c r="A200" s="3427">
        <v>91</v>
      </c>
      <c r="B200" s="3419">
        <v>2022</v>
      </c>
      <c r="C200" s="3428">
        <v>154.30000000000001</v>
      </c>
      <c r="D200" s="3348" t="s">
        <v>3754</v>
      </c>
      <c r="E200" s="3348">
        <v>20000</v>
      </c>
      <c r="F200" s="3328" t="s">
        <v>3696</v>
      </c>
      <c r="G200" s="3431" t="s">
        <v>3709</v>
      </c>
      <c r="H200" s="3430" t="s">
        <v>3812</v>
      </c>
      <c r="I200" s="3351">
        <v>18000</v>
      </c>
      <c r="K200">
        <f t="shared" si="5"/>
        <v>3.8352613215671303</v>
      </c>
    </row>
    <row r="201" spans="1:11" ht="15">
      <c r="A201" s="3427">
        <v>92</v>
      </c>
      <c r="B201" s="3328">
        <v>2023</v>
      </c>
      <c r="C201" s="3428">
        <v>194.67</v>
      </c>
      <c r="D201" s="3834" t="s">
        <v>3991</v>
      </c>
      <c r="E201" s="3836">
        <v>35000</v>
      </c>
      <c r="F201" s="3328" t="s">
        <v>3804</v>
      </c>
      <c r="G201" s="3838" t="s">
        <v>3964</v>
      </c>
      <c r="H201" s="3839" t="s">
        <v>3992</v>
      </c>
      <c r="I201" s="3841">
        <v>30000</v>
      </c>
      <c r="K201">
        <f>I201*12/365/(C201+C202)</f>
        <v>2.9858062236642562</v>
      </c>
    </row>
    <row r="202" spans="1:11" ht="15">
      <c r="A202" s="3427">
        <v>93</v>
      </c>
      <c r="B202" s="3419">
        <v>2024</v>
      </c>
      <c r="C202" s="3428">
        <v>135.66</v>
      </c>
      <c r="D202" s="3835"/>
      <c r="E202" s="3837"/>
      <c r="F202" s="3328" t="s">
        <v>3696</v>
      </c>
      <c r="G202" s="3838"/>
      <c r="H202" s="3840"/>
      <c r="I202" s="3841"/>
    </row>
    <row r="203" spans="1:11" ht="15">
      <c r="A203" s="3427">
        <v>94</v>
      </c>
      <c r="B203" s="3419">
        <v>2025</v>
      </c>
      <c r="C203" s="3428">
        <v>147.19</v>
      </c>
      <c r="D203" s="3337" t="s">
        <v>3714</v>
      </c>
      <c r="E203" s="3332">
        <v>19500</v>
      </c>
      <c r="F203" s="3328" t="s">
        <v>3696</v>
      </c>
      <c r="G203" s="3404" t="s">
        <v>3898</v>
      </c>
      <c r="H203" s="3430" t="s">
        <v>3864</v>
      </c>
      <c r="I203" s="3351">
        <v>19500</v>
      </c>
      <c r="K203">
        <f t="shared" si="5"/>
        <v>4.3555668891294168</v>
      </c>
    </row>
    <row r="204" spans="1:11" ht="15">
      <c r="A204" s="3427">
        <v>95</v>
      </c>
      <c r="B204" s="3328">
        <v>2121</v>
      </c>
      <c r="C204" s="3428">
        <v>223.33</v>
      </c>
      <c r="D204" s="3337" t="s">
        <v>3873</v>
      </c>
      <c r="E204" s="3332">
        <v>28500</v>
      </c>
      <c r="F204" s="3328" t="s">
        <v>3804</v>
      </c>
      <c r="G204" s="3349" t="s">
        <v>3993</v>
      </c>
      <c r="H204" s="3328" t="s">
        <v>3810</v>
      </c>
      <c r="I204" s="3354">
        <v>28500</v>
      </c>
      <c r="K204">
        <f t="shared" si="5"/>
        <v>4.1955236706661125</v>
      </c>
    </row>
    <row r="205" spans="1:11" ht="15">
      <c r="A205" s="3434">
        <v>96</v>
      </c>
      <c r="B205" s="3425">
        <v>2123</v>
      </c>
      <c r="C205" s="3435">
        <v>236.91</v>
      </c>
      <c r="D205" s="3372" t="s">
        <v>3879</v>
      </c>
      <c r="E205" s="3374">
        <v>28500</v>
      </c>
      <c r="F205" s="3339" t="s">
        <v>3804</v>
      </c>
      <c r="G205" s="3440" t="s">
        <v>3994</v>
      </c>
      <c r="H205" s="3439" t="s">
        <v>3761</v>
      </c>
      <c r="I205" s="3377">
        <v>28500</v>
      </c>
      <c r="K205">
        <f t="shared" si="5"/>
        <v>3.9550306081206492</v>
      </c>
    </row>
    <row r="206" spans="1:11" ht="15">
      <c r="A206" s="3427">
        <v>97</v>
      </c>
      <c r="B206" s="3419" t="s">
        <v>3453</v>
      </c>
      <c r="C206" s="3428">
        <v>971.52</v>
      </c>
      <c r="D206" s="3452"/>
      <c r="E206" s="3453"/>
      <c r="F206" s="3328" t="s">
        <v>3750</v>
      </c>
      <c r="G206" s="3404" t="s">
        <v>3881</v>
      </c>
      <c r="H206" s="3430"/>
      <c r="I206" s="3351"/>
    </row>
    <row r="207" spans="1:11" ht="15.75" thickBot="1">
      <c r="A207" s="3454"/>
      <c r="B207" s="3455"/>
      <c r="C207" s="3456">
        <f>SUM(C114:C206)</f>
        <v>15061.300000000003</v>
      </c>
      <c r="D207" s="3455"/>
      <c r="E207" s="3457">
        <f t="shared" ref="E207" si="6">SUM(E114:E206)</f>
        <v>1804000</v>
      </c>
      <c r="F207" s="3457"/>
      <c r="G207" s="3457"/>
      <c r="H207" s="3457"/>
      <c r="I207" s="3457">
        <f>SUM(I114:I206)</f>
        <v>1753750</v>
      </c>
    </row>
    <row r="210" spans="4:9">
      <c r="E210" s="3460">
        <f t="shared" ref="E210" si="7">E207+E109</f>
        <v>3907500</v>
      </c>
      <c r="F210" s="3459"/>
      <c r="G210" s="3459"/>
      <c r="H210" s="3459"/>
      <c r="I210" s="3460">
        <f>I207+I109</f>
        <v>3924050</v>
      </c>
    </row>
    <row r="211" spans="4:9">
      <c r="D211" s="3248" t="s">
        <v>3995</v>
      </c>
      <c r="E211" s="3248">
        <f>E210*12</f>
        <v>46890000</v>
      </c>
      <c r="F211" s="3248"/>
      <c r="G211" s="3248"/>
      <c r="H211" s="3248" t="s">
        <v>3996</v>
      </c>
      <c r="I211" s="3248">
        <f>I210*12</f>
        <v>47088600</v>
      </c>
    </row>
    <row r="212" spans="4:9">
      <c r="H212" s="3248" t="s">
        <v>3997</v>
      </c>
      <c r="I212" s="3248">
        <f>抵押物清单!O204</f>
        <v>45864000</v>
      </c>
    </row>
  </sheetData>
  <mergeCells count="29">
    <mergeCell ref="A112:I112"/>
    <mergeCell ref="A1:I1"/>
    <mergeCell ref="D93:D94"/>
    <mergeCell ref="E93:E94"/>
    <mergeCell ref="D98:D99"/>
    <mergeCell ref="E98:E99"/>
    <mergeCell ref="G98:G99"/>
    <mergeCell ref="H98:H99"/>
    <mergeCell ref="I98:I99"/>
    <mergeCell ref="D100:D102"/>
    <mergeCell ref="E100:E102"/>
    <mergeCell ref="G100:G102"/>
    <mergeCell ref="H100:H102"/>
    <mergeCell ref="I100:I102"/>
    <mergeCell ref="D191:D192"/>
    <mergeCell ref="E191:E192"/>
    <mergeCell ref="G191:G192"/>
    <mergeCell ref="H191:H192"/>
    <mergeCell ref="I191:I192"/>
    <mergeCell ref="D186:D187"/>
    <mergeCell ref="E186:E187"/>
    <mergeCell ref="G186:G187"/>
    <mergeCell ref="H186:H187"/>
    <mergeCell ref="I186:I187"/>
    <mergeCell ref="D201:D202"/>
    <mergeCell ref="E201:E202"/>
    <mergeCell ref="G201:G202"/>
    <mergeCell ref="H201:H202"/>
    <mergeCell ref="I201:I202"/>
  </mergeCells>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79" sqref="L79"/>
    </sheetView>
  </sheetViews>
  <sheetFormatPr defaultRowHeight="13.5"/>
  <sheetData/>
  <phoneticPr fontId="140" type="noConversion"/>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499" t="s">
        <v>1386</v>
      </c>
      <c r="B1" s="3499"/>
      <c r="C1" s="3499"/>
      <c r="D1" s="3499"/>
    </row>
    <row r="2" spans="1:4" ht="18">
      <c r="A2" s="3500" t="s">
        <v>1370</v>
      </c>
      <c r="B2" s="3500"/>
      <c r="C2" s="3500"/>
      <c r="D2" s="3500"/>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500" t="s">
        <v>1376</v>
      </c>
      <c r="B6" s="3500"/>
      <c r="C6" s="3500"/>
      <c r="D6" s="3500"/>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501" t="s">
        <v>1379</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502" t="str">
        <f>IF(项目基本情况!B8="抵押","3.抵押双方在办理抵押登记手续时，应使用本公司出具的正式《房地产评估报告》，特提醒报告使用者注意。","——")</f>
        <v>——</v>
      </c>
      <c r="B13" s="3503"/>
      <c r="C13" s="3503"/>
      <c r="D13" s="3503"/>
    </row>
    <row r="14" spans="1:4" ht="15.75" customHeight="1">
      <c r="A14" s="3502" t="str">
        <f>IF(项目基本情况!B8="抵押","4.本次评估估价师所知悉的法定优先受偿款情况说明如下：","——")</f>
        <v>——</v>
      </c>
      <c r="B14" s="3503"/>
      <c r="C14" s="3503"/>
      <c r="D14" s="3503"/>
    </row>
    <row r="15" spans="1:4" ht="42" customHeight="1">
      <c r="A15" s="3502" t="str">
        <f>IF(项目基本情况!B8="抵押","（1）"&amp;CONCATENATE(项目基本情况!L20,项目基本情况!L21,项目基本情况!L22),"——")</f>
        <v>——</v>
      </c>
      <c r="B15" s="3502"/>
      <c r="C15" s="3502"/>
      <c r="D15" s="3502"/>
    </row>
    <row r="16" spans="1:4" ht="30" customHeight="1">
      <c r="A16" s="3505" t="s">
        <v>1380</v>
      </c>
      <c r="B16" s="3505"/>
      <c r="C16" s="3505"/>
      <c r="D16" s="3505"/>
    </row>
    <row r="17" spans="1:4" ht="144" customHeight="1">
      <c r="A17" s="3505" t="s">
        <v>1381</v>
      </c>
      <c r="B17" s="3505"/>
      <c r="C17" s="3505"/>
      <c r="D17" s="3505"/>
    </row>
    <row r="18" spans="1:4" ht="15.75" customHeight="1">
      <c r="A18" s="3502" t="str">
        <f>IF(项目基本情况!B8="抵押",结果表!K120,"——")</f>
        <v>——</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1382</v>
      </c>
      <c r="B22" s="3507"/>
      <c r="C22" s="3507"/>
      <c r="D22" s="3507"/>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513" t="s">
        <v>1393</v>
      </c>
      <c r="B15" s="3508" t="s">
        <v>136</v>
      </c>
      <c r="C15" s="3509"/>
    </row>
    <row r="16" spans="1:7" ht="13.5">
      <c r="A16" s="3514"/>
      <c r="B16" s="3508" t="s">
        <v>69</v>
      </c>
      <c r="C16" s="3509"/>
    </row>
    <row r="17" spans="1:3" ht="13.5">
      <c r="A17" s="3514"/>
      <c r="B17" s="3511" t="s">
        <v>1394</v>
      </c>
      <c r="C17" s="1664" t="s">
        <v>1393</v>
      </c>
    </row>
    <row r="18" spans="1:3" ht="13.5">
      <c r="A18" s="3514"/>
      <c r="B18" s="3511"/>
      <c r="C18" s="1664" t="s">
        <v>1395</v>
      </c>
    </row>
    <row r="19" spans="1:3" ht="13.5">
      <c r="A19" s="3514"/>
      <c r="B19" s="3511"/>
      <c r="C19" s="1664" t="s">
        <v>1396</v>
      </c>
    </row>
    <row r="20" spans="1:3" ht="13.5">
      <c r="A20" s="3515"/>
      <c r="B20" s="3510" t="s">
        <v>1397</v>
      </c>
      <c r="C20" s="3509"/>
    </row>
    <row r="21" spans="1:3" ht="13.5">
      <c r="A21" s="1665" t="s">
        <v>1398</v>
      </c>
      <c r="B21" s="1666"/>
      <c r="C21" s="1667"/>
    </row>
    <row r="22" spans="1:3" ht="13.5">
      <c r="A22" s="3512" t="s">
        <v>1399</v>
      </c>
      <c r="B22" s="3510" t="s">
        <v>1400</v>
      </c>
      <c r="C22" s="3509"/>
    </row>
    <row r="23" spans="1:3" ht="13.5">
      <c r="A23" s="3512"/>
      <c r="B23" s="3510" t="s">
        <v>1401</v>
      </c>
      <c r="C23" s="3509"/>
    </row>
    <row r="24" spans="1:3" ht="13.5">
      <c r="A24" s="3512"/>
      <c r="B24" s="3510" t="s">
        <v>1402</v>
      </c>
      <c r="C24" s="3509"/>
    </row>
    <row r="25" spans="1:3" ht="13.5">
      <c r="A25" s="3512"/>
      <c r="B25" s="3511" t="s">
        <v>1403</v>
      </c>
      <c r="C25" s="1664" t="s">
        <v>1404</v>
      </c>
    </row>
    <row r="26" spans="1:3" ht="13.5">
      <c r="A26" s="3512"/>
      <c r="B26" s="3511"/>
      <c r="C26" s="1664" t="s">
        <v>1405</v>
      </c>
    </row>
    <row r="27" spans="1:3" ht="13.5">
      <c r="A27" s="3512"/>
      <c r="B27" s="3511"/>
      <c r="C27" s="1664" t="s">
        <v>1406</v>
      </c>
    </row>
    <row r="28" spans="1:3" ht="13.5">
      <c r="A28" s="3512"/>
      <c r="B28" s="3511"/>
      <c r="C28" s="1664" t="s">
        <v>1407</v>
      </c>
    </row>
    <row r="29" spans="1:3" ht="13.5">
      <c r="A29" s="3512"/>
      <c r="B29" s="3511"/>
      <c r="C29" s="1664" t="s">
        <v>1408</v>
      </c>
    </row>
    <row r="30" spans="1:3" ht="13.5">
      <c r="A30" s="3512"/>
      <c r="B30" s="3511"/>
      <c r="C30" s="1664" t="s">
        <v>1409</v>
      </c>
    </row>
    <row r="31" spans="1:3" ht="13.5">
      <c r="A31" s="3512"/>
      <c r="B31" s="3511"/>
      <c r="C31" s="1664" t="s">
        <v>1410</v>
      </c>
    </row>
    <row r="32" spans="1:3" ht="13.5">
      <c r="A32" s="3512"/>
      <c r="B32" s="3511"/>
      <c r="C32" s="1664" t="s">
        <v>1411</v>
      </c>
    </row>
    <row r="33" spans="1:3" ht="13.5">
      <c r="A33" s="3512"/>
      <c r="B33" s="3511"/>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44901</v>
      </c>
      <c r="C2" s="2509" t="s">
        <v>2640</v>
      </c>
      <c r="D2" s="2509"/>
      <c r="E2" s="2509"/>
      <c r="F2" s="2505"/>
      <c r="G2" s="2505"/>
      <c r="H2" s="2505"/>
    </row>
    <row r="3" spans="1:8" ht="24" customHeight="1">
      <c r="A3" s="2510" t="s">
        <v>2641</v>
      </c>
      <c r="B3" s="2511" t="s">
        <v>2642</v>
      </c>
      <c r="C3" s="2511" t="s">
        <v>2643</v>
      </c>
      <c r="D3" s="2512" t="s">
        <v>2644</v>
      </c>
      <c r="E3" s="2513" t="s">
        <v>2645</v>
      </c>
      <c r="F3" s="1421" t="s">
        <v>2646</v>
      </c>
      <c r="G3" s="2511" t="s">
        <v>2643</v>
      </c>
      <c r="H3" s="2512" t="s">
        <v>2647</v>
      </c>
    </row>
    <row r="4" spans="1:8" ht="24" customHeight="1">
      <c r="A4" s="1421" t="s">
        <v>2648</v>
      </c>
      <c r="B4" s="1421" t="str">
        <f ca="1">IF(C4&lt;B2,"已过期",1119970066)</f>
        <v>已过期</v>
      </c>
      <c r="C4" s="2514">
        <v>44876</v>
      </c>
      <c r="D4" s="2515" t="str">
        <f ca="1">A4&amp;"（注册号："&amp;B4&amp;"）"</f>
        <v>梁津（注册号：已过期）</v>
      </c>
      <c r="E4" s="2516" t="s">
        <v>2648</v>
      </c>
      <c r="F4" s="1421">
        <f ca="1">IF(G4&lt;B2,"已过期",96010014)</f>
        <v>96010014</v>
      </c>
      <c r="G4" s="2517">
        <v>47118</v>
      </c>
      <c r="H4" s="2518" t="str">
        <f ca="1">E4&amp;"（注册号："&amp;F4&amp;"）"</f>
        <v>梁津（注册号：96010014）</v>
      </c>
    </row>
    <row r="5" spans="1:8" ht="24" customHeight="1">
      <c r="A5" s="1421" t="s">
        <v>2649</v>
      </c>
      <c r="B5" s="1421" t="str">
        <f ca="1">IF(C5&lt;B2,"已过期",1119970111)</f>
        <v>已过期</v>
      </c>
      <c r="C5" s="2514">
        <v>44876</v>
      </c>
      <c r="D5" s="2515" t="str">
        <f t="shared" ref="D5:D15" ca="1" si="0">A5&amp;"（注册号："&amp;B5&amp;"）"</f>
        <v>叶凌（注册号：已过期）</v>
      </c>
      <c r="E5" s="2516" t="s">
        <v>2649</v>
      </c>
      <c r="F5" s="1421">
        <f ca="1">IF(G5&lt;B2,"已过期",94010078)</f>
        <v>94010078</v>
      </c>
      <c r="G5" s="2517">
        <v>46387</v>
      </c>
      <c r="H5" s="2518" t="str">
        <f t="shared" ref="H5:H16" ca="1" si="1">E5&amp;"（注册号："&amp;F5&amp;"）"</f>
        <v>叶凌（注册号：94010078）</v>
      </c>
    </row>
    <row r="6" spans="1:8" ht="24" customHeight="1">
      <c r="A6" s="1421" t="s">
        <v>2650</v>
      </c>
      <c r="B6" s="1421">
        <f ca="1">IF(C6&lt;B2,"已过期",1120050019)</f>
        <v>1120050019</v>
      </c>
      <c r="C6" s="2514">
        <v>45410</v>
      </c>
      <c r="D6" s="2515" t="str">
        <f t="shared" ca="1" si="0"/>
        <v>王鹏（注册号：1120050019）</v>
      </c>
      <c r="E6" s="2516" t="s">
        <v>2650</v>
      </c>
      <c r="F6" s="1421">
        <f ca="1">IF(G6&lt;B2,"已过期",2002110030)</f>
        <v>2002110030</v>
      </c>
      <c r="G6" s="2517">
        <v>46387</v>
      </c>
      <c r="H6" s="2518" t="str">
        <f t="shared" ca="1" si="1"/>
        <v>王鹏（注册号：2002110030）</v>
      </c>
    </row>
    <row r="7" spans="1:8" ht="24" customHeight="1">
      <c r="A7" s="1421" t="s">
        <v>2651</v>
      </c>
      <c r="B7" s="1421" t="str">
        <f ca="1">IF(C7&lt;B2,"已过期",1120000080)</f>
        <v>已过期</v>
      </c>
      <c r="C7" s="2514">
        <v>44876</v>
      </c>
      <c r="D7" s="2515" t="str">
        <f t="shared" ca="1" si="0"/>
        <v>欧红伟（注册号：已过期）</v>
      </c>
      <c r="E7" s="2516" t="s">
        <v>2651</v>
      </c>
      <c r="F7" s="1421">
        <f ca="1">IF(G7&lt;B2,"已过期",2000110082)</f>
        <v>2000110082</v>
      </c>
      <c r="G7" s="2517">
        <v>46387</v>
      </c>
      <c r="H7" s="2518" t="str">
        <f t="shared" ca="1" si="1"/>
        <v>欧红伟（注册号：2000110082）</v>
      </c>
    </row>
    <row r="8" spans="1:8" ht="24" customHeight="1">
      <c r="A8" s="1421" t="s">
        <v>2652</v>
      </c>
      <c r="B8" s="1421" t="str">
        <f ca="1">IF(C8&lt;B2,"已过期",1419970001)</f>
        <v>已过期</v>
      </c>
      <c r="C8" s="2514">
        <v>44899</v>
      </c>
      <c r="D8" s="2515" t="str">
        <f t="shared" ca="1" si="0"/>
        <v>吴薇（注册号：已过期）</v>
      </c>
      <c r="E8" s="2516" t="s">
        <v>2652</v>
      </c>
      <c r="F8" s="1421">
        <f ca="1">IF(G8&lt;B2,"已过期",2002110125)</f>
        <v>2002110125</v>
      </c>
      <c r="G8" s="2517">
        <v>47118</v>
      </c>
      <c r="H8" s="2518" t="str">
        <f t="shared" ca="1" si="1"/>
        <v>吴薇（注册号：2002110125）</v>
      </c>
    </row>
    <row r="9" spans="1:8" ht="24" customHeight="1">
      <c r="A9" s="1421" t="s">
        <v>2653</v>
      </c>
      <c r="B9" s="1421">
        <f ca="1">IF(C9&lt;B2,"已过期",1120060040)</f>
        <v>1120060040</v>
      </c>
      <c r="C9" s="2519">
        <v>45592</v>
      </c>
      <c r="D9" s="2515" t="str">
        <f t="shared" ca="1" si="0"/>
        <v>陈颖（注册号：1120060040）</v>
      </c>
      <c r="E9" s="2516" t="s">
        <v>2653</v>
      </c>
      <c r="F9" s="1421">
        <f ca="1">IF(G9&lt;B2,"已过期",2004110096)</f>
        <v>2004110096</v>
      </c>
      <c r="G9" s="2517">
        <v>47118</v>
      </c>
      <c r="H9" s="2518" t="str">
        <f t="shared" ca="1" si="1"/>
        <v>陈颖（注册号：2004110096）</v>
      </c>
    </row>
    <row r="10" spans="1:8" ht="24" customHeight="1">
      <c r="A10" s="1421" t="s">
        <v>2654</v>
      </c>
      <c r="B10" s="1421" t="str">
        <f ca="1">IF(C10&lt;B2,"已过期",1120100036)</f>
        <v>已过期</v>
      </c>
      <c r="C10" s="2519">
        <v>44675</v>
      </c>
      <c r="D10" s="2515" t="str">
        <f t="shared" ca="1" si="0"/>
        <v>崔锴（注册号：已过期）</v>
      </c>
      <c r="E10" s="2516" t="s">
        <v>2654</v>
      </c>
      <c r="F10" s="1421">
        <f ca="1">IF(G10&lt;B2,"已过期",2010110070)</f>
        <v>2010110070</v>
      </c>
      <c r="G10" s="2517">
        <v>47907</v>
      </c>
      <c r="H10" s="2518" t="str">
        <f t="shared" ca="1" si="1"/>
        <v>崔锴（注册号：2010110070）</v>
      </c>
    </row>
    <row r="11" spans="1:8" ht="24" customHeight="1">
      <c r="A11" s="1421" t="s">
        <v>2655</v>
      </c>
      <c r="B11" s="1421" t="str">
        <f ca="1">IF(C11&lt;B2,"已过期",1120070131)</f>
        <v>已过期</v>
      </c>
      <c r="C11" s="2514">
        <v>44849</v>
      </c>
      <c r="D11" s="2515" t="str">
        <f t="shared" ca="1" si="0"/>
        <v>郑燚（注册号：已过期）</v>
      </c>
      <c r="E11" s="2516" t="s">
        <v>2655</v>
      </c>
      <c r="F11" s="1421">
        <f ca="1">IF(G11&lt;B2,"已过期",2014110011)</f>
        <v>2014110011</v>
      </c>
      <c r="G11" s="2517">
        <v>49302</v>
      </c>
      <c r="H11" s="2518" t="str">
        <f t="shared" ca="1" si="1"/>
        <v>郑燚（注册号：2014110011）</v>
      </c>
    </row>
    <row r="12" spans="1:8" ht="24" customHeight="1">
      <c r="A12" s="1421" t="s">
        <v>2656</v>
      </c>
      <c r="B12" s="1421" t="str">
        <f ca="1">IF(C12&lt;B2,"已过期",1120040230)</f>
        <v>已过期</v>
      </c>
      <c r="C12" s="2519">
        <v>44864</v>
      </c>
      <c r="D12" s="2515" t="str">
        <f t="shared" ca="1" si="0"/>
        <v>苏海（注册号：已过期）</v>
      </c>
      <c r="E12" s="2516" t="s">
        <v>2656</v>
      </c>
      <c r="F12" s="1421">
        <f ca="1">IF(G12&lt;B2,"已过期",98030020)</f>
        <v>98030020</v>
      </c>
      <c r="G12" s="2517">
        <v>47118</v>
      </c>
      <c r="H12" s="2518" t="str">
        <f t="shared" ca="1" si="1"/>
        <v>苏海（注册号：98030020）</v>
      </c>
    </row>
    <row r="13" spans="1:8" ht="24" customHeight="1">
      <c r="A13" s="1421" t="s">
        <v>2657</v>
      </c>
      <c r="B13" s="1421" t="str">
        <f ca="1">IF(C13&lt;B2,"已过期",1120020033)</f>
        <v>已过期</v>
      </c>
      <c r="C13" s="2514">
        <v>44339</v>
      </c>
      <c r="D13" s="2515" t="str">
        <f t="shared" ca="1" si="0"/>
        <v>刘敬东（注册号：已过期）</v>
      </c>
      <c r="E13" s="2516" t="s">
        <v>2657</v>
      </c>
      <c r="F13" s="1421">
        <f ca="1">IF(G13&lt;B2,"已过期",2000110137)</f>
        <v>2000110137</v>
      </c>
      <c r="G13" s="2517">
        <v>46387</v>
      </c>
      <c r="H13" s="2518" t="str">
        <f t="shared" ca="1" si="1"/>
        <v>刘敬东（注册号：2000110137）</v>
      </c>
    </row>
    <row r="14" spans="1:8" ht="24" customHeight="1">
      <c r="A14" s="1421" t="s">
        <v>2658</v>
      </c>
      <c r="B14" s="1421">
        <f ca="1">IF(C14&lt;B2,"已过期",1119980106)</f>
        <v>1119980106</v>
      </c>
      <c r="C14" s="2519">
        <v>44969</v>
      </c>
      <c r="D14" s="2515" t="str">
        <f t="shared" ca="1" si="0"/>
        <v>刘俊财（注册号：1119980106）</v>
      </c>
      <c r="E14" s="2516" t="s">
        <v>2658</v>
      </c>
      <c r="F14" s="1421">
        <f ca="1">IF(G14&lt;B2,"已过期",96010063)</f>
        <v>96010063</v>
      </c>
      <c r="G14" s="2517">
        <v>47483</v>
      </c>
      <c r="H14" s="2518" t="str">
        <f t="shared" ca="1" si="1"/>
        <v>刘俊财（注册号：96010063）</v>
      </c>
    </row>
    <row r="15" spans="1:8" ht="24" customHeight="1">
      <c r="A15" s="1421" t="s">
        <v>2942</v>
      </c>
      <c r="B15" s="1421">
        <v>1120210056</v>
      </c>
      <c r="C15" s="2519">
        <v>45410</v>
      </c>
      <c r="D15" s="2515" t="str">
        <f t="shared" si="0"/>
        <v>宁小鳗（注册号：1120210056）</v>
      </c>
      <c r="E15" s="2516" t="s">
        <v>2659</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516" t="s">
        <v>2660</v>
      </c>
      <c r="B17" s="3516"/>
      <c r="C17" s="3516"/>
      <c r="D17" s="3516"/>
      <c r="E17" s="3516"/>
      <c r="F17" s="3516"/>
      <c r="G17" s="3516"/>
      <c r="H17" s="3516"/>
    </row>
    <row r="18" spans="1:8" ht="24" customHeight="1">
      <c r="A18" s="3517" t="s">
        <v>2661</v>
      </c>
      <c r="B18" s="3517"/>
      <c r="C18" s="3517"/>
      <c r="D18" s="2512"/>
      <c r="E18" s="3518" t="s">
        <v>2662</v>
      </c>
      <c r="F18" s="3517"/>
      <c r="G18" s="3517"/>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2943</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比较法-商业</vt:lpstr>
      <vt:lpstr>比较法-办公</vt:lpstr>
      <vt:lpstr>比较法-工业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抵押物清单</vt:lpstr>
      <vt:lpstr>租金市调</vt:lpstr>
      <vt:lpstr>市场案例</vt:lpstr>
      <vt:lpstr>租赁情况表</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2022-12-06T14:11:01Z</dcterms:modified>
</cp:coreProperties>
</file>