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587-F01上地信息路1号-吴姐浦发-国标3折计算费用-1,2-郑、吴\"/>
    </mc:Choice>
  </mc:AlternateContent>
  <xr:revisionPtr revIDLastSave="0" documentId="13_ncr:1_{9811E793-E75A-4298-A73B-81EF31029164}" xr6:coauthVersionLast="47" xr6:coauthVersionMax="47" xr10:uidLastSave="{00000000-0000-0000-0000-000000000000}"/>
  <bookViews>
    <workbookView xWindow="-108" yWindow="-108" windowWidth="20376" windowHeight="12216" tabRatio="899" firstSheet="13"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常用公式" sheetId="78"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比较法-工业" sheetId="37"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成本法" sheetId="68" state="hidden" r:id="rId33"/>
    <sheet name="收益法 (元)" sheetId="67" r:id="rId34"/>
    <sheet name="租金案例" sheetId="81" r:id="rId35"/>
    <sheet name="售价案例-" sheetId="8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0" r:id="rId42"/>
    <sheet name="成本法 (元)" sheetId="69" r:id="rId43"/>
    <sheet name="基准地价修正" sheetId="43"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2">成本法!$A$1:$G$57</definedName>
    <definedName name="_xlnm.Print_Area" localSheetId="42">'成本法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3">基准地价修正!$A$1:$J$44,基准地价修正!$A$47:$H$101,基准地价修正!$R$1:$V$16</definedName>
    <definedName name="_xlnm.Print_Area" localSheetId="18">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0">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67" i="34" l="1"/>
  <c r="E67" i="34" s="1"/>
  <c r="D67" i="34" s="1"/>
  <c r="C67" i="34" s="1"/>
  <c r="E11" i="34" l="1"/>
  <c r="E12" i="34"/>
  <c r="E37" i="34" s="1"/>
  <c r="D3" i="4"/>
  <c r="I12" i="34"/>
  <c r="G12" i="34"/>
  <c r="I48" i="34"/>
  <c r="G48" i="34"/>
  <c r="E48" i="34"/>
  <c r="I34" i="34"/>
  <c r="G34" i="34"/>
  <c r="E34" i="34"/>
  <c r="D105" i="34"/>
  <c r="E105" i="34" s="1"/>
  <c r="F105" i="34" s="1"/>
  <c r="G105" i="34" s="1"/>
  <c r="H105" i="34" s="1"/>
  <c r="I105" i="34" s="1"/>
  <c r="J105" i="34" s="1"/>
  <c r="I5" i="34"/>
  <c r="G5" i="34"/>
  <c r="E5" i="34"/>
  <c r="D92" i="37"/>
  <c r="E92" i="37" s="1"/>
  <c r="F92" i="37" s="1"/>
  <c r="G92" i="37" s="1"/>
  <c r="H92" i="37" s="1"/>
  <c r="I92" i="37" s="1"/>
  <c r="J92" i="37" s="1"/>
  <c r="E60" i="37"/>
  <c r="D60" i="37" s="1"/>
  <c r="C60" i="37" s="1"/>
  <c r="F60" i="37"/>
  <c r="I13" i="37"/>
  <c r="I5" i="37"/>
  <c r="G5" i="37"/>
  <c r="E5" i="37"/>
  <c r="J49" i="67"/>
  <c r="J49" i="15"/>
  <c r="B58" i="1"/>
  <c r="B21" i="1"/>
  <c r="N18" i="1" l="1"/>
  <c r="N20" i="1" s="1"/>
  <c r="N6" i="1" s="1"/>
  <c r="E27" i="45"/>
  <c r="C37" i="34" l="1"/>
  <c r="Y6" i="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W22" i="79"/>
  <c r="AK22" i="79" s="1"/>
  <c r="AH22" i="79"/>
  <c r="AD35" i="79"/>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W40" i="79"/>
  <c r="AK40" i="79" s="1"/>
  <c r="AH40" i="79"/>
  <c r="AR18" i="79"/>
  <c r="AR19" i="79" s="1"/>
  <c r="AR20" i="79" s="1"/>
  <c r="AR21" i="79" s="1"/>
  <c r="AR22" i="79" s="1"/>
  <c r="AR23" i="79" s="1"/>
  <c r="AR24" i="79" s="1"/>
  <c r="T35" i="79"/>
  <c r="T33" i="79"/>
  <c r="T34"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V80" i="71"/>
  <c r="E80" i="71"/>
  <c r="U80" i="71" s="1"/>
  <c r="C80" i="71"/>
  <c r="B80" i="71"/>
  <c r="S80" i="71" s="1"/>
  <c r="Q79" i="71"/>
  <c r="P79" i="71"/>
  <c r="O79" i="71"/>
  <c r="N79" i="71"/>
  <c r="F78"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V68" i="71" s="1"/>
  <c r="E68" i="71"/>
  <c r="P68" i="71" s="1"/>
  <c r="C68" i="71"/>
  <c r="C67" i="71" s="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F38" i="71"/>
  <c r="F39" i="71" s="1"/>
  <c r="Q37" i="71"/>
  <c r="P37" i="71"/>
  <c r="O37" i="71"/>
  <c r="Y37" i="71" s="1"/>
  <c r="Z37" i="71" s="1"/>
  <c r="N37" i="71"/>
  <c r="B38" i="71" s="1"/>
  <c r="B39" i="71" s="1"/>
  <c r="B40" i="71" s="1"/>
  <c r="S40" i="71" s="1"/>
  <c r="D37" i="71"/>
  <c r="Q36" i="71"/>
  <c r="P36" i="71"/>
  <c r="AA35" i="71" s="1"/>
  <c r="O36" i="71"/>
  <c r="Y27" i="71" s="1"/>
  <c r="Z27" i="71" s="1"/>
  <c r="N36" i="71"/>
  <c r="Q35" i="71"/>
  <c r="AB35" i="71"/>
  <c r="P35" i="71"/>
  <c r="O35" i="71"/>
  <c r="N35" i="71"/>
  <c r="Q34" i="71"/>
  <c r="AB34" i="71" s="1"/>
  <c r="P34" i="71"/>
  <c r="O34" i="71"/>
  <c r="N34" i="71"/>
  <c r="Q33" i="7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28" i="71" s="1"/>
  <c r="B30" i="71"/>
  <c r="B31" i="71" s="1"/>
  <c r="B32" i="71" s="1"/>
  <c r="S32" i="71" s="1"/>
  <c r="B34" i="71"/>
  <c r="B35" i="71" s="1"/>
  <c r="B36" i="71" s="1"/>
  <c r="S36" i="71" s="1"/>
  <c r="E38" i="71"/>
  <c r="E39" i="71" s="1"/>
  <c r="E40" i="71"/>
  <c r="U40" i="71" s="1"/>
  <c r="N68" i="71"/>
  <c r="C30" i="71"/>
  <c r="C34" i="71"/>
  <c r="D34" i="71" s="1"/>
  <c r="D30" i="71"/>
  <c r="P28" i="71"/>
  <c r="U68" i="71"/>
  <c r="E67" i="71"/>
  <c r="P67" i="71" s="1"/>
  <c r="Q28" i="71"/>
  <c r="C59" i="71"/>
  <c r="C60" i="71" s="1"/>
  <c r="B66" i="71"/>
  <c r="N65" i="71" s="1"/>
  <c r="Q68" i="71"/>
  <c r="E71" i="71"/>
  <c r="E70" i="71" s="1"/>
  <c r="E79" i="71"/>
  <c r="E78" i="71" s="1"/>
  <c r="D80" i="71"/>
  <c r="F28" i="71"/>
  <c r="F27" i="71" s="1"/>
  <c r="F26" i="71" s="1"/>
  <c r="D59"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S25" i="40"/>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J21" i="21"/>
  <c r="AC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J5" i="3" s="1"/>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A502" i="3" s="1"/>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E113" i="33" s="1"/>
  <c r="F113" i="33" s="1"/>
  <c r="G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c r="G94" i="39" s="1"/>
  <c r="D92" i="39"/>
  <c r="E92" i="39" s="1"/>
  <c r="F92" i="39" s="1"/>
  <c r="G92" i="39" s="1"/>
  <c r="D90" i="39"/>
  <c r="E90" i="39" s="1"/>
  <c r="F90" i="39" s="1"/>
  <c r="G90" i="39" s="1"/>
  <c r="D88" i="39"/>
  <c r="E88" i="39"/>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F32" i="36" s="1"/>
  <c r="B95" i="36"/>
  <c r="J34" i="36" s="1"/>
  <c r="W34" i="36" s="1"/>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J11" i="36" s="1"/>
  <c r="AC11"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Q22" i="36"/>
  <c r="Z22" i="36"/>
  <c r="J22" i="36"/>
  <c r="AC22" i="36" s="1"/>
  <c r="Q20" i="36"/>
  <c r="Z20" i="36" s="1"/>
  <c r="Q16" i="36"/>
  <c r="Z16" i="36" s="1"/>
  <c r="Q14" i="36"/>
  <c r="Z14" i="36"/>
  <c r="Q13" i="36"/>
  <c r="Z13" i="36" s="1"/>
  <c r="Q12" i="36"/>
  <c r="Z12" i="36"/>
  <c r="Q11" i="36"/>
  <c r="Z11" i="36" s="1"/>
  <c r="Q10" i="36"/>
  <c r="Z10" i="36" s="1"/>
  <c r="F10" i="36"/>
  <c r="AA10" i="36" s="1"/>
  <c r="Q9" i="36"/>
  <c r="Z9" i="36" s="1"/>
  <c r="J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U34" i="35" s="1"/>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F12" i="34" s="1"/>
  <c r="S12" i="34" s="1"/>
  <c r="B130" i="33"/>
  <c r="B128" i="33"/>
  <c r="B126" i="33"/>
  <c r="B98" i="33"/>
  <c r="B96" i="33"/>
  <c r="B94" i="33"/>
  <c r="B74" i="33"/>
  <c r="J14" i="33" s="1"/>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AB34" i="35"/>
  <c r="Q33" i="35"/>
  <c r="Z33" i="35" s="1"/>
  <c r="Q32" i="35"/>
  <c r="Z32" i="35"/>
  <c r="H32" i="35"/>
  <c r="AB32" i="35" s="1"/>
  <c r="F32" i="35"/>
  <c r="AA32" i="35" s="1"/>
  <c r="Q31" i="35"/>
  <c r="Z31" i="35"/>
  <c r="AC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c r="F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s="1"/>
  <c r="H39" i="34"/>
  <c r="AB39" i="34" s="1"/>
  <c r="Q38" i="34"/>
  <c r="Z38" i="34"/>
  <c r="Q37" i="34"/>
  <c r="Z37" i="34" s="1"/>
  <c r="Q36" i="34"/>
  <c r="Z36" i="34"/>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J46" i="21" s="1"/>
  <c r="B128" i="21"/>
  <c r="B126" i="21"/>
  <c r="H44" i="21" s="1"/>
  <c r="B98" i="21"/>
  <c r="B96" i="21"/>
  <c r="H30" i="21" s="1"/>
  <c r="AB30" i="21" s="1"/>
  <c r="B94" i="21"/>
  <c r="J29" i="21" s="1"/>
  <c r="AC29" i="21" s="1"/>
  <c r="B92" i="21"/>
  <c r="J28" i="21" s="1"/>
  <c r="B90" i="21"/>
  <c r="B74" i="21"/>
  <c r="H14" i="21" s="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H40" i="2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S41" i="21"/>
  <c r="AA41" i="21"/>
  <c r="F45" i="39"/>
  <c r="S45" i="39"/>
  <c r="J44" i="39"/>
  <c r="AC44" i="39" s="1"/>
  <c r="F36" i="39"/>
  <c r="S36" i="39" s="1"/>
  <c r="H36" i="39"/>
  <c r="AB36" i="39" s="1"/>
  <c r="J36" i="39"/>
  <c r="AC36" i="39" s="1"/>
  <c r="U9" i="39"/>
  <c r="W40" i="39"/>
  <c r="U30" i="37"/>
  <c r="F39" i="37"/>
  <c r="S39" i="37" s="1"/>
  <c r="F29" i="36"/>
  <c r="AA29" i="36" s="1"/>
  <c r="F16" i="36"/>
  <c r="AA16" i="36" s="1"/>
  <c r="H22" i="35"/>
  <c r="AB22" i="35"/>
  <c r="U31" i="35"/>
  <c r="S31" i="35"/>
  <c r="F36" i="34"/>
  <c r="J35" i="34"/>
  <c r="AC35" i="34" s="1"/>
  <c r="H39" i="33"/>
  <c r="AB39" i="33" s="1"/>
  <c r="U33" i="33"/>
  <c r="S40" i="33"/>
  <c r="W39" i="33"/>
  <c r="H39" i="37"/>
  <c r="AB39" i="37" s="1"/>
  <c r="S27" i="35"/>
  <c r="F11" i="40"/>
  <c r="H11" i="40"/>
  <c r="AB11" i="40" s="1"/>
  <c r="W8" i="40"/>
  <c r="U9"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H27" i="39"/>
  <c r="U27" i="39" s="1"/>
  <c r="J19" i="39"/>
  <c r="AC19" i="39" s="1"/>
  <c r="J17" i="39"/>
  <c r="J27" i="39"/>
  <c r="AC27" i="39" s="1"/>
  <c r="F27" i="39"/>
  <c r="F11" i="21"/>
  <c r="S11" i="21" s="1"/>
  <c r="S40" i="21"/>
  <c r="C25" i="39"/>
  <c r="H11" i="39"/>
  <c r="AB11" i="39" s="1"/>
  <c r="H32" i="33"/>
  <c r="AB32" i="33"/>
  <c r="H11" i="21"/>
  <c r="U11" i="21" s="1"/>
  <c r="J11" i="21"/>
  <c r="W11" i="21" s="1"/>
  <c r="H37" i="40"/>
  <c r="U37" i="40"/>
  <c r="H36" i="40"/>
  <c r="AB36" i="40" s="1"/>
  <c r="F35" i="40"/>
  <c r="AA35" i="40" s="1"/>
  <c r="H23" i="40"/>
  <c r="AB23" i="40" s="1"/>
  <c r="H17" i="40"/>
  <c r="U17" i="40" s="1"/>
  <c r="J15" i="40"/>
  <c r="W15" i="40" s="1"/>
  <c r="J11" i="40"/>
  <c r="W11" i="40" s="1"/>
  <c r="AB8" i="39"/>
  <c r="W32" i="40"/>
  <c r="U30" i="36"/>
  <c r="J30" i="35"/>
  <c r="W30" i="35" s="1"/>
  <c r="H30" i="35"/>
  <c r="AB30" i="35" s="1"/>
  <c r="F22" i="35"/>
  <c r="AA22" i="35"/>
  <c r="H10" i="35"/>
  <c r="U10" i="35" s="1"/>
  <c r="H16" i="36"/>
  <c r="U16" i="36" s="1"/>
  <c r="AB16" i="36"/>
  <c r="E85" i="36"/>
  <c r="F85" i="36" s="1"/>
  <c r="G85" i="36" s="1"/>
  <c r="H85" i="36" s="1"/>
  <c r="I85" i="36" s="1"/>
  <c r="J85" i="36" s="1"/>
  <c r="K85" i="36" s="1"/>
  <c r="L85" i="36" s="1"/>
  <c r="M85" i="36" s="1"/>
  <c r="J29" i="36"/>
  <c r="F34" i="36"/>
  <c r="F14" i="35"/>
  <c r="AA14" i="35"/>
  <c r="F23" i="35"/>
  <c r="AA23" i="35" s="1"/>
  <c r="J32" i="35"/>
  <c r="AC32" i="35" s="1"/>
  <c r="J16" i="35"/>
  <c r="AC16" i="35"/>
  <c r="H16" i="35"/>
  <c r="AB16" i="35" s="1"/>
  <c r="U16" i="35"/>
  <c r="F16" i="35"/>
  <c r="S16" i="35"/>
  <c r="H14" i="35"/>
  <c r="AB14" i="35"/>
  <c r="J29" i="35"/>
  <c r="H33" i="35"/>
  <c r="J20" i="35"/>
  <c r="AC20" i="35" s="1"/>
  <c r="W20" i="35"/>
  <c r="F35" i="37"/>
  <c r="S35" i="37" s="1"/>
  <c r="E101" i="37"/>
  <c r="F101" i="37" s="1"/>
  <c r="G101" i="37"/>
  <c r="H101" i="37" s="1"/>
  <c r="I101" i="37" s="1"/>
  <c r="J101" i="37" s="1"/>
  <c r="K101" i="37" s="1"/>
  <c r="L101" i="37" s="1"/>
  <c r="M101" i="37" s="1"/>
  <c r="J34" i="37"/>
  <c r="W34" i="37"/>
  <c r="AB34" i="37"/>
  <c r="J33" i="37"/>
  <c r="AC33" i="37" s="1"/>
  <c r="U42" i="34"/>
  <c r="H40" i="34"/>
  <c r="AB40" i="34" s="1"/>
  <c r="E114" i="34"/>
  <c r="H36" i="34"/>
  <c r="U36" i="34" s="1"/>
  <c r="F28" i="34"/>
  <c r="AA28" i="34" s="1"/>
  <c r="F25" i="34"/>
  <c r="S25" i="34" s="1"/>
  <c r="H23" i="34"/>
  <c r="AB23" i="34" s="1"/>
  <c r="J23" i="34"/>
  <c r="AC23" i="34" s="1"/>
  <c r="F19" i="34"/>
  <c r="AA19" i="34" s="1"/>
  <c r="H17" i="34"/>
  <c r="U17" i="34" s="1"/>
  <c r="F15" i="34"/>
  <c r="AA15" i="34" s="1"/>
  <c r="H15" i="34"/>
  <c r="AB15" i="34" s="1"/>
  <c r="J28" i="34"/>
  <c r="W28" i="34" s="1"/>
  <c r="F41" i="33"/>
  <c r="S41" i="33" s="1"/>
  <c r="AA41" i="33"/>
  <c r="F32" i="33"/>
  <c r="S32" i="33" s="1"/>
  <c r="J19" i="33"/>
  <c r="AC19" i="33"/>
  <c r="J15" i="33"/>
  <c r="W15" i="33" s="1"/>
  <c r="F11" i="33"/>
  <c r="AA11" i="33" s="1"/>
  <c r="U40" i="33"/>
  <c r="F37" i="40"/>
  <c r="AA37" i="40" s="1"/>
  <c r="F36" i="40"/>
  <c r="S36" i="40" s="1"/>
  <c r="AA36" i="40"/>
  <c r="H28" i="40"/>
  <c r="U28" i="40" s="1"/>
  <c r="F23" i="40"/>
  <c r="S23" i="40" s="1"/>
  <c r="AA23" i="40"/>
  <c r="F17" i="40"/>
  <c r="J17" i="40"/>
  <c r="W17" i="40" s="1"/>
  <c r="F15" i="40"/>
  <c r="S15" i="40" s="1"/>
  <c r="H15" i="40"/>
  <c r="AB15" i="40" s="1"/>
  <c r="AC11" i="40"/>
  <c r="AB30" i="36"/>
  <c r="F29" i="35"/>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H113" i="33"/>
  <c r="I113" i="33" s="1"/>
  <c r="J113" i="33" s="1"/>
  <c r="K113" i="33" s="1"/>
  <c r="L113" i="33" s="1"/>
  <c r="M113" i="33" s="1"/>
  <c r="H37" i="33"/>
  <c r="AB37" i="33" s="1"/>
  <c r="H15" i="33"/>
  <c r="H11" i="33"/>
  <c r="AB11" i="33" s="1"/>
  <c r="F28" i="40"/>
  <c r="AA28" i="40" s="1"/>
  <c r="AC38" i="34"/>
  <c r="AA38" i="34"/>
  <c r="J37" i="34"/>
  <c r="AC37" i="34" s="1"/>
  <c r="J11" i="33"/>
  <c r="W11" i="33" s="1"/>
  <c r="S28" i="34"/>
  <c r="I123" i="21"/>
  <c r="J123" i="21" s="1"/>
  <c r="K123" i="21" s="1"/>
  <c r="L123" i="21" s="1"/>
  <c r="M123" i="21" s="1"/>
  <c r="J42" i="21"/>
  <c r="AC42" i="21" s="1"/>
  <c r="H42" i="21"/>
  <c r="J44" i="34"/>
  <c r="F44" i="34"/>
  <c r="S44" i="34" s="1"/>
  <c r="J10" i="35"/>
  <c r="AC10" i="35" s="1"/>
  <c r="J14" i="21"/>
  <c r="W14" i="21"/>
  <c r="F14" i="21"/>
  <c r="S14" i="21" s="1"/>
  <c r="U14" i="21"/>
  <c r="H28" i="21"/>
  <c r="AB28" i="21" s="1"/>
  <c r="F28" i="21"/>
  <c r="U30" i="21"/>
  <c r="F30" i="21"/>
  <c r="S30" i="21" s="1"/>
  <c r="J30" i="21"/>
  <c r="AC30" i="21" s="1"/>
  <c r="J44" i="21"/>
  <c r="F44" i="21"/>
  <c r="AA44" i="21" s="1"/>
  <c r="H46" i="21"/>
  <c r="U46" i="21" s="1"/>
  <c r="F46" i="21"/>
  <c r="AA46" i="21"/>
  <c r="H28"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9" i="21"/>
  <c r="U29" i="21"/>
  <c r="J31" i="21"/>
  <c r="AC31" i="21" s="1"/>
  <c r="F27" i="33"/>
  <c r="AA27" i="33" s="1"/>
  <c r="J29" i="33"/>
  <c r="H29" i="33"/>
  <c r="U29" i="33" s="1"/>
  <c r="F29" i="33"/>
  <c r="S29" i="33" s="1"/>
  <c r="H31" i="33"/>
  <c r="H45" i="33"/>
  <c r="U45" i="33"/>
  <c r="J45" i="33"/>
  <c r="F45" i="33"/>
  <c r="AA45" i="33" s="1"/>
  <c r="J14" i="34"/>
  <c r="F14" i="34"/>
  <c r="S14" i="34"/>
  <c r="H14" i="34"/>
  <c r="AB14" i="34" s="1"/>
  <c r="H32" i="34"/>
  <c r="U32" i="34" s="1"/>
  <c r="F32" i="34"/>
  <c r="J32" i="34"/>
  <c r="W32" i="34" s="1"/>
  <c r="F11" i="35"/>
  <c r="J26" i="36"/>
  <c r="W26" i="36" s="1"/>
  <c r="H28" i="36"/>
  <c r="U28" i="36" s="1"/>
  <c r="H32" i="36"/>
  <c r="AB32" i="36" s="1"/>
  <c r="J32" i="36"/>
  <c r="W32" i="36" s="1"/>
  <c r="H11" i="36"/>
  <c r="U11" i="36" s="1"/>
  <c r="F11" i="36"/>
  <c r="AA11" i="36" s="1"/>
  <c r="H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H40" i="37"/>
  <c r="U40" i="37" s="1"/>
  <c r="J40" i="37"/>
  <c r="AC40" i="37"/>
  <c r="F40" i="37"/>
  <c r="AA40" i="37" s="1"/>
  <c r="AC12" i="40"/>
  <c r="W12" i="40"/>
  <c r="H14" i="33"/>
  <c r="U14" i="33" s="1"/>
  <c r="F14" i="33"/>
  <c r="S14" i="33" s="1"/>
  <c r="H30" i="33"/>
  <c r="AB30" i="33" s="1"/>
  <c r="F30" i="33"/>
  <c r="J30" i="33"/>
  <c r="H44" i="33"/>
  <c r="U44" i="33" s="1"/>
  <c r="J44" i="33"/>
  <c r="F44" i="33"/>
  <c r="S44" i="33" s="1"/>
  <c r="J46" i="33"/>
  <c r="AC46" i="33"/>
  <c r="F46" i="33"/>
  <c r="AA46" i="33" s="1"/>
  <c r="H46" i="33"/>
  <c r="H13" i="34"/>
  <c r="U13" i="34" s="1"/>
  <c r="J13" i="34"/>
  <c r="AC13" i="34" s="1"/>
  <c r="F13" i="34"/>
  <c r="AA13" i="34" s="1"/>
  <c r="J29" i="34"/>
  <c r="W29" i="34" s="1"/>
  <c r="F29" i="34"/>
  <c r="S29" i="34" s="1"/>
  <c r="H29" i="34"/>
  <c r="AB29" i="34" s="1"/>
  <c r="J31" i="34"/>
  <c r="H31" i="34"/>
  <c r="F31" i="34"/>
  <c r="S31" i="34"/>
  <c r="H45" i="34"/>
  <c r="U45" i="34" s="1"/>
  <c r="J45" i="34"/>
  <c r="W45" i="34" s="1"/>
  <c r="F45" i="34"/>
  <c r="S45" i="34" s="1"/>
  <c r="H47" i="34"/>
  <c r="U47" i="34" s="1"/>
  <c r="F47" i="34"/>
  <c r="S47" i="34" s="1"/>
  <c r="J47" i="34"/>
  <c r="F13" i="35"/>
  <c r="J13" i="35"/>
  <c r="AC13" i="35" s="1"/>
  <c r="H13" i="35"/>
  <c r="U13" i="35" s="1"/>
  <c r="H25" i="35"/>
  <c r="AB25" i="35" s="1"/>
  <c r="J35" i="35"/>
  <c r="AC35" i="35" s="1"/>
  <c r="F35" i="35"/>
  <c r="AA35" i="35" s="1"/>
  <c r="H35" i="35"/>
  <c r="J25" i="36"/>
  <c r="W25" i="36" s="1"/>
  <c r="F25" i="36"/>
  <c r="S25" i="36" s="1"/>
  <c r="H25" i="36"/>
  <c r="AB25" i="36" s="1"/>
  <c r="H13" i="37"/>
  <c r="F13" i="37"/>
  <c r="S13" i="37"/>
  <c r="J13" i="37"/>
  <c r="W13" i="37" s="1"/>
  <c r="F28" i="37"/>
  <c r="J28" i="37"/>
  <c r="AC28" i="37"/>
  <c r="H28" i="37"/>
  <c r="H38" i="37"/>
  <c r="J38" i="37"/>
  <c r="AC38" i="37" s="1"/>
  <c r="F38" i="37"/>
  <c r="H14" i="39"/>
  <c r="AB14" i="39" s="1"/>
  <c r="F12" i="40"/>
  <c r="S12" i="40" s="1"/>
  <c r="H12" i="40"/>
  <c r="H30" i="40"/>
  <c r="U30" i="40" s="1"/>
  <c r="F33" i="40"/>
  <c r="H33" i="40"/>
  <c r="U33" i="40" s="1"/>
  <c r="J35" i="40"/>
  <c r="J37" i="40"/>
  <c r="AC37" i="40" s="1"/>
  <c r="H13" i="40"/>
  <c r="U13" i="40" s="1"/>
  <c r="J13" i="40"/>
  <c r="W13" i="40" s="1"/>
  <c r="F13" i="40"/>
  <c r="AA13" i="40" s="1"/>
  <c r="F14" i="37"/>
  <c r="AA14" i="37" s="1"/>
  <c r="F27" i="37"/>
  <c r="AA27" i="37" s="1"/>
  <c r="F13" i="39"/>
  <c r="J13" i="39"/>
  <c r="W13" i="39" s="1"/>
  <c r="H13" i="39"/>
  <c r="U13" i="39" s="1"/>
  <c r="F14" i="40"/>
  <c r="J14" i="37"/>
  <c r="J27" i="37"/>
  <c r="AA44" i="33"/>
  <c r="J36" i="37"/>
  <c r="AC36" i="37" s="1"/>
  <c r="J10" i="36"/>
  <c r="AC10" i="36" s="1"/>
  <c r="S11" i="36"/>
  <c r="AA14" i="34"/>
  <c r="AB45" i="33"/>
  <c r="BA586" i="3"/>
  <c r="BA585" i="3"/>
  <c r="F17" i="21"/>
  <c r="AA17" i="21" s="1"/>
  <c r="H17" i="21"/>
  <c r="F15" i="21"/>
  <c r="S15" i="21" s="1"/>
  <c r="J41" i="39"/>
  <c r="W41" i="39" s="1"/>
  <c r="W44" i="39"/>
  <c r="G544" i="3"/>
  <c r="G536" i="3"/>
  <c r="G535" i="3"/>
  <c r="G528" i="3"/>
  <c r="G527" i="3"/>
  <c r="G514" i="3"/>
  <c r="G508" i="3"/>
  <c r="G500" i="3"/>
  <c r="G584" i="3"/>
  <c r="G580" i="3"/>
  <c r="G576" i="3"/>
  <c r="G572" i="3"/>
  <c r="G568" i="3"/>
  <c r="G564" i="3"/>
  <c r="G560" i="3"/>
  <c r="G554" i="3"/>
  <c r="G550" i="3"/>
  <c r="BL580" i="3"/>
  <c r="BL576" i="3"/>
  <c r="BL572" i="3"/>
  <c r="BL568" i="3"/>
  <c r="BL564" i="3"/>
  <c r="BL560" i="3"/>
  <c r="BL554" i="3"/>
  <c r="BL516" i="3"/>
  <c r="BL578" i="3"/>
  <c r="BL574" i="3"/>
  <c r="BL570" i="3"/>
  <c r="BL566" i="3"/>
  <c r="BL562" i="3"/>
  <c r="BL556" i="3"/>
  <c r="BL552" i="3"/>
  <c r="G529" i="3"/>
  <c r="BL510" i="3"/>
  <c r="G493" i="3"/>
  <c r="BA582" i="3"/>
  <c r="BA580" i="3"/>
  <c r="AZ580" i="3" s="1"/>
  <c r="BA578" i="3"/>
  <c r="BA576" i="3"/>
  <c r="BA574" i="3"/>
  <c r="AZ574" i="3" s="1"/>
  <c r="BA572" i="3"/>
  <c r="BA570" i="3"/>
  <c r="BA568" i="3"/>
  <c r="AZ568" i="3" s="1"/>
  <c r="BA566" i="3"/>
  <c r="AZ566" i="3" s="1"/>
  <c r="BA564" i="3"/>
  <c r="AZ564" i="3" s="1"/>
  <c r="BA562" i="3"/>
  <c r="BA560" i="3"/>
  <c r="BA558" i="3"/>
  <c r="AZ558" i="3" s="1"/>
  <c r="BA556" i="3"/>
  <c r="BA554" i="3"/>
  <c r="AZ554" i="3"/>
  <c r="BA552" i="3"/>
  <c r="BA514" i="3"/>
  <c r="BA583" i="3"/>
  <c r="BA581" i="3"/>
  <c r="BA579" i="3"/>
  <c r="BA577" i="3"/>
  <c r="BA575" i="3"/>
  <c r="BA573" i="3"/>
  <c r="BA571" i="3"/>
  <c r="BA569" i="3"/>
  <c r="BA567" i="3"/>
  <c r="BA565" i="3"/>
  <c r="BA563" i="3"/>
  <c r="BA561" i="3"/>
  <c r="BA559" i="3"/>
  <c r="AZ559" i="3" s="1"/>
  <c r="BA555" i="3"/>
  <c r="BA553" i="3"/>
  <c r="BA541" i="3"/>
  <c r="BA505"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s="1"/>
  <c r="BQ577" i="3"/>
  <c r="BL577" i="3" s="1"/>
  <c r="BQ575" i="3"/>
  <c r="BL575" i="3" s="1"/>
  <c r="BQ573" i="3"/>
  <c r="BL573" i="3" s="1"/>
  <c r="BQ571" i="3"/>
  <c r="BL571" i="3" s="1"/>
  <c r="BQ569" i="3"/>
  <c r="BL569" i="3" s="1"/>
  <c r="BQ567" i="3"/>
  <c r="BL567" i="3" s="1"/>
  <c r="BQ565" i="3"/>
  <c r="BL565" i="3" s="1"/>
  <c r="BQ563" i="3"/>
  <c r="BL563" i="3"/>
  <c r="AZ563" i="3" s="1"/>
  <c r="BQ561" i="3"/>
  <c r="BL561" i="3" s="1"/>
  <c r="BQ559" i="3"/>
  <c r="BL559" i="3" s="1"/>
  <c r="G559" i="3"/>
  <c r="G555" i="3"/>
  <c r="G553" i="3"/>
  <c r="G545" i="3"/>
  <c r="G543" i="3"/>
  <c r="G537" i="3"/>
  <c r="BQ555" i="3"/>
  <c r="BL555" i="3" s="1"/>
  <c r="BQ553" i="3"/>
  <c r="BL553" i="3" s="1"/>
  <c r="AZ553" i="3" s="1"/>
  <c r="BQ551" i="3"/>
  <c r="BQ549" i="3"/>
  <c r="BQ547" i="3"/>
  <c r="BL547" i="3" s="1"/>
  <c r="BQ545" i="3"/>
  <c r="BQ543" i="3"/>
  <c r="BQ541" i="3"/>
  <c r="BQ539" i="3"/>
  <c r="BQ537" i="3"/>
  <c r="BQ535" i="3"/>
  <c r="BQ533" i="3"/>
  <c r="BQ531" i="3"/>
  <c r="BQ529" i="3"/>
  <c r="BQ527" i="3"/>
  <c r="BQ525" i="3"/>
  <c r="BQ523" i="3"/>
  <c r="AC521" i="3"/>
  <c r="BQ521" i="3"/>
  <c r="BL520" i="3"/>
  <c r="G515" i="3"/>
  <c r="G513" i="3"/>
  <c r="BQ519" i="3"/>
  <c r="BQ517" i="3"/>
  <c r="BQ515" i="3"/>
  <c r="BQ513" i="3"/>
  <c r="BQ511" i="3"/>
  <c r="AC509" i="3"/>
  <c r="BQ509" i="3"/>
  <c r="G507" i="3"/>
  <c r="G505"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F42" i="33"/>
  <c r="H28" i="34"/>
  <c r="AB28" i="34" s="1"/>
  <c r="F14" i="36"/>
  <c r="AA14" i="36" s="1"/>
  <c r="F22" i="36"/>
  <c r="S22" i="36" s="1"/>
  <c r="F26" i="36"/>
  <c r="H35" i="34"/>
  <c r="U35" i="34" s="1"/>
  <c r="F41" i="34"/>
  <c r="H41" i="34"/>
  <c r="J41" i="34"/>
  <c r="AC41" i="34" s="1"/>
  <c r="F10" i="35"/>
  <c r="S10" i="35" s="1"/>
  <c r="F24" i="35"/>
  <c r="S24" i="35" s="1"/>
  <c r="H23" i="37"/>
  <c r="U23" i="37" s="1"/>
  <c r="J32" i="37"/>
  <c r="F36" i="37"/>
  <c r="AA36" i="37" s="1"/>
  <c r="F37" i="37"/>
  <c r="AA37" i="37" s="1"/>
  <c r="F31" i="40"/>
  <c r="H31" i="40"/>
  <c r="U31" i="40" s="1"/>
  <c r="F32" i="40"/>
  <c r="S32" i="40"/>
  <c r="H32" i="40"/>
  <c r="AB32" i="40" s="1"/>
  <c r="J36" i="40"/>
  <c r="AC36" i="40" s="1"/>
  <c r="H19" i="37"/>
  <c r="AB19" i="37" s="1"/>
  <c r="H42" i="33"/>
  <c r="AB42" i="33" s="1"/>
  <c r="J43" i="33"/>
  <c r="S28" i="31"/>
  <c r="S27" i="31"/>
  <c r="S26" i="31"/>
  <c r="W23" i="35"/>
  <c r="U39" i="37"/>
  <c r="U26" i="37"/>
  <c r="U11" i="33"/>
  <c r="U19" i="21"/>
  <c r="AB38" i="21"/>
  <c r="F43" i="33"/>
  <c r="S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F31" i="37"/>
  <c r="S31" i="37" s="1"/>
  <c r="F12" i="39"/>
  <c r="S12" i="39" s="1"/>
  <c r="J42" i="39"/>
  <c r="AC42" i="39" s="1"/>
  <c r="H21" i="40"/>
  <c r="G94" i="37"/>
  <c r="H94" i="37" s="1"/>
  <c r="I94" i="37" s="1"/>
  <c r="J94" i="37" s="1"/>
  <c r="K94" i="37" s="1"/>
  <c r="L94" i="37" s="1"/>
  <c r="M94" i="37" s="1"/>
  <c r="H31" i="37"/>
  <c r="J15" i="37"/>
  <c r="W15" i="37"/>
  <c r="AT6" i="3"/>
  <c r="AA25" i="21"/>
  <c r="H19" i="40"/>
  <c r="F88" i="40"/>
  <c r="G88" i="40" s="1"/>
  <c r="F19" i="40"/>
  <c r="S19" i="40" s="1"/>
  <c r="AC13" i="40"/>
  <c r="AB33" i="40"/>
  <c r="W23" i="39"/>
  <c r="W43" i="39"/>
  <c r="U45" i="39"/>
  <c r="AB45" i="39"/>
  <c r="AB44" i="39"/>
  <c r="U44" i="39"/>
  <c r="G100" i="39"/>
  <c r="H37" i="39"/>
  <c r="H25" i="39"/>
  <c r="AB25" i="39" s="1"/>
  <c r="J25" i="39"/>
  <c r="F25" i="39"/>
  <c r="AA25" i="39" s="1"/>
  <c r="F15" i="39"/>
  <c r="AA15" i="39" s="1"/>
  <c r="H15" i="39"/>
  <c r="U15" i="39" s="1"/>
  <c r="J15" i="39"/>
  <c r="W15" i="39" s="1"/>
  <c r="H41" i="39"/>
  <c r="W27" i="39"/>
  <c r="AB34" i="39"/>
  <c r="S42" i="39"/>
  <c r="AA41" i="39"/>
  <c r="W9" i="39"/>
  <c r="J19" i="40"/>
  <c r="AC19" i="40" s="1"/>
  <c r="J50" i="40"/>
  <c r="H103" i="9"/>
  <c r="D8" i="53" s="1"/>
  <c r="B16" i="53"/>
  <c r="B33" i="72" s="1"/>
  <c r="A118" i="9"/>
  <c r="A4" i="52"/>
  <c r="B41" i="72" s="1"/>
  <c r="J11" i="39"/>
  <c r="F11" i="39"/>
  <c r="G4" i="4"/>
  <c r="I4" i="4"/>
  <c r="A2" i="9"/>
  <c r="F61" i="43"/>
  <c r="H64" i="43" s="1"/>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G133" i="3"/>
  <c r="BA135" i="3"/>
  <c r="BL136" i="3"/>
  <c r="G137" i="3"/>
  <c r="BA139" i="3"/>
  <c r="BL140" i="3"/>
  <c r="G141" i="3"/>
  <c r="BA143" i="3"/>
  <c r="BL144" i="3"/>
  <c r="AZ144" i="3" s="1"/>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AZ187" i="3" s="1"/>
  <c r="BL188" i="3"/>
  <c r="G189" i="3"/>
  <c r="BA191" i="3"/>
  <c r="BL192" i="3"/>
  <c r="G193" i="3"/>
  <c r="BA195" i="3"/>
  <c r="AZ195" i="3" s="1"/>
  <c r="BL196" i="3"/>
  <c r="G197" i="3"/>
  <c r="BA199" i="3"/>
  <c r="BL200" i="3"/>
  <c r="G201" i="3"/>
  <c r="BA203" i="3"/>
  <c r="BL204" i="3"/>
  <c r="AZ176" i="3"/>
  <c r="AZ184" i="3"/>
  <c r="G534" i="3"/>
  <c r="G512" i="3"/>
  <c r="G506" i="3"/>
  <c r="G498" i="3"/>
  <c r="G16" i="3"/>
  <c r="G15" i="3"/>
  <c r="BA304" i="3"/>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G312" i="3"/>
  <c r="BA314" i="3"/>
  <c r="BL315" i="3"/>
  <c r="G316" i="3"/>
  <c r="BA318" i="3"/>
  <c r="AZ318" i="3" s="1"/>
  <c r="BL319" i="3"/>
  <c r="AZ319" i="3" s="1"/>
  <c r="G320" i="3"/>
  <c r="BA322" i="3"/>
  <c r="BL323" i="3"/>
  <c r="G324" i="3"/>
  <c r="BA326" i="3"/>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AZ373" i="3" s="1"/>
  <c r="BL374" i="3"/>
  <c r="G375" i="3"/>
  <c r="BA377" i="3"/>
  <c r="AZ377" i="3" s="1"/>
  <c r="BA379" i="3"/>
  <c r="BL380" i="3"/>
  <c r="G381" i="3"/>
  <c r="BA383" i="3"/>
  <c r="AZ383" i="3" s="1"/>
  <c r="BL384" i="3"/>
  <c r="G385" i="3"/>
  <c r="BA387" i="3"/>
  <c r="AZ387" i="3" s="1"/>
  <c r="BL388" i="3"/>
  <c r="G389" i="3"/>
  <c r="BA391" i="3"/>
  <c r="BL392" i="3"/>
  <c r="G393" i="3"/>
  <c r="G520" i="3"/>
  <c r="G17" i="3"/>
  <c r="BA17" i="3"/>
  <c r="AZ356" i="3"/>
  <c r="BA15" i="3"/>
  <c r="G509" i="3"/>
  <c r="F83" i="43"/>
  <c r="H85" i="43" s="1"/>
  <c r="F50" i="43"/>
  <c r="H54" i="43" s="1"/>
  <c r="F72" i="43"/>
  <c r="H75" i="43" s="1"/>
  <c r="S14" i="35"/>
  <c r="U43" i="21"/>
  <c r="U35" i="21"/>
  <c r="AC35" i="21"/>
  <c r="W37" i="37"/>
  <c r="AA12"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F96" i="37"/>
  <c r="G96" i="37" s="1"/>
  <c r="H96" i="37" s="1"/>
  <c r="I96" i="37" s="1"/>
  <c r="J96" i="37" s="1"/>
  <c r="K96" i="37" s="1"/>
  <c r="L96" i="37" s="1"/>
  <c r="M96" i="37" s="1"/>
  <c r="H27" i="40"/>
  <c r="U27" i="40" s="1"/>
  <c r="J27" i="40"/>
  <c r="F27" i="40"/>
  <c r="S27" i="40" s="1"/>
  <c r="J30" i="40"/>
  <c r="AC30" i="40" s="1"/>
  <c r="F30" i="40"/>
  <c r="S30" i="40" s="1"/>
  <c r="AA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C40" i="11"/>
  <c r="AZ227" i="3"/>
  <c r="AZ235" i="3"/>
  <c r="F23" i="39"/>
  <c r="S23" i="39" s="1"/>
  <c r="AA23" i="39"/>
  <c r="H27" i="36"/>
  <c r="U27" i="36" s="1"/>
  <c r="F27" i="36"/>
  <c r="AA27" i="36" s="1"/>
  <c r="H33" i="34"/>
  <c r="AB33" i="34" s="1"/>
  <c r="F32" i="37"/>
  <c r="AA32" i="37" s="1"/>
  <c r="F20" i="36"/>
  <c r="AA20" i="36" s="1"/>
  <c r="J33" i="34"/>
  <c r="AC33" i="34" s="1"/>
  <c r="H23" i="39"/>
  <c r="U23" i="39" s="1"/>
  <c r="D48" i="9"/>
  <c r="M52" i="9" s="1"/>
  <c r="K9" i="1"/>
  <c r="M9" i="1" s="1"/>
  <c r="D93" i="9"/>
  <c r="AB34" i="36"/>
  <c r="U34" i="36"/>
  <c r="W12" i="33"/>
  <c r="AC12" i="33"/>
  <c r="AA32" i="36"/>
  <c r="S32" i="36"/>
  <c r="BL14" i="3"/>
  <c r="U30" i="33"/>
  <c r="W28" i="37"/>
  <c r="S19" i="39"/>
  <c r="F12" i="33"/>
  <c r="H12" i="39"/>
  <c r="AB12" i="39"/>
  <c r="F39" i="40"/>
  <c r="AA39" i="40" s="1"/>
  <c r="BA14" i="3"/>
  <c r="B12" i="1"/>
  <c r="E12" i="1" s="1"/>
  <c r="B10" i="1"/>
  <c r="E10" i="1" s="1"/>
  <c r="K12" i="1"/>
  <c r="M12" i="1" s="1"/>
  <c r="S13" i="1"/>
  <c r="AR13" i="1" s="1"/>
  <c r="R13" i="1"/>
  <c r="AA34" i="33"/>
  <c r="B41" i="1"/>
  <c r="AB37" i="40"/>
  <c r="S35" i="40"/>
  <c r="U35" i="40"/>
  <c r="W38" i="40"/>
  <c r="AA32" i="40"/>
  <c r="AC17" i="40"/>
  <c r="AC15" i="40"/>
  <c r="AB27" i="40"/>
  <c r="AA19" i="40"/>
  <c r="S28" i="40"/>
  <c r="F32" i="39"/>
  <c r="AA32" i="39" s="1"/>
  <c r="F106" i="39"/>
  <c r="G106" i="39" s="1"/>
  <c r="H106" i="39" s="1"/>
  <c r="I106" i="39" s="1"/>
  <c r="J106" i="39" s="1"/>
  <c r="K106" i="39" s="1"/>
  <c r="L106" i="39" s="1"/>
  <c r="M106" i="39" s="1"/>
  <c r="U25" i="39"/>
  <c r="AB27" i="39"/>
  <c r="U31" i="39"/>
  <c r="J21" i="39"/>
  <c r="W21" i="39" s="1"/>
  <c r="F21" i="39"/>
  <c r="H21" i="39"/>
  <c r="U21" i="39" s="1"/>
  <c r="W19" i="39"/>
  <c r="U19" i="39"/>
  <c r="S17" i="39"/>
  <c r="S15" i="39"/>
  <c r="AA12" i="39"/>
  <c r="U14" i="39"/>
  <c r="AC13" i="39"/>
  <c r="U12" i="39"/>
  <c r="U26" i="36"/>
  <c r="AC26" i="36"/>
  <c r="AA22" i="36"/>
  <c r="AB14" i="36"/>
  <c r="U22" i="36"/>
  <c r="S16" i="36"/>
  <c r="AA25" i="36"/>
  <c r="U24" i="36"/>
  <c r="AB20" i="36"/>
  <c r="S14" i="36"/>
  <c r="W24" i="35"/>
  <c r="AB13" i="35"/>
  <c r="U29" i="35"/>
  <c r="U28" i="35"/>
  <c r="AB27" i="35"/>
  <c r="AA33" i="35"/>
  <c r="AC30" i="35"/>
  <c r="S32" i="35"/>
  <c r="AA36" i="35"/>
  <c r="S28" i="35"/>
  <c r="U22" i="35"/>
  <c r="S20" i="35"/>
  <c r="S22" i="35"/>
  <c r="U14" i="35"/>
  <c r="AC12" i="35"/>
  <c r="W13" i="35"/>
  <c r="AB40" i="37"/>
  <c r="U29" i="37"/>
  <c r="S36" i="37"/>
  <c r="W38" i="37"/>
  <c r="AC35" i="37"/>
  <c r="W39" i="37"/>
  <c r="S37" i="37"/>
  <c r="AC15" i="37"/>
  <c r="J17" i="37"/>
  <c r="W17" i="37" s="1"/>
  <c r="F17" i="37"/>
  <c r="AB17" i="37"/>
  <c r="F75" i="37"/>
  <c r="G75" i="37" s="1"/>
  <c r="F19" i="37"/>
  <c r="S19" i="37" s="1"/>
  <c r="F79" i="37"/>
  <c r="G79" i="37" s="1"/>
  <c r="F23" i="37"/>
  <c r="U15" i="37"/>
  <c r="AC13" i="37"/>
  <c r="AA13" i="37"/>
  <c r="H10" i="37"/>
  <c r="AB10" i="37" s="1"/>
  <c r="F63" i="37"/>
  <c r="G63" i="37" s="1"/>
  <c r="H63" i="37" s="1"/>
  <c r="I63" i="37" s="1"/>
  <c r="F11" i="37"/>
  <c r="S11" i="37" s="1"/>
  <c r="W25" i="34"/>
  <c r="W41" i="34"/>
  <c r="AC42" i="34"/>
  <c r="AA45" i="34"/>
  <c r="U28" i="34"/>
  <c r="AA29" i="34"/>
  <c r="S13" i="34"/>
  <c r="H10" i="34"/>
  <c r="AB10" i="34" s="1"/>
  <c r="F11" i="34"/>
  <c r="S11" i="34" s="1"/>
  <c r="W42" i="33"/>
  <c r="AA35" i="33"/>
  <c r="S27" i="33"/>
  <c r="AA29" i="33"/>
  <c r="AB29" i="33"/>
  <c r="H41" i="33"/>
  <c r="F121" i="33"/>
  <c r="G121" i="33" s="1"/>
  <c r="H121" i="33" s="1"/>
  <c r="I121" i="33" s="1"/>
  <c r="J121" i="33" s="1"/>
  <c r="K121" i="33" s="1"/>
  <c r="L121" i="33" s="1"/>
  <c r="M121" i="33" s="1"/>
  <c r="F36" i="33"/>
  <c r="AA36" i="33" s="1"/>
  <c r="G111" i="33"/>
  <c r="H111" i="33" s="1"/>
  <c r="I111" i="33" s="1"/>
  <c r="J111" i="33" s="1"/>
  <c r="K111" i="33" s="1"/>
  <c r="L111" i="33" s="1"/>
  <c r="M111" i="33" s="1"/>
  <c r="J35" i="33"/>
  <c r="AC35" i="33" s="1"/>
  <c r="S37" i="33"/>
  <c r="AA37" i="33"/>
  <c r="S39" i="33"/>
  <c r="F101" i="33"/>
  <c r="G101" i="33" s="1"/>
  <c r="H101" i="33" s="1"/>
  <c r="I101" i="33" s="1"/>
  <c r="J101" i="33" s="1"/>
  <c r="K101" i="33" s="1"/>
  <c r="L101" i="33" s="1"/>
  <c r="M101" i="33" s="1"/>
  <c r="J32" i="33"/>
  <c r="AC32" i="33" s="1"/>
  <c r="S46" i="33"/>
  <c r="H27" i="33"/>
  <c r="AB27" i="33" s="1"/>
  <c r="H25" i="33"/>
  <c r="F25" i="33"/>
  <c r="J23" i="33"/>
  <c r="AC23" i="33" s="1"/>
  <c r="F85" i="33"/>
  <c r="G85" i="33" s="1"/>
  <c r="H23" i="33"/>
  <c r="F81" i="33"/>
  <c r="G81" i="33" s="1"/>
  <c r="F19" i="33"/>
  <c r="S19" i="33" s="1"/>
  <c r="W19" i="33"/>
  <c r="J17" i="33"/>
  <c r="S15" i="33"/>
  <c r="U9" i="33"/>
  <c r="J10" i="33"/>
  <c r="W10" i="33" s="1"/>
  <c r="H10" i="33"/>
  <c r="U10" i="33" s="1"/>
  <c r="AC11" i="33"/>
  <c r="W43" i="21"/>
  <c r="W41" i="21"/>
  <c r="AB39" i="21"/>
  <c r="AA43" i="21"/>
  <c r="S39" i="21"/>
  <c r="AA36" i="21"/>
  <c r="AC40" i="21"/>
  <c r="J15" i="21"/>
  <c r="W15" i="21" s="1"/>
  <c r="F77" i="21"/>
  <c r="G77" i="21"/>
  <c r="F23" i="21"/>
  <c r="E85" i="21"/>
  <c r="AA14" i="21"/>
  <c r="D120" i="9"/>
  <c r="C18" i="9"/>
  <c r="D18" i="9" s="1"/>
  <c r="F34" i="67"/>
  <c r="F62" i="67" s="1"/>
  <c r="M20" i="67"/>
  <c r="F34" i="15"/>
  <c r="F62" i="15" s="1"/>
  <c r="BA13" i="3"/>
  <c r="BL17" i="3"/>
  <c r="AZ17" i="3" s="1"/>
  <c r="BL13" i="3"/>
  <c r="A24" i="51"/>
  <c r="B18" i="72" s="1"/>
  <c r="E5" i="6"/>
  <c r="E32" i="6"/>
  <c r="G1" i="68"/>
  <c r="K1" i="12"/>
  <c r="E19" i="69"/>
  <c r="E19" i="68"/>
  <c r="E19" i="11"/>
  <c r="E1" i="73"/>
  <c r="G22" i="69"/>
  <c r="G22" i="68"/>
  <c r="G26" i="12"/>
  <c r="G22" i="11"/>
  <c r="C6" i="43"/>
  <c r="B19" i="53"/>
  <c r="B37" i="72" s="1"/>
  <c r="L20" i="6"/>
  <c r="B6" i="1"/>
  <c r="E6" i="1" s="1"/>
  <c r="K11" i="1"/>
  <c r="M11" i="1" s="1"/>
  <c r="O11" i="1" s="1"/>
  <c r="B9" i="1"/>
  <c r="E9" i="1" s="1"/>
  <c r="K7" i="1"/>
  <c r="M7" i="1" s="1"/>
  <c r="O7" i="1" s="1"/>
  <c r="P7" i="1" s="1"/>
  <c r="G1" i="15"/>
  <c r="G1" i="69"/>
  <c r="G1" i="67"/>
  <c r="W23" i="40"/>
  <c r="U32" i="40"/>
  <c r="AB31" i="40"/>
  <c r="S37" i="40"/>
  <c r="AB28" i="40"/>
  <c r="W28" i="40"/>
  <c r="W34" i="40"/>
  <c r="W19" i="40"/>
  <c r="W37" i="40"/>
  <c r="S13" i="40"/>
  <c r="AA15" i="40"/>
  <c r="U11" i="40"/>
  <c r="AB13" i="40"/>
  <c r="U15" i="40"/>
  <c r="AB17" i="40"/>
  <c r="U8" i="40"/>
  <c r="S8" i="40"/>
  <c r="AA39" i="39"/>
  <c r="AC41" i="39"/>
  <c r="W25" i="39"/>
  <c r="AC25" i="39"/>
  <c r="AB13" i="39"/>
  <c r="AA13" i="39"/>
  <c r="S13" i="39"/>
  <c r="AA27" i="39"/>
  <c r="S27" i="39"/>
  <c r="W17" i="39"/>
  <c r="AC17" i="39"/>
  <c r="AA45" i="39"/>
  <c r="AB39" i="39"/>
  <c r="W34" i="39"/>
  <c r="U38" i="39"/>
  <c r="S8" i="39"/>
  <c r="S20" i="36"/>
  <c r="AC25" i="36"/>
  <c r="U32" i="36"/>
  <c r="AC20" i="36"/>
  <c r="AB28" i="36"/>
  <c r="AA13" i="36"/>
  <c r="W22" i="36"/>
  <c r="AB20" i="35"/>
  <c r="U25" i="35"/>
  <c r="S35" i="35"/>
  <c r="W35" i="35"/>
  <c r="AA16" i="35"/>
  <c r="AA35" i="37"/>
  <c r="W36" i="37"/>
  <c r="U36" i="37"/>
  <c r="S40" i="37"/>
  <c r="AC34" i="37"/>
  <c r="AB35" i="37"/>
  <c r="U19" i="37"/>
  <c r="AA29" i="37"/>
  <c r="AC45" i="34"/>
  <c r="AA31" i="34"/>
  <c r="AB45" i="34"/>
  <c r="AB47" i="34"/>
  <c r="AC32" i="34"/>
  <c r="AC29" i="34"/>
  <c r="S32" i="34"/>
  <c r="AA32" i="34"/>
  <c r="U38" i="34"/>
  <c r="W40" i="34"/>
  <c r="AA36" i="34"/>
  <c r="S36" i="34"/>
  <c r="AB32" i="34"/>
  <c r="U14" i="34"/>
  <c r="W23" i="34"/>
  <c r="AC37" i="33"/>
  <c r="W46" i="33"/>
  <c r="U39" i="33"/>
  <c r="U38" i="33"/>
  <c r="S33" i="33"/>
  <c r="AB34" i="33"/>
  <c r="S30" i="33"/>
  <c r="AA30" i="33"/>
  <c r="AC14" i="33"/>
  <c r="W14" i="33"/>
  <c r="AC30" i="33"/>
  <c r="W30" i="33"/>
  <c r="S11" i="33"/>
  <c r="U37" i="33"/>
  <c r="AC28" i="33"/>
  <c r="S28" i="33"/>
  <c r="W9" i="33"/>
  <c r="W8" i="33"/>
  <c r="S44" i="21"/>
  <c r="I101" i="21"/>
  <c r="J101" i="21" s="1"/>
  <c r="K101" i="21" s="1"/>
  <c r="L101" i="21" s="1"/>
  <c r="M101" i="21" s="1"/>
  <c r="F33" i="21"/>
  <c r="AA33" i="21" s="1"/>
  <c r="J33" i="21"/>
  <c r="AC33" i="21" s="1"/>
  <c r="H33" i="21"/>
  <c r="AB33" i="21" s="1"/>
  <c r="F37" i="21"/>
  <c r="AA26" i="21"/>
  <c r="AB14" i="21"/>
  <c r="AB46" i="21"/>
  <c r="AC15" i="21"/>
  <c r="U13" i="21"/>
  <c r="AB13" i="21"/>
  <c r="S35" i="21"/>
  <c r="J37" i="21"/>
  <c r="W37" i="21" s="1"/>
  <c r="H15" i="21"/>
  <c r="U15" i="21" s="1"/>
  <c r="J17" i="21"/>
  <c r="AC19" i="21"/>
  <c r="W39" i="21"/>
  <c r="AC14" i="21"/>
  <c r="W30" i="21"/>
  <c r="S46" i="21"/>
  <c r="H45" i="21"/>
  <c r="U45" i="21" s="1"/>
  <c r="F29" i="21"/>
  <c r="AA29" i="21" s="1"/>
  <c r="F13" i="21"/>
  <c r="AA13" i="21" s="1"/>
  <c r="AC38" i="21"/>
  <c r="H32" i="21"/>
  <c r="AB32" i="21" s="1"/>
  <c r="H9" i="21"/>
  <c r="U9" i="21" s="1"/>
  <c r="J9" i="21"/>
  <c r="AC9" i="21" s="1"/>
  <c r="J32" i="21"/>
  <c r="W32" i="21" s="1"/>
  <c r="F32" i="21"/>
  <c r="W29" i="21"/>
  <c r="S19" i="21"/>
  <c r="S9" i="21"/>
  <c r="AA9" i="21"/>
  <c r="K141" i="21"/>
  <c r="K144" i="21"/>
  <c r="K143" i="21"/>
  <c r="AB25" i="21"/>
  <c r="AA30" i="21"/>
  <c r="W13" i="21"/>
  <c r="W42" i="21"/>
  <c r="F10" i="21"/>
  <c r="AA10" i="21" s="1"/>
  <c r="K145" i="21"/>
  <c r="W25" i="21"/>
  <c r="W31" i="21"/>
  <c r="S17" i="21"/>
  <c r="AC26" i="21"/>
  <c r="AB29" i="21"/>
  <c r="AB36" i="21"/>
  <c r="W30" i="40"/>
  <c r="C19" i="39"/>
  <c r="C15" i="40"/>
  <c r="C17" i="40"/>
  <c r="C23" i="40"/>
  <c r="C21" i="40"/>
  <c r="B56" i="43"/>
  <c r="B67" i="43"/>
  <c r="B51" i="43"/>
  <c r="B58" i="43"/>
  <c r="B62" i="43"/>
  <c r="B69" i="43"/>
  <c r="D23" i="15"/>
  <c r="D22" i="15"/>
  <c r="E4" i="4"/>
  <c r="B5" i="62" s="1"/>
  <c r="B73" i="72" s="1"/>
  <c r="C4" i="4"/>
  <c r="F32" i="67"/>
  <c r="F60" i="67" s="1"/>
  <c r="S39" i="40"/>
  <c r="S12" i="33"/>
  <c r="AA12" i="33"/>
  <c r="J32" i="39"/>
  <c r="AC32" i="39" s="1"/>
  <c r="H32" i="39"/>
  <c r="AB32" i="39" s="1"/>
  <c r="S32" i="39"/>
  <c r="AA21" i="39"/>
  <c r="S21" i="39"/>
  <c r="AC17" i="37"/>
  <c r="J19" i="37"/>
  <c r="W19" i="37" s="1"/>
  <c r="AA19" i="37"/>
  <c r="J23" i="37"/>
  <c r="J10" i="37"/>
  <c r="W10" i="37" s="1"/>
  <c r="H11" i="37"/>
  <c r="AB11" i="37" s="1"/>
  <c r="G70" i="34"/>
  <c r="H70" i="34" s="1"/>
  <c r="I70" i="34" s="1"/>
  <c r="J70" i="34" s="1"/>
  <c r="K70" i="34" s="1"/>
  <c r="L70" i="34" s="1"/>
  <c r="M70" i="34" s="1"/>
  <c r="H11" i="34"/>
  <c r="U11" i="34" s="1"/>
  <c r="J10" i="34"/>
  <c r="AC10" i="34" s="1"/>
  <c r="AB41" i="33"/>
  <c r="U41" i="33"/>
  <c r="J36" i="33"/>
  <c r="W36" i="33" s="1"/>
  <c r="H36" i="33"/>
  <c r="U36" i="33" s="1"/>
  <c r="S36" i="33"/>
  <c r="W32" i="33"/>
  <c r="U27" i="33"/>
  <c r="J27" i="33"/>
  <c r="AC27" i="33" s="1"/>
  <c r="U25" i="33"/>
  <c r="AB25" i="33"/>
  <c r="G87" i="33"/>
  <c r="H87" i="33" s="1"/>
  <c r="I87" i="33" s="1"/>
  <c r="J87" i="33" s="1"/>
  <c r="K87" i="33" s="1"/>
  <c r="L87" i="33" s="1"/>
  <c r="M87" i="33" s="1"/>
  <c r="J25" i="33"/>
  <c r="AC25" i="33" s="1"/>
  <c r="AB23" i="33"/>
  <c r="U23" i="33"/>
  <c r="F23" i="33"/>
  <c r="AA19" i="33"/>
  <c r="H19" i="33"/>
  <c r="U19" i="33" s="1"/>
  <c r="H17" i="33"/>
  <c r="U17" i="33" s="1"/>
  <c r="F17" i="33"/>
  <c r="W17" i="33"/>
  <c r="AC17" i="33"/>
  <c r="J23" i="21"/>
  <c r="W23" i="21" s="1"/>
  <c r="F85" i="21"/>
  <c r="G85" i="21" s="1"/>
  <c r="H23" i="21"/>
  <c r="U23" i="21" s="1"/>
  <c r="S13" i="21"/>
  <c r="AP7" i="1"/>
  <c r="AA32" i="21"/>
  <c r="S32" i="21"/>
  <c r="W9" i="21"/>
  <c r="U32" i="39"/>
  <c r="W32" i="39"/>
  <c r="J63" i="37"/>
  <c r="K63" i="37" s="1"/>
  <c r="L63" i="37" s="1"/>
  <c r="M63" i="37" s="1"/>
  <c r="J11" i="37"/>
  <c r="AC11" i="37" s="1"/>
  <c r="J11" i="34"/>
  <c r="W11" i="34" s="1"/>
  <c r="W27" i="33"/>
  <c r="W25" i="33"/>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F8" i="67"/>
  <c r="E9" i="76"/>
  <c r="AO13" i="1"/>
  <c r="F7" i="73"/>
  <c r="E10" i="76"/>
  <c r="E2" i="68"/>
  <c r="E8" i="76"/>
  <c r="F4" i="73"/>
  <c r="M22" i="67"/>
  <c r="F26" i="67"/>
  <c r="F36" i="67"/>
  <c r="E2" i="69"/>
  <c r="F5" i="73"/>
  <c r="F6" i="73"/>
  <c r="F3" i="73"/>
  <c r="F40" i="67"/>
  <c r="B12" i="76"/>
  <c r="B13" i="76"/>
  <c r="E11" i="76"/>
  <c r="B9" i="76"/>
  <c r="B7" i="76"/>
  <c r="M26" i="67"/>
  <c r="E13" i="76"/>
  <c r="M9" i="67"/>
  <c r="F9" i="15"/>
  <c r="M9" i="15"/>
  <c r="F26" i="15"/>
  <c r="M22" i="15"/>
  <c r="B10" i="76"/>
  <c r="L48" i="15"/>
  <c r="M23" i="15"/>
  <c r="D6" i="73"/>
  <c r="B11" i="76"/>
  <c r="B8" i="76"/>
  <c r="F20" i="31"/>
  <c r="E7" i="76"/>
  <c r="M8" i="15"/>
  <c r="AZ530" i="3" l="1"/>
  <c r="AZ522" i="3"/>
  <c r="AB17" i="21"/>
  <c r="U17" i="21"/>
  <c r="AA33" i="40"/>
  <c r="S33" i="40"/>
  <c r="AB35" i="33"/>
  <c r="U35" i="33"/>
  <c r="H23" i="36"/>
  <c r="J23" i="36"/>
  <c r="F23" i="36"/>
  <c r="AA33" i="36"/>
  <c r="S33" i="36"/>
  <c r="BL551" i="3"/>
  <c r="BA547" i="3"/>
  <c r="BA545" i="3"/>
  <c r="AZ545" i="3" s="1"/>
  <c r="BL544" i="3"/>
  <c r="BA544" i="3"/>
  <c r="AZ544" i="3" s="1"/>
  <c r="BA543" i="3"/>
  <c r="BL542" i="3"/>
  <c r="BA542" i="3"/>
  <c r="BL541" i="3"/>
  <c r="AZ541" i="3" s="1"/>
  <c r="BL540" i="3"/>
  <c r="BA540" i="3"/>
  <c r="BL538" i="3"/>
  <c r="BA538" i="3"/>
  <c r="AZ538" i="3" s="1"/>
  <c r="BA537" i="3"/>
  <c r="AZ537" i="3" s="1"/>
  <c r="BL536" i="3"/>
  <c r="AZ536" i="3" s="1"/>
  <c r="BA535" i="3"/>
  <c r="BA534" i="3"/>
  <c r="AZ534" i="3" s="1"/>
  <c r="BL532" i="3"/>
  <c r="BA532" i="3"/>
  <c r="AZ532" i="3" s="1"/>
  <c r="BA531" i="3"/>
  <c r="BL530" i="3"/>
  <c r="BA529" i="3"/>
  <c r="BL528" i="3"/>
  <c r="BA528" i="3"/>
  <c r="BA527" i="3"/>
  <c r="BL526" i="3"/>
  <c r="BA526" i="3"/>
  <c r="AZ526" i="3" s="1"/>
  <c r="BL525" i="3"/>
  <c r="AZ525" i="3" s="1"/>
  <c r="BL524" i="3"/>
  <c r="BA524" i="3"/>
  <c r="AZ524" i="3" s="1"/>
  <c r="BA523" i="3"/>
  <c r="AZ523" i="3" s="1"/>
  <c r="BL522" i="3"/>
  <c r="BA521" i="3"/>
  <c r="AZ521" i="3" s="1"/>
  <c r="BA520" i="3"/>
  <c r="AZ520" i="3" s="1"/>
  <c r="BA519" i="3"/>
  <c r="BL518" i="3"/>
  <c r="BA518" i="3"/>
  <c r="BL517" i="3"/>
  <c r="AZ517" i="3" s="1"/>
  <c r="BA517" i="3"/>
  <c r="BA516" i="3"/>
  <c r="BL514" i="3"/>
  <c r="BA513" i="3"/>
  <c r="AZ513" i="3" s="1"/>
  <c r="BL512" i="3"/>
  <c r="BA512" i="3"/>
  <c r="AZ512" i="3" s="1"/>
  <c r="BA511" i="3"/>
  <c r="BA510" i="3"/>
  <c r="AZ510" i="3" s="1"/>
  <c r="BL509" i="3"/>
  <c r="BA509" i="3"/>
  <c r="BL508" i="3"/>
  <c r="AZ508" i="3" s="1"/>
  <c r="BA507" i="3"/>
  <c r="BL506" i="3"/>
  <c r="BA506" i="3"/>
  <c r="AZ506" i="3" s="1"/>
  <c r="BL504" i="3"/>
  <c r="BA504" i="3"/>
  <c r="AZ504" i="3" s="1"/>
  <c r="BA503" i="3"/>
  <c r="BL502" i="3"/>
  <c r="BA501" i="3"/>
  <c r="BL500" i="3"/>
  <c r="BA500" i="3"/>
  <c r="BT5" i="3"/>
  <c r="BL499" i="3"/>
  <c r="BA499" i="3"/>
  <c r="AZ499" i="3" s="1"/>
  <c r="BA498" i="3"/>
  <c r="AZ498" i="3" s="1"/>
  <c r="BB5" i="3"/>
  <c r="BL496" i="3"/>
  <c r="BI5" i="3"/>
  <c r="BA496" i="3"/>
  <c r="BE5" i="3"/>
  <c r="BR5" i="3"/>
  <c r="BL495" i="3"/>
  <c r="AZ495" i="3" s="1"/>
  <c r="BA495" i="3"/>
  <c r="BL494" i="3"/>
  <c r="BM5" i="3"/>
  <c r="BD5" i="3"/>
  <c r="H5" i="3"/>
  <c r="BK5" i="3"/>
  <c r="BA493" i="3"/>
  <c r="AB37" i="37"/>
  <c r="U37" i="37"/>
  <c r="AC40" i="33"/>
  <c r="W40" i="33"/>
  <c r="AB38" i="40"/>
  <c r="U38" i="40"/>
  <c r="H14" i="40"/>
  <c r="J14" i="40"/>
  <c r="U42" i="33"/>
  <c r="S32" i="37"/>
  <c r="G494" i="3"/>
  <c r="W8" i="39"/>
  <c r="U40" i="39"/>
  <c r="BA494" i="3"/>
  <c r="AZ494" i="3" s="1"/>
  <c r="S38" i="37"/>
  <c r="AA38" i="37"/>
  <c r="AB34" i="21"/>
  <c r="U34" i="21"/>
  <c r="AC23" i="21"/>
  <c r="AZ514" i="3"/>
  <c r="AA14" i="40"/>
  <c r="S14" i="40"/>
  <c r="AA17" i="40"/>
  <c r="S17" i="40"/>
  <c r="J14" i="39"/>
  <c r="AC14" i="39" s="1"/>
  <c r="F14" i="39"/>
  <c r="BA548" i="3"/>
  <c r="BL546" i="3"/>
  <c r="AZ546" i="3" s="1"/>
  <c r="F48" i="9"/>
  <c r="O52" i="9" s="1"/>
  <c r="F28" i="15"/>
  <c r="D68" i="9"/>
  <c r="BC5" i="3"/>
  <c r="E12" i="6" s="1"/>
  <c r="E57" i="40" s="1"/>
  <c r="AZ310" i="3"/>
  <c r="W11" i="39"/>
  <c r="AC11" i="39"/>
  <c r="AC32" i="37"/>
  <c r="W32" i="37"/>
  <c r="BL503" i="3"/>
  <c r="AC5" i="3"/>
  <c r="G521" i="3"/>
  <c r="AZ552" i="3"/>
  <c r="AC35" i="40"/>
  <c r="W35" i="40"/>
  <c r="AB12" i="40"/>
  <c r="U12" i="40"/>
  <c r="AB46" i="33"/>
  <c r="U46" i="33"/>
  <c r="W45" i="33"/>
  <c r="AC45" i="33"/>
  <c r="AC44" i="34"/>
  <c r="W44" i="34"/>
  <c r="J45" i="21"/>
  <c r="F45" i="21"/>
  <c r="AC36" i="21"/>
  <c r="W36" i="21"/>
  <c r="W27" i="35"/>
  <c r="AC27" i="35"/>
  <c r="AC9" i="36"/>
  <c r="W9" i="36"/>
  <c r="AA11" i="40"/>
  <c r="S11" i="40"/>
  <c r="AB40" i="21"/>
  <c r="U40" i="21"/>
  <c r="AC28" i="35"/>
  <c r="W28" i="35"/>
  <c r="AA34" i="40"/>
  <c r="S34" i="40"/>
  <c r="U32" i="21"/>
  <c r="AB9" i="21"/>
  <c r="AB36" i="33"/>
  <c r="AB45" i="21"/>
  <c r="W35" i="33"/>
  <c r="AC23" i="37"/>
  <c r="W23" i="37"/>
  <c r="AC17" i="21"/>
  <c r="W17" i="21"/>
  <c r="S27" i="37"/>
  <c r="U25" i="36"/>
  <c r="S23" i="21"/>
  <c r="AA23" i="21"/>
  <c r="U32" i="35"/>
  <c r="AA27" i="40"/>
  <c r="BN5" i="3"/>
  <c r="AZ314" i="3"/>
  <c r="AB37" i="39"/>
  <c r="U37" i="39"/>
  <c r="S31" i="40"/>
  <c r="AA31" i="40"/>
  <c r="BL497" i="3"/>
  <c r="AZ497" i="3" s="1"/>
  <c r="S11" i="35"/>
  <c r="AA11" i="35"/>
  <c r="J13" i="33"/>
  <c r="H13" i="33"/>
  <c r="U13" i="33" s="1"/>
  <c r="F13" i="33"/>
  <c r="J31" i="33"/>
  <c r="F31" i="33"/>
  <c r="J30" i="34"/>
  <c r="H30" i="34"/>
  <c r="F30" i="34"/>
  <c r="H46" i="34"/>
  <c r="F46" i="34"/>
  <c r="J46" i="34"/>
  <c r="H11" i="35"/>
  <c r="AB11" i="35" s="1"/>
  <c r="J11" i="35"/>
  <c r="J25" i="35"/>
  <c r="F25" i="35"/>
  <c r="AC22" i="35"/>
  <c r="W22" i="35"/>
  <c r="AZ326" i="3"/>
  <c r="AZ371" i="3"/>
  <c r="AZ304" i="3"/>
  <c r="AZ192" i="3"/>
  <c r="AZ380" i="3"/>
  <c r="BL505" i="3"/>
  <c r="AZ505" i="3" s="1"/>
  <c r="BL519" i="3"/>
  <c r="BL531" i="3"/>
  <c r="BL543" i="3"/>
  <c r="AZ543" i="3" s="1"/>
  <c r="BL549" i="3"/>
  <c r="AZ549" i="3" s="1"/>
  <c r="AZ569" i="3"/>
  <c r="AZ577" i="3"/>
  <c r="AZ570" i="3"/>
  <c r="AZ556" i="3"/>
  <c r="AZ560" i="3"/>
  <c r="S45" i="33"/>
  <c r="S14" i="37"/>
  <c r="AB30" i="40"/>
  <c r="W13" i="34"/>
  <c r="U13" i="36"/>
  <c r="AB13" i="36"/>
  <c r="W14" i="36"/>
  <c r="AC14" i="36"/>
  <c r="B79" i="43"/>
  <c r="AC34" i="33"/>
  <c r="S15" i="37"/>
  <c r="AZ379" i="3"/>
  <c r="AA24" i="35"/>
  <c r="BL515" i="3"/>
  <c r="AZ515" i="3" s="1"/>
  <c r="BL523" i="3"/>
  <c r="BL527" i="3"/>
  <c r="BL533" i="3"/>
  <c r="AZ533" i="3" s="1"/>
  <c r="BL539" i="3"/>
  <c r="AZ539" i="3" s="1"/>
  <c r="AZ572" i="3"/>
  <c r="S29" i="35"/>
  <c r="AA29" i="35"/>
  <c r="AC15" i="33"/>
  <c r="AA32" i="33"/>
  <c r="J27" i="21"/>
  <c r="W27" i="21" s="1"/>
  <c r="H27" i="21"/>
  <c r="H31" i="21"/>
  <c r="AB31" i="21" s="1"/>
  <c r="F31" i="21"/>
  <c r="E78" i="34"/>
  <c r="F78" i="34" s="1"/>
  <c r="G78" i="34" s="1"/>
  <c r="J15" i="34"/>
  <c r="AC15" i="34" s="1"/>
  <c r="H35" i="39"/>
  <c r="J35" i="39"/>
  <c r="AC35" i="39" s="1"/>
  <c r="F35" i="39"/>
  <c r="BL501" i="3"/>
  <c r="BL511" i="3"/>
  <c r="AZ511" i="3" s="1"/>
  <c r="BL535" i="3"/>
  <c r="AZ535" i="3" s="1"/>
  <c r="AZ561" i="3"/>
  <c r="F26" i="33"/>
  <c r="AA26" i="33" s="1"/>
  <c r="J26" i="33"/>
  <c r="AC26" i="33" s="1"/>
  <c r="E80" i="34"/>
  <c r="F80" i="34" s="1"/>
  <c r="G80" i="34" s="1"/>
  <c r="J17" i="34"/>
  <c r="W17" i="34" s="1"/>
  <c r="J36" i="35"/>
  <c r="AC36" i="35" s="1"/>
  <c r="H36" i="35"/>
  <c r="J37" i="39"/>
  <c r="F37" i="39"/>
  <c r="AA37" i="39" s="1"/>
  <c r="BA587" i="3"/>
  <c r="BH5" i="3"/>
  <c r="F25" i="37"/>
  <c r="F37" i="34"/>
  <c r="AA37" i="34" s="1"/>
  <c r="S44" i="39"/>
  <c r="S38" i="39"/>
  <c r="J45" i="39"/>
  <c r="W45" i="39" s="1"/>
  <c r="H12" i="35"/>
  <c r="J25" i="37"/>
  <c r="BL584" i="3"/>
  <c r="BG5" i="3"/>
  <c r="BA584" i="3"/>
  <c r="AZ584" i="3" s="1"/>
  <c r="BA402" i="3"/>
  <c r="AZ402" i="3" s="1"/>
  <c r="BA406" i="3"/>
  <c r="BL409" i="3"/>
  <c r="BA410" i="3"/>
  <c r="BA413" i="3"/>
  <c r="BA420" i="3"/>
  <c r="BL431" i="3"/>
  <c r="G433" i="3"/>
  <c r="BA441" i="3"/>
  <c r="BL443" i="3"/>
  <c r="G445" i="3"/>
  <c r="BL445" i="3"/>
  <c r="BL446" i="3"/>
  <c r="AZ446" i="3" s="1"/>
  <c r="BA451" i="3"/>
  <c r="BL455" i="3"/>
  <c r="BA456" i="3"/>
  <c r="BA462" i="3"/>
  <c r="AZ462" i="3" s="1"/>
  <c r="BA463" i="3"/>
  <c r="BL465" i="3"/>
  <c r="G467" i="3"/>
  <c r="BL467" i="3"/>
  <c r="BL468" i="3"/>
  <c r="BL470" i="3"/>
  <c r="G472" i="3"/>
  <c r="BA473" i="3"/>
  <c r="AZ473" i="3" s="1"/>
  <c r="G478" i="3"/>
  <c r="BA485" i="3"/>
  <c r="BL487" i="3"/>
  <c r="G488" i="3"/>
  <c r="G311" i="3"/>
  <c r="BL314" i="3"/>
  <c r="G315" i="3"/>
  <c r="BL340" i="3"/>
  <c r="AZ340" i="3" s="1"/>
  <c r="BA385" i="3"/>
  <c r="BA386" i="3"/>
  <c r="AZ386" i="3" s="1"/>
  <c r="BA212" i="3"/>
  <c r="G216" i="3"/>
  <c r="G218" i="3"/>
  <c r="BL222" i="3"/>
  <c r="BL223" i="3"/>
  <c r="G224" i="3"/>
  <c r="BA229" i="3"/>
  <c r="AZ229" i="3" s="1"/>
  <c r="BL229" i="3"/>
  <c r="BA231" i="3"/>
  <c r="BL231" i="3"/>
  <c r="G233" i="3"/>
  <c r="G241" i="3"/>
  <c r="BA248" i="3"/>
  <c r="G251" i="3"/>
  <c r="BL252" i="3"/>
  <c r="G255" i="3"/>
  <c r="G256" i="3"/>
  <c r="BA260" i="3"/>
  <c r="AZ260" i="3" s="1"/>
  <c r="BL260" i="3"/>
  <c r="G262" i="3"/>
  <c r="BL272" i="3"/>
  <c r="BA275" i="3"/>
  <c r="AZ275" i="3" s="1"/>
  <c r="BA283" i="3"/>
  <c r="D60" i="71"/>
  <c r="T60" i="71"/>
  <c r="BS5" i="3"/>
  <c r="BL582" i="3"/>
  <c r="AZ582" i="3" s="1"/>
  <c r="BF5" i="3"/>
  <c r="G13" i="3"/>
  <c r="F19" i="6" s="1"/>
  <c r="E19" i="6" s="1"/>
  <c r="BA401" i="3"/>
  <c r="BL402" i="3"/>
  <c r="BA404" i="3"/>
  <c r="BA405" i="3"/>
  <c r="BL406" i="3"/>
  <c r="G408" i="3"/>
  <c r="BL412" i="3"/>
  <c r="G414" i="3"/>
  <c r="BL419" i="3"/>
  <c r="AZ419" i="3" s="1"/>
  <c r="G421" i="3"/>
  <c r="BA424" i="3"/>
  <c r="G431" i="3"/>
  <c r="BL447" i="3"/>
  <c r="G449" i="3"/>
  <c r="BL449" i="3"/>
  <c r="BL450" i="3"/>
  <c r="BL452" i="3"/>
  <c r="AZ452" i="3" s="1"/>
  <c r="G454" i="3"/>
  <c r="G460" i="3"/>
  <c r="G465" i="3"/>
  <c r="G470" i="3"/>
  <c r="G477" i="3"/>
  <c r="G492" i="3"/>
  <c r="BA303" i="3"/>
  <c r="AZ303" i="3" s="1"/>
  <c r="BA307" i="3"/>
  <c r="AZ307" i="3" s="1"/>
  <c r="G318" i="3"/>
  <c r="BA332" i="3"/>
  <c r="BL332" i="3"/>
  <c r="G339" i="3"/>
  <c r="BL350" i="3"/>
  <c r="BL359" i="3"/>
  <c r="AZ359" i="3" s="1"/>
  <c r="G364" i="3"/>
  <c r="BA367" i="3"/>
  <c r="AZ367" i="3" s="1"/>
  <c r="BA370" i="3"/>
  <c r="AZ370" i="3" s="1"/>
  <c r="G392" i="3"/>
  <c r="BL395" i="3"/>
  <c r="G397" i="3"/>
  <c r="BL211" i="3"/>
  <c r="G214" i="3"/>
  <c r="BA218" i="3"/>
  <c r="BL218" i="3"/>
  <c r="BA220" i="3"/>
  <c r="BL220" i="3"/>
  <c r="BL221" i="3"/>
  <c r="G222" i="3"/>
  <c r="BA225" i="3"/>
  <c r="BA228" i="3"/>
  <c r="BL230" i="3"/>
  <c r="G231" i="3"/>
  <c r="BL237" i="3"/>
  <c r="BL238" i="3"/>
  <c r="G239" i="3"/>
  <c r="G246" i="3"/>
  <c r="BA247" i="3"/>
  <c r="BL247" i="3"/>
  <c r="BA251" i="3"/>
  <c r="BL251" i="3"/>
  <c r="BL259" i="3"/>
  <c r="G260" i="3"/>
  <c r="BA270" i="3"/>
  <c r="BL270" i="3"/>
  <c r="C47" i="71"/>
  <c r="D47" i="71" s="1"/>
  <c r="D46" i="71"/>
  <c r="G14" i="3"/>
  <c r="BL16" i="3"/>
  <c r="AZ16" i="3" s="1"/>
  <c r="BL399" i="3"/>
  <c r="G401" i="3"/>
  <c r="G402" i="3"/>
  <c r="G405" i="3"/>
  <c r="G406" i="3"/>
  <c r="G410" i="3"/>
  <c r="BA422" i="3"/>
  <c r="BL427" i="3"/>
  <c r="G429" i="3"/>
  <c r="G430" i="3"/>
  <c r="BL433" i="3"/>
  <c r="BL434" i="3"/>
  <c r="G437" i="3"/>
  <c r="BL440" i="3"/>
  <c r="BA443" i="3"/>
  <c r="AZ443" i="3" s="1"/>
  <c r="BL451" i="3"/>
  <c r="AZ451" i="3" s="1"/>
  <c r="BA452" i="3"/>
  <c r="G456" i="3"/>
  <c r="BA458" i="3"/>
  <c r="AZ458" i="3" s="1"/>
  <c r="G463" i="3"/>
  <c r="G464" i="3"/>
  <c r="BA464" i="3"/>
  <c r="BA469" i="3"/>
  <c r="AZ469" i="3" s="1"/>
  <c r="BL472" i="3"/>
  <c r="G473" i="3"/>
  <c r="BL479" i="3"/>
  <c r="G485" i="3"/>
  <c r="BA487" i="3"/>
  <c r="AZ487" i="3" s="1"/>
  <c r="BL488" i="3"/>
  <c r="G490" i="3"/>
  <c r="BL316" i="3"/>
  <c r="G362" i="3"/>
  <c r="G366" i="3"/>
  <c r="BA392" i="3"/>
  <c r="AZ392" i="3" s="1"/>
  <c r="BL208" i="3"/>
  <c r="G210" i="3"/>
  <c r="BA216" i="3"/>
  <c r="AZ216" i="3" s="1"/>
  <c r="BL224" i="3"/>
  <c r="G227" i="3"/>
  <c r="G229" i="3"/>
  <c r="BA233" i="3"/>
  <c r="BL233" i="3"/>
  <c r="G235" i="3"/>
  <c r="BA249" i="3"/>
  <c r="AZ249" i="3" s="1"/>
  <c r="BL249" i="3"/>
  <c r="BA253" i="3"/>
  <c r="G258" i="3"/>
  <c r="BL262" i="3"/>
  <c r="BL263" i="3"/>
  <c r="G264" i="3"/>
  <c r="G279" i="3"/>
  <c r="BL267" i="3"/>
  <c r="G268" i="3"/>
  <c r="BA272" i="3"/>
  <c r="G274" i="3"/>
  <c r="BL278" i="3"/>
  <c r="G280" i="3"/>
  <c r="BL287" i="3"/>
  <c r="BA291" i="3"/>
  <c r="BA122" i="3"/>
  <c r="AZ122" i="3" s="1"/>
  <c r="BA132" i="3"/>
  <c r="AZ132" i="3" s="1"/>
  <c r="BL135" i="3"/>
  <c r="AZ135" i="3" s="1"/>
  <c r="BL146" i="3"/>
  <c r="BL155" i="3"/>
  <c r="AZ155" i="3" s="1"/>
  <c r="BL158" i="3"/>
  <c r="BA169" i="3"/>
  <c r="AZ169" i="3" s="1"/>
  <c r="BL171" i="3"/>
  <c r="AZ171" i="3" s="1"/>
  <c r="BA178" i="3"/>
  <c r="BA189" i="3"/>
  <c r="BL189" i="3"/>
  <c r="BL190" i="3"/>
  <c r="G191" i="3"/>
  <c r="BA192" i="3"/>
  <c r="BA201" i="3"/>
  <c r="G204" i="3"/>
  <c r="BA22" i="3"/>
  <c r="BL25" i="3"/>
  <c r="BL27" i="3"/>
  <c r="BA28" i="3"/>
  <c r="BA40" i="3"/>
  <c r="AZ40" i="3" s="1"/>
  <c r="G51" i="3"/>
  <c r="BL52" i="3"/>
  <c r="BL54" i="3"/>
  <c r="BL64" i="3"/>
  <c r="G66" i="3"/>
  <c r="G73" i="3"/>
  <c r="BL73" i="3"/>
  <c r="BA74" i="3"/>
  <c r="AZ74" i="3" s="1"/>
  <c r="BL79" i="3"/>
  <c r="G82" i="3"/>
  <c r="BA88" i="3"/>
  <c r="AZ88" i="3" s="1"/>
  <c r="BL91" i="3"/>
  <c r="G92" i="3"/>
  <c r="BA95" i="3"/>
  <c r="G98" i="3"/>
  <c r="BL103" i="3"/>
  <c r="G107" i="3"/>
  <c r="G112" i="3"/>
  <c r="BL112" i="3"/>
  <c r="W21" i="21"/>
  <c r="B68" i="43"/>
  <c r="E66" i="71"/>
  <c r="P65" i="71" s="1"/>
  <c r="D76" i="71"/>
  <c r="D68" i="71"/>
  <c r="D54" i="71"/>
  <c r="C43" i="71"/>
  <c r="E59" i="71"/>
  <c r="E60" i="71" s="1"/>
  <c r="U60" i="71" s="1"/>
  <c r="F67" i="71"/>
  <c r="F66" i="71" s="1"/>
  <c r="Q66" i="71" s="1"/>
  <c r="B71" i="71"/>
  <c r="B70" i="71" s="1"/>
  <c r="BA286" i="3"/>
  <c r="BL289" i="3"/>
  <c r="G297" i="3"/>
  <c r="BA125" i="3"/>
  <c r="AZ125" i="3" s="1"/>
  <c r="G130" i="3"/>
  <c r="G135" i="3"/>
  <c r="BA145" i="3"/>
  <c r="BL154" i="3"/>
  <c r="G162" i="3"/>
  <c r="BA164" i="3"/>
  <c r="AZ164" i="3" s="1"/>
  <c r="BA166" i="3"/>
  <c r="AZ166" i="3" s="1"/>
  <c r="G171" i="3"/>
  <c r="BA177" i="3"/>
  <c r="G180" i="3"/>
  <c r="BA188" i="3"/>
  <c r="AZ188" i="3" s="1"/>
  <c r="G194" i="3"/>
  <c r="BL198" i="3"/>
  <c r="BL199" i="3"/>
  <c r="AZ199" i="3" s="1"/>
  <c r="BA200" i="3"/>
  <c r="AZ200" i="3" s="1"/>
  <c r="BA207" i="3"/>
  <c r="BL207" i="3"/>
  <c r="BL18" i="3"/>
  <c r="G19" i="3"/>
  <c r="BL19" i="3"/>
  <c r="BA20" i="3"/>
  <c r="G24" i="3"/>
  <c r="G25" i="3"/>
  <c r="G30" i="3"/>
  <c r="BA41" i="3"/>
  <c r="BA42" i="3"/>
  <c r="G45" i="3"/>
  <c r="G54" i="3"/>
  <c r="BL69" i="3"/>
  <c r="G71" i="3"/>
  <c r="G76" i="3"/>
  <c r="BA77" i="3"/>
  <c r="BA94" i="3"/>
  <c r="G102" i="3"/>
  <c r="BL110" i="3"/>
  <c r="G111" i="3"/>
  <c r="B57" i="43"/>
  <c r="N66" i="71"/>
  <c r="C87" i="71"/>
  <c r="C86" i="71" s="1"/>
  <c r="D86" i="71" s="1"/>
  <c r="C75" i="71"/>
  <c r="O68" i="71"/>
  <c r="AB37" i="71"/>
  <c r="AA38" i="71"/>
  <c r="B63" i="71"/>
  <c r="B64" i="71" s="1"/>
  <c r="S64" i="71" s="1"/>
  <c r="T68" i="71"/>
  <c r="C35" i="71"/>
  <c r="F40" i="71"/>
  <c r="V40" i="71" s="1"/>
  <c r="AB38" i="71"/>
  <c r="B43" i="71"/>
  <c r="B44" i="71" s="1"/>
  <c r="S44" i="71" s="1"/>
  <c r="C63" i="71"/>
  <c r="BL280" i="3"/>
  <c r="G288" i="3"/>
  <c r="BA288" i="3"/>
  <c r="G292" i="3"/>
  <c r="BL298" i="3"/>
  <c r="BL299" i="3"/>
  <c r="G115" i="3"/>
  <c r="BA133" i="3"/>
  <c r="G138" i="3"/>
  <c r="G146" i="3"/>
  <c r="BA148" i="3"/>
  <c r="AZ148" i="3" s="1"/>
  <c r="G151" i="3"/>
  <c r="G155" i="3"/>
  <c r="BA156" i="3"/>
  <c r="AZ156" i="3" s="1"/>
  <c r="BA162" i="3"/>
  <c r="BA168" i="3"/>
  <c r="AZ168" i="3" s="1"/>
  <c r="BL173" i="3"/>
  <c r="G174" i="3"/>
  <c r="G178" i="3"/>
  <c r="BL181" i="3"/>
  <c r="G182" i="3"/>
  <c r="G186" i="3"/>
  <c r="G187" i="3"/>
  <c r="G202" i="3"/>
  <c r="BA202" i="3"/>
  <c r="G21" i="3"/>
  <c r="BA30" i="3"/>
  <c r="BA31" i="3"/>
  <c r="BA32" i="3"/>
  <c r="G35" i="3"/>
  <c r="G36" i="3"/>
  <c r="G40" i="3"/>
  <c r="BA43" i="3"/>
  <c r="G48" i="3"/>
  <c r="BL48" i="3"/>
  <c r="BA55" i="3"/>
  <c r="BL55" i="3"/>
  <c r="G57" i="3"/>
  <c r="G58" i="3"/>
  <c r="BA59" i="3"/>
  <c r="G61" i="3"/>
  <c r="BL61" i="3"/>
  <c r="G68" i="3"/>
  <c r="BL68" i="3"/>
  <c r="BA69" i="3"/>
  <c r="AZ69" i="3" s="1"/>
  <c r="BL74" i="3"/>
  <c r="BA75" i="3"/>
  <c r="BL82" i="3"/>
  <c r="G83" i="3"/>
  <c r="BA84" i="3"/>
  <c r="BL92" i="3"/>
  <c r="BL99" i="3"/>
  <c r="G101" i="3"/>
  <c r="BA101" i="3"/>
  <c r="BA105" i="3"/>
  <c r="G109" i="3"/>
  <c r="AC21" i="33"/>
  <c r="C29" i="39"/>
  <c r="H27" i="34"/>
  <c r="AB27" i="34" s="1"/>
  <c r="J56" i="9"/>
  <c r="J57" i="9" s="1"/>
  <c r="J59" i="9" s="1"/>
  <c r="J61" i="9" s="1"/>
  <c r="A15" i="62"/>
  <c r="B61" i="72" s="1"/>
  <c r="AC17" i="34"/>
  <c r="U39" i="34"/>
  <c r="W15" i="34"/>
  <c r="G23" i="43"/>
  <c r="C23" i="43" s="1"/>
  <c r="C7" i="33"/>
  <c r="J51" i="67"/>
  <c r="C7" i="34"/>
  <c r="J51" i="15"/>
  <c r="J53" i="15" s="1"/>
  <c r="L56" i="15" s="1"/>
  <c r="AA44" i="34"/>
  <c r="AA40" i="34"/>
  <c r="U40" i="34"/>
  <c r="W36" i="34"/>
  <c r="AB36" i="34"/>
  <c r="S23" i="34"/>
  <c r="U23" i="34"/>
  <c r="AA21" i="34"/>
  <c r="S19" i="34"/>
  <c r="W19" i="34"/>
  <c r="U19" i="34"/>
  <c r="S17" i="34"/>
  <c r="AB17" i="34"/>
  <c r="S37" i="34"/>
  <c r="W8" i="34"/>
  <c r="AB8" i="34"/>
  <c r="S8" i="34"/>
  <c r="W43" i="34"/>
  <c r="U43" i="34"/>
  <c r="AC39" i="34"/>
  <c r="AB35" i="34"/>
  <c r="W35" i="34"/>
  <c r="S35" i="34"/>
  <c r="U33" i="34"/>
  <c r="W33" i="34"/>
  <c r="AA33" i="34"/>
  <c r="AC27" i="34"/>
  <c r="AA25" i="34"/>
  <c r="U25" i="34"/>
  <c r="AB9" i="34"/>
  <c r="U9" i="34"/>
  <c r="W30" i="37"/>
  <c r="S30" i="37"/>
  <c r="W31" i="37"/>
  <c r="AA31" i="37"/>
  <c r="AC12" i="37"/>
  <c r="U8" i="37"/>
  <c r="M47" i="9"/>
  <c r="C7" i="35"/>
  <c r="C48" i="35" s="1"/>
  <c r="D48" i="35" s="1"/>
  <c r="C7" i="37"/>
  <c r="C7" i="40"/>
  <c r="C63" i="40" s="1"/>
  <c r="D63" i="40" s="1"/>
  <c r="C7" i="39"/>
  <c r="C67" i="39" s="1"/>
  <c r="C69" i="39" s="1"/>
  <c r="C42" i="1"/>
  <c r="C24" i="12" s="1"/>
  <c r="C7" i="21"/>
  <c r="F28" i="67"/>
  <c r="M18" i="15"/>
  <c r="F30" i="11"/>
  <c r="C48" i="11" s="1"/>
  <c r="F32" i="15"/>
  <c r="F60" i="15" s="1"/>
  <c r="F52" i="9"/>
  <c r="F30" i="68"/>
  <c r="F48" i="68" s="1"/>
  <c r="M18" i="67"/>
  <c r="F54" i="9"/>
  <c r="F30" i="69"/>
  <c r="F48" i="69" s="1"/>
  <c r="F31" i="12"/>
  <c r="C31" i="12" s="1"/>
  <c r="AZ329" i="3"/>
  <c r="AZ341" i="3"/>
  <c r="AZ306" i="3"/>
  <c r="AA43" i="33"/>
  <c r="U41" i="34"/>
  <c r="AB41" i="34"/>
  <c r="S26" i="36"/>
  <c r="AA26" i="36"/>
  <c r="AA42" i="33"/>
  <c r="S42" i="33"/>
  <c r="AC47" i="34"/>
  <c r="W47" i="34"/>
  <c r="U42" i="21"/>
  <c r="AB42" i="21"/>
  <c r="S34" i="36"/>
  <c r="AA34" i="36"/>
  <c r="W28" i="21"/>
  <c r="AC28" i="21"/>
  <c r="AB44" i="21"/>
  <c r="U44" i="21"/>
  <c r="AB23" i="21"/>
  <c r="AB15" i="21"/>
  <c r="AB19" i="33"/>
  <c r="AA43" i="34"/>
  <c r="S43" i="34"/>
  <c r="AC27" i="40"/>
  <c r="W27" i="40"/>
  <c r="AB32" i="37"/>
  <c r="U32" i="37"/>
  <c r="AZ364" i="3"/>
  <c r="U19" i="40"/>
  <c r="AB19" i="40"/>
  <c r="AC27" i="37"/>
  <c r="W27" i="37"/>
  <c r="S14" i="39"/>
  <c r="AA14" i="39"/>
  <c r="U28" i="33"/>
  <c r="AB28" i="33"/>
  <c r="AA28" i="21"/>
  <c r="S28" i="21"/>
  <c r="AB15" i="33"/>
  <c r="U15" i="33"/>
  <c r="AC29" i="36"/>
  <c r="W29" i="36"/>
  <c r="AA37" i="21"/>
  <c r="S37" i="21"/>
  <c r="AB21" i="39"/>
  <c r="S23" i="37"/>
  <c r="AA23" i="37"/>
  <c r="AZ391" i="3"/>
  <c r="AZ362" i="3"/>
  <c r="AZ311" i="3"/>
  <c r="AB21" i="40"/>
  <c r="U21" i="40"/>
  <c r="W36" i="40"/>
  <c r="AB23" i="37"/>
  <c r="AZ493" i="3"/>
  <c r="AZ501" i="3"/>
  <c r="AZ529" i="3"/>
  <c r="AZ565" i="3"/>
  <c r="AA14" i="33"/>
  <c r="AB38" i="37"/>
  <c r="U38" i="37"/>
  <c r="AA28" i="37"/>
  <c r="S28" i="37"/>
  <c r="AB13" i="37"/>
  <c r="U13" i="37"/>
  <c r="AC44" i="33"/>
  <c r="W44" i="33"/>
  <c r="S17" i="33"/>
  <c r="AA17" i="33"/>
  <c r="D121" i="9"/>
  <c r="D7" i="52" s="1"/>
  <c r="D6" i="52"/>
  <c r="S25" i="33"/>
  <c r="AA25" i="33"/>
  <c r="AA17" i="37"/>
  <c r="S17" i="37"/>
  <c r="S11" i="39"/>
  <c r="AA11" i="39"/>
  <c r="AB41" i="39"/>
  <c r="U41" i="39"/>
  <c r="U31" i="37"/>
  <c r="AB31" i="37"/>
  <c r="AC43" i="33"/>
  <c r="W43" i="33"/>
  <c r="AZ575" i="3"/>
  <c r="AZ500" i="3"/>
  <c r="AZ518" i="3"/>
  <c r="AC31" i="34"/>
  <c r="W31" i="34"/>
  <c r="W11" i="35"/>
  <c r="AC11" i="35"/>
  <c r="W14" i="34"/>
  <c r="AC14" i="34"/>
  <c r="AC44" i="21"/>
  <c r="W44" i="21"/>
  <c r="B72" i="43"/>
  <c r="C15" i="39"/>
  <c r="F9" i="34"/>
  <c r="AA9" i="34" s="1"/>
  <c r="J9" i="34"/>
  <c r="J33" i="36"/>
  <c r="AC33" i="36" s="1"/>
  <c r="H33" i="36"/>
  <c r="AB31" i="36"/>
  <c r="U31" i="36"/>
  <c r="BL585" i="3"/>
  <c r="AZ585" i="3" s="1"/>
  <c r="S9" i="40"/>
  <c r="AA9" i="40"/>
  <c r="AZ502" i="3"/>
  <c r="B54" i="43"/>
  <c r="AC34" i="21"/>
  <c r="AC27" i="21"/>
  <c r="U31" i="21"/>
  <c r="U28" i="21"/>
  <c r="AB44" i="33"/>
  <c r="U11" i="39"/>
  <c r="AB14" i="33"/>
  <c r="U15" i="34"/>
  <c r="AC29" i="37"/>
  <c r="H9" i="35"/>
  <c r="U9" i="35" s="1"/>
  <c r="W9" i="35"/>
  <c r="AA47" i="34"/>
  <c r="W12" i="39"/>
  <c r="W26" i="33"/>
  <c r="U17" i="39"/>
  <c r="U36" i="40"/>
  <c r="BP5" i="3"/>
  <c r="G29" i="6" s="1"/>
  <c r="BO5" i="3"/>
  <c r="F29" i="6" s="1"/>
  <c r="AZ357" i="3"/>
  <c r="AZ322" i="3"/>
  <c r="AZ313" i="3"/>
  <c r="AZ394" i="3"/>
  <c r="AZ519" i="3"/>
  <c r="AZ531" i="3"/>
  <c r="AZ573" i="3"/>
  <c r="BL583" i="3"/>
  <c r="AZ583" i="3" s="1"/>
  <c r="AZ576" i="3"/>
  <c r="U36" i="39"/>
  <c r="H43" i="39"/>
  <c r="F27" i="21"/>
  <c r="H26" i="33"/>
  <c r="S42" i="34"/>
  <c r="F24" i="36"/>
  <c r="W30" i="36"/>
  <c r="W28" i="36"/>
  <c r="J12" i="34"/>
  <c r="H12" i="34"/>
  <c r="BA551" i="3"/>
  <c r="AZ551" i="3" s="1"/>
  <c r="BA550" i="3"/>
  <c r="BL548" i="3"/>
  <c r="AZ548" i="3" s="1"/>
  <c r="B65" i="43"/>
  <c r="AA15" i="21"/>
  <c r="U42" i="39"/>
  <c r="U29" i="34"/>
  <c r="AA38" i="21"/>
  <c r="W38" i="33"/>
  <c r="F9" i="35"/>
  <c r="S9" i="35" s="1"/>
  <c r="S23" i="35"/>
  <c r="S9" i="39"/>
  <c r="S37" i="39"/>
  <c r="AZ14" i="3"/>
  <c r="S31" i="39"/>
  <c r="AZ334" i="3"/>
  <c r="AZ347" i="3"/>
  <c r="H24" i="35"/>
  <c r="AZ547" i="3"/>
  <c r="AZ571" i="3"/>
  <c r="AZ579" i="3"/>
  <c r="AZ516" i="3"/>
  <c r="F43" i="39"/>
  <c r="F12" i="36"/>
  <c r="AB12" i="36"/>
  <c r="S40" i="39"/>
  <c r="J31" i="39"/>
  <c r="B75" i="43"/>
  <c r="J12" i="36"/>
  <c r="AC31" i="40"/>
  <c r="W31" i="40"/>
  <c r="J39" i="40"/>
  <c r="H39" i="40"/>
  <c r="W33" i="33"/>
  <c r="G585" i="3"/>
  <c r="BL587" i="3"/>
  <c r="BL586" i="3"/>
  <c r="AZ586" i="3" s="1"/>
  <c r="G558" i="3"/>
  <c r="AZ444" i="3"/>
  <c r="G398" i="3"/>
  <c r="G399" i="3"/>
  <c r="BL400" i="3"/>
  <c r="AZ400" i="3" s="1"/>
  <c r="BL408" i="3"/>
  <c r="BL411" i="3"/>
  <c r="BL413" i="3"/>
  <c r="AZ413" i="3" s="1"/>
  <c r="G415" i="3"/>
  <c r="G416" i="3"/>
  <c r="BL417" i="3"/>
  <c r="BL418" i="3"/>
  <c r="BL420" i="3"/>
  <c r="G422" i="3"/>
  <c r="G423" i="3"/>
  <c r="BL424" i="3"/>
  <c r="AZ424" i="3" s="1"/>
  <c r="G426" i="3"/>
  <c r="G427" i="3"/>
  <c r="BL428" i="3"/>
  <c r="BL429" i="3"/>
  <c r="BL432" i="3"/>
  <c r="BL435" i="3"/>
  <c r="BL436" i="3"/>
  <c r="BA439" i="3"/>
  <c r="AZ439" i="3" s="1"/>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AZ212" i="3" s="1"/>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BA277" i="3"/>
  <c r="BL277" i="3"/>
  <c r="BA282" i="3"/>
  <c r="BA120" i="3"/>
  <c r="AZ120" i="3" s="1"/>
  <c r="BL398" i="3"/>
  <c r="BL403" i="3"/>
  <c r="AZ403" i="3" s="1"/>
  <c r="BA408" i="3"/>
  <c r="AZ408" i="3" s="1"/>
  <c r="BA409" i="3"/>
  <c r="AZ409" i="3" s="1"/>
  <c r="BA411" i="3"/>
  <c r="AZ411" i="3" s="1"/>
  <c r="BL414" i="3"/>
  <c r="BL415" i="3"/>
  <c r="BA417" i="3"/>
  <c r="AZ417" i="3" s="1"/>
  <c r="BL421" i="3"/>
  <c r="BL422" i="3"/>
  <c r="AZ422" i="3" s="1"/>
  <c r="BL425" i="3"/>
  <c r="BL426" i="3"/>
  <c r="BA428" i="3"/>
  <c r="AZ428" i="3" s="1"/>
  <c r="BA429" i="3"/>
  <c r="BA430" i="3"/>
  <c r="AZ430" i="3" s="1"/>
  <c r="BA432" i="3"/>
  <c r="BA434" i="3"/>
  <c r="BA436" i="3"/>
  <c r="BA438"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AZ263" i="3" s="1"/>
  <c r="BA267" i="3"/>
  <c r="BA269" i="3"/>
  <c r="AZ269" i="3" s="1"/>
  <c r="BA271" i="3"/>
  <c r="BL271" i="3"/>
  <c r="BA274" i="3"/>
  <c r="BL274" i="3"/>
  <c r="BA276" i="3"/>
  <c r="G287" i="3"/>
  <c r="BA290" i="3"/>
  <c r="BA293" i="3"/>
  <c r="AZ293" i="3" s="1"/>
  <c r="G134" i="3"/>
  <c r="BA149" i="3"/>
  <c r="BL175" i="3"/>
  <c r="AZ175" i="3" s="1"/>
  <c r="AZ177" i="3"/>
  <c r="G184" i="3"/>
  <c r="G551" i="3"/>
  <c r="BL550" i="3"/>
  <c r="G542" i="3"/>
  <c r="BL15" i="3"/>
  <c r="AZ15" i="3" s="1"/>
  <c r="BA398" i="3"/>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BA423" i="3"/>
  <c r="AZ423" i="3" s="1"/>
  <c r="BA425" i="3"/>
  <c r="AZ425" i="3" s="1"/>
  <c r="BA426" i="3"/>
  <c r="AZ426" i="3" s="1"/>
  <c r="BA427" i="3"/>
  <c r="BA433" i="3"/>
  <c r="AZ433" i="3" s="1"/>
  <c r="BA435" i="3"/>
  <c r="AZ435" i="3" s="1"/>
  <c r="BL437" i="3"/>
  <c r="AZ437" i="3" s="1"/>
  <c r="G439" i="3"/>
  <c r="G440" i="3"/>
  <c r="BL441" i="3"/>
  <c r="BL442" i="3"/>
  <c r="AZ442" i="3" s="1"/>
  <c r="BL444" i="3"/>
  <c r="G446" i="3"/>
  <c r="G447" i="3"/>
  <c r="BL448" i="3"/>
  <c r="AZ448" i="3" s="1"/>
  <c r="G450" i="3"/>
  <c r="G451" i="3"/>
  <c r="BA454" i="3"/>
  <c r="AZ454" i="3" s="1"/>
  <c r="BA457" i="3"/>
  <c r="AZ457" i="3" s="1"/>
  <c r="BA459" i="3"/>
  <c r="BA460" i="3"/>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G265" i="3"/>
  <c r="BL265" i="3"/>
  <c r="AZ265" i="3" s="1"/>
  <c r="G267" i="3"/>
  <c r="G269" i="3"/>
  <c r="BA273" i="3"/>
  <c r="AZ273" i="3" s="1"/>
  <c r="BA278" i="3"/>
  <c r="AZ278" i="3" s="1"/>
  <c r="BA280" i="3"/>
  <c r="G283" i="3"/>
  <c r="BL283" i="3"/>
  <c r="AZ283" i="3" s="1"/>
  <c r="BL284" i="3"/>
  <c r="G285" i="3"/>
  <c r="BA194" i="3"/>
  <c r="AZ64" i="3"/>
  <c r="F40" i="68"/>
  <c r="C21" i="68"/>
  <c r="B27" i="71"/>
  <c r="B26" i="71" s="1"/>
  <c r="S28" i="71"/>
  <c r="Y30" i="71"/>
  <c r="Z30" i="71" s="1"/>
  <c r="Y29" i="71"/>
  <c r="Z29" i="71" s="1"/>
  <c r="X35" i="71"/>
  <c r="X25" i="71"/>
  <c r="X38" i="71"/>
  <c r="X26" i="71"/>
  <c r="C64" i="71"/>
  <c r="D63" i="71"/>
  <c r="Y26" i="71"/>
  <c r="Z26" i="71" s="1"/>
  <c r="BL282" i="3"/>
  <c r="BA284" i="3"/>
  <c r="BL290" i="3"/>
  <c r="AZ290" i="3" s="1"/>
  <c r="BL291" i="3"/>
  <c r="AZ291" i="3" s="1"/>
  <c r="BL293" i="3"/>
  <c r="BL294" i="3"/>
  <c r="BA297" i="3"/>
  <c r="BL297" i="3"/>
  <c r="BL300" i="3"/>
  <c r="BA302" i="3"/>
  <c r="BA117" i="3"/>
  <c r="BA130" i="3"/>
  <c r="AZ130" i="3" s="1"/>
  <c r="BL130" i="3"/>
  <c r="BA137" i="3"/>
  <c r="BL138" i="3"/>
  <c r="BA140" i="3"/>
  <c r="AZ140" i="3" s="1"/>
  <c r="BA142" i="3"/>
  <c r="BL149" i="3"/>
  <c r="BL150" i="3"/>
  <c r="BA152" i="3"/>
  <c r="AZ152" i="3" s="1"/>
  <c r="BA154" i="3"/>
  <c r="AZ154" i="3" s="1"/>
  <c r="BA160" i="3"/>
  <c r="AZ160" i="3" s="1"/>
  <c r="BL162" i="3"/>
  <c r="AZ162" i="3" s="1"/>
  <c r="BL165" i="3"/>
  <c r="BL170" i="3"/>
  <c r="BA173" i="3"/>
  <c r="BA174" i="3"/>
  <c r="BL179" i="3"/>
  <c r="AZ179" i="3" s="1"/>
  <c r="BA181" i="3"/>
  <c r="AZ181" i="3" s="1"/>
  <c r="BA182" i="3"/>
  <c r="BL185" i="3"/>
  <c r="AZ185" i="3" s="1"/>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A68" i="3"/>
  <c r="BA73" i="3"/>
  <c r="C40" i="68"/>
  <c r="AC29" i="39"/>
  <c r="W29" i="39"/>
  <c r="AA18" i="36"/>
  <c r="S18" i="36"/>
  <c r="C28" i="71"/>
  <c r="Y28" i="71"/>
  <c r="Z28" i="71" s="1"/>
  <c r="Y25" i="71"/>
  <c r="Z25" i="71" s="1"/>
  <c r="D50" i="71"/>
  <c r="C51" i="71"/>
  <c r="D67" i="71"/>
  <c r="C66" i="71"/>
  <c r="O67" i="71"/>
  <c r="T72" i="71"/>
  <c r="C71" i="71"/>
  <c r="D84" i="71"/>
  <c r="C83" i="71"/>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54" i="3"/>
  <c r="BL157" i="3"/>
  <c r="AZ157" i="3" s="1"/>
  <c r="BL159" i="3"/>
  <c r="AZ159" i="3" s="1"/>
  <c r="BL177" i="3"/>
  <c r="G179" i="3"/>
  <c r="BL183" i="3"/>
  <c r="AZ183" i="3" s="1"/>
  <c r="BA186" i="3"/>
  <c r="AZ186" i="3" s="1"/>
  <c r="BA190" i="3"/>
  <c r="AZ190" i="3" s="1"/>
  <c r="G196" i="3"/>
  <c r="BA197" i="3"/>
  <c r="AZ197" i="3" s="1"/>
  <c r="BL201" i="3"/>
  <c r="AZ201" i="3" s="1"/>
  <c r="BL203" i="3"/>
  <c r="AZ203" i="3" s="1"/>
  <c r="BA204" i="3"/>
  <c r="AZ204" i="3" s="1"/>
  <c r="BA18" i="3"/>
  <c r="BL21" i="3"/>
  <c r="G23" i="3"/>
  <c r="BL29" i="3"/>
  <c r="G33" i="3"/>
  <c r="G34" i="3"/>
  <c r="BA37" i="3"/>
  <c r="G39" i="3"/>
  <c r="BL39" i="3"/>
  <c r="G43" i="3"/>
  <c r="G44" i="3"/>
  <c r="BA45" i="3"/>
  <c r="AZ45" i="3" s="1"/>
  <c r="BA46" i="3"/>
  <c r="AZ46" i="3" s="1"/>
  <c r="BL49" i="3"/>
  <c r="BL50" i="3"/>
  <c r="AZ50" i="3" s="1"/>
  <c r="BL51" i="3"/>
  <c r="G53" i="3"/>
  <c r="BL53" i="3"/>
  <c r="BA56" i="3"/>
  <c r="BA57" i="3"/>
  <c r="BL58" i="3"/>
  <c r="G60" i="3"/>
  <c r="BA60" i="3"/>
  <c r="BA63" i="3"/>
  <c r="BA66" i="3"/>
  <c r="AZ66" i="3" s="1"/>
  <c r="BA71" i="3"/>
  <c r="BL77" i="3"/>
  <c r="AZ77" i="3" s="1"/>
  <c r="BA79" i="3"/>
  <c r="AZ79" i="3" s="1"/>
  <c r="BA92" i="3"/>
  <c r="AZ92" i="3" s="1"/>
  <c r="BL96" i="3"/>
  <c r="P27" i="6"/>
  <c r="AA3" i="71"/>
  <c r="C38" i="71"/>
  <c r="X31" i="71"/>
  <c r="AA34" i="71"/>
  <c r="Y35" i="71"/>
  <c r="Z35" i="71" s="1"/>
  <c r="X36" i="71"/>
  <c r="C44" i="71"/>
  <c r="D43" i="71"/>
  <c r="U76" i="71"/>
  <c r="E75" i="71"/>
  <c r="E74" i="71" s="1"/>
  <c r="AB26" i="71"/>
  <c r="AB27" i="71"/>
  <c r="BL292" i="3"/>
  <c r="BA294" i="3"/>
  <c r="AZ294" i="3" s="1"/>
  <c r="BL295" i="3"/>
  <c r="BA298" i="3"/>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AZ193" i="3" s="1"/>
  <c r="BA196" i="3"/>
  <c r="AZ196" i="3" s="1"/>
  <c r="G203" i="3"/>
  <c r="BA205" i="3"/>
  <c r="AZ205" i="3" s="1"/>
  <c r="G20" i="3"/>
  <c r="BL20" i="3"/>
  <c r="AZ20" i="3" s="1"/>
  <c r="BA21" i="3"/>
  <c r="BA25" i="3"/>
  <c r="AZ25" i="3" s="1"/>
  <c r="BA26" i="3"/>
  <c r="G28" i="3"/>
  <c r="BL28" i="3"/>
  <c r="AZ28" i="3" s="1"/>
  <c r="BA29" i="3"/>
  <c r="AZ29" i="3" s="1"/>
  <c r="BA36" i="3"/>
  <c r="BL38" i="3"/>
  <c r="AZ38" i="3" s="1"/>
  <c r="BA39" i="3"/>
  <c r="BL47" i="3"/>
  <c r="AZ47" i="3" s="1"/>
  <c r="G49" i="3"/>
  <c r="BA52" i="3"/>
  <c r="AZ52" i="3" s="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BL100" i="3"/>
  <c r="D72" i="71"/>
  <c r="E28" i="71"/>
  <c r="AA27" i="71"/>
  <c r="AA28" i="71"/>
  <c r="X34" i="71"/>
  <c r="C31" i="71"/>
  <c r="F34" i="71"/>
  <c r="F35" i="71" s="1"/>
  <c r="F36" i="71" s="1"/>
  <c r="V36" i="71" s="1"/>
  <c r="AB33" i="71"/>
  <c r="AB32" i="71"/>
  <c r="AA39" i="71"/>
  <c r="AA37" i="71"/>
  <c r="D56" i="71"/>
  <c r="T56" i="71"/>
  <c r="T80" i="71"/>
  <c r="C79" i="71"/>
  <c r="V24" i="71"/>
  <c r="E23" i="71"/>
  <c r="E22" i="71" s="1"/>
  <c r="E21" i="71" s="1"/>
  <c r="E20" i="71" s="1"/>
  <c r="G81" i="3"/>
  <c r="G85" i="3"/>
  <c r="BL85" i="3"/>
  <c r="BA86" i="3"/>
  <c r="AZ86" i="3" s="1"/>
  <c r="BA87" i="3"/>
  <c r="BA91" i="3"/>
  <c r="G96" i="3"/>
  <c r="BL97" i="3"/>
  <c r="AZ97" i="3" s="1"/>
  <c r="BL101" i="3"/>
  <c r="AZ101" i="3" s="1"/>
  <c r="BL102" i="3"/>
  <c r="G104" i="3"/>
  <c r="G105" i="3"/>
  <c r="BL106" i="3"/>
  <c r="BA108" i="3"/>
  <c r="BA110" i="3"/>
  <c r="AZ110" i="3" s="1"/>
  <c r="F3" i="35"/>
  <c r="S21" i="33"/>
  <c r="S21" i="37"/>
  <c r="B77" i="43"/>
  <c r="AA18" i="35"/>
  <c r="AB25" i="71"/>
  <c r="X33" i="71"/>
  <c r="BA80" i="3"/>
  <c r="G84" i="3"/>
  <c r="BL84" i="3"/>
  <c r="AZ84" i="3" s="1"/>
  <c r="BA89" i="3"/>
  <c r="G99" i="3"/>
  <c r="BA103" i="3"/>
  <c r="BA104" i="3"/>
  <c r="BA106" i="3"/>
  <c r="BL108" i="3"/>
  <c r="G110" i="3"/>
  <c r="BL111" i="3"/>
  <c r="P66" i="71"/>
  <c r="X28" i="71"/>
  <c r="X32" i="71"/>
  <c r="B79" i="71"/>
  <c r="B78" i="71" s="1"/>
  <c r="G79" i="3"/>
  <c r="BL81" i="3"/>
  <c r="BA82" i="3"/>
  <c r="AZ82" i="3" s="1"/>
  <c r="BL83" i="3"/>
  <c r="G86" i="3"/>
  <c r="G87" i="3"/>
  <c r="G88" i="3"/>
  <c r="BA90" i="3"/>
  <c r="BL94" i="3"/>
  <c r="AZ94" i="3" s="1"/>
  <c r="BA100" i="3"/>
  <c r="AZ100" i="3" s="1"/>
  <c r="BA102" i="3"/>
  <c r="BL105" i="3"/>
  <c r="AZ105" i="3" s="1"/>
  <c r="BL107" i="3"/>
  <c r="BA111" i="3"/>
  <c r="AZ111" i="3" s="1"/>
  <c r="K13" i="1"/>
  <c r="M13" i="1" s="1"/>
  <c r="O13" i="1" s="1"/>
  <c r="P13" i="1" s="1"/>
  <c r="AB28" i="71"/>
  <c r="Q67"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62" i="3"/>
  <c r="AZ578" i="3"/>
  <c r="AC13" i="36"/>
  <c r="W13" i="36"/>
  <c r="AB31" i="33"/>
  <c r="U31" i="33"/>
  <c r="S15" i="34"/>
  <c r="AB33" i="35"/>
  <c r="U33" i="35"/>
  <c r="AB43" i="33"/>
  <c r="U43" i="3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49" i="3"/>
  <c r="AZ456" i="3"/>
  <c r="AZ467" i="3"/>
  <c r="AZ468" i="3"/>
  <c r="AZ470" i="3"/>
  <c r="W35" i="39"/>
  <c r="F27" i="34"/>
  <c r="C21" i="39"/>
  <c r="U9" i="36"/>
  <c r="U14" i="37"/>
  <c r="H12" i="21"/>
  <c r="G526" i="3"/>
  <c r="AZ420" i="3"/>
  <c r="AZ434" i="3"/>
  <c r="AZ436" i="3"/>
  <c r="AZ438" i="3"/>
  <c r="AZ450" i="3"/>
  <c r="G28" i="6"/>
  <c r="U26" i="21"/>
  <c r="W36" i="39"/>
  <c r="U23" i="40"/>
  <c r="AA39" i="37"/>
  <c r="AC16" i="36"/>
  <c r="AB12" i="33"/>
  <c r="C27" i="39"/>
  <c r="U40" i="40"/>
  <c r="AC9" i="40"/>
  <c r="J12" i="21"/>
  <c r="B73" i="43"/>
  <c r="B76" i="43"/>
  <c r="F9" i="36"/>
  <c r="J40" i="40"/>
  <c r="G562" i="3"/>
  <c r="AZ463" i="3"/>
  <c r="AZ489" i="3"/>
  <c r="AZ385" i="3"/>
  <c r="AZ220" i="3"/>
  <c r="AZ231" i="3"/>
  <c r="AZ255" i="3"/>
  <c r="BA472" i="3"/>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G248"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BL202" i="3"/>
  <c r="AZ202" i="3" s="1"/>
  <c r="AZ30" i="3"/>
  <c r="BL36" i="3"/>
  <c r="AZ48" i="3"/>
  <c r="AZ68" i="3"/>
  <c r="AZ73" i="3"/>
  <c r="AZ106" i="3"/>
  <c r="G200" i="3"/>
  <c r="G207" i="3"/>
  <c r="BA23" i="3"/>
  <c r="AZ23" i="3" s="1"/>
  <c r="BA24" i="3"/>
  <c r="AZ24" i="3" s="1"/>
  <c r="BL26" i="3"/>
  <c r="AZ26" i="3" s="1"/>
  <c r="BL32" i="3"/>
  <c r="BA34" i="3"/>
  <c r="AZ34" i="3" s="1"/>
  <c r="BA35" i="3"/>
  <c r="AZ35" i="3" s="1"/>
  <c r="BL37" i="3"/>
  <c r="AZ37" i="3" s="1"/>
  <c r="BL42" i="3"/>
  <c r="AZ42" i="3" s="1"/>
  <c r="BA44" i="3"/>
  <c r="AZ44" i="3" s="1"/>
  <c r="AZ56" i="3"/>
  <c r="AZ60" i="3"/>
  <c r="BA206" i="3"/>
  <c r="AZ206" i="3" s="1"/>
  <c r="BL22" i="3"/>
  <c r="BL33" i="3"/>
  <c r="AZ33" i="3" s="1"/>
  <c r="BL43" i="3"/>
  <c r="BL46" i="3"/>
  <c r="AZ54" i="3"/>
  <c r="AZ90" i="3"/>
  <c r="BL78" i="3"/>
  <c r="BA83" i="3"/>
  <c r="AZ83" i="3" s="1"/>
  <c r="G91" i="3"/>
  <c r="BL95" i="3"/>
  <c r="BL98" i="3"/>
  <c r="AZ98" i="3" s="1"/>
  <c r="BL109" i="3"/>
  <c r="AZ109" i="3" s="1"/>
  <c r="AB21" i="21"/>
  <c r="AZ78" i="3"/>
  <c r="AZ95" i="3"/>
  <c r="G77" i="3"/>
  <c r="BA81" i="3"/>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1" i="6"/>
  <c r="E60" i="39" s="1"/>
  <c r="E10" i="6"/>
  <c r="P11" i="1"/>
  <c r="D9" i="11"/>
  <c r="C9" i="11" s="1"/>
  <c r="D19" i="12"/>
  <c r="C19" i="12" s="1"/>
  <c r="AZ13" i="3"/>
  <c r="O9" i="1"/>
  <c r="P9" i="1" s="1"/>
  <c r="O12" i="1"/>
  <c r="P12" i="1" s="1"/>
  <c r="O8" i="1"/>
  <c r="P8" i="1" s="1"/>
  <c r="H73" i="43"/>
  <c r="H90"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J57" i="15"/>
  <c r="J55" i="15" s="1"/>
  <c r="J58" i="15" s="1"/>
  <c r="Q50" i="15" s="1"/>
  <c r="I54" i="15"/>
  <c r="B20" i="31"/>
  <c r="B21" i="31" s="1"/>
  <c r="I1" i="73"/>
  <c r="B39" i="1" s="1"/>
  <c r="F51" i="67"/>
  <c r="C27" i="67"/>
  <c r="C27" i="15"/>
  <c r="B13" i="70"/>
  <c r="F68" i="67"/>
  <c r="F64" i="67"/>
  <c r="F6" i="15"/>
  <c r="F42" i="15"/>
  <c r="M28" i="15"/>
  <c r="M24" i="15"/>
  <c r="J15" i="15"/>
  <c r="F8" i="15"/>
  <c r="F38" i="15"/>
  <c r="D3" i="73"/>
  <c r="L48" i="67"/>
  <c r="D4" i="73"/>
  <c r="C76" i="67"/>
  <c r="F9" i="67"/>
  <c r="F37" i="67"/>
  <c r="M23" i="67"/>
  <c r="F6" i="67"/>
  <c r="M6" i="67"/>
  <c r="D9" i="69"/>
  <c r="F16" i="67"/>
  <c r="M28" i="67"/>
  <c r="C76" i="15"/>
  <c r="F40" i="15"/>
  <c r="F16" i="15"/>
  <c r="M24" i="67"/>
  <c r="D5" i="73"/>
  <c r="F13" i="67"/>
  <c r="J15" i="67"/>
  <c r="L47" i="67"/>
  <c r="C36" i="69"/>
  <c r="M8" i="67"/>
  <c r="D7" i="73"/>
  <c r="F38" i="67"/>
  <c r="D9" i="68"/>
  <c r="F37" i="15"/>
  <c r="L47" i="15"/>
  <c r="F36" i="15"/>
  <c r="F13" i="15"/>
  <c r="M26" i="15"/>
  <c r="M6" i="15"/>
  <c r="C36" i="68"/>
  <c r="F42" i="67"/>
  <c r="F64" i="15" l="1"/>
  <c r="L59" i="15"/>
  <c r="L58" i="15"/>
  <c r="N59" i="15"/>
  <c r="M59" i="15"/>
  <c r="F65" i="15"/>
  <c r="F68" i="15"/>
  <c r="Q71" i="15"/>
  <c r="F66" i="15"/>
  <c r="F51" i="15"/>
  <c r="AC25" i="37"/>
  <c r="W25" i="37"/>
  <c r="S35" i="39"/>
  <c r="AA35" i="39"/>
  <c r="AA30" i="34"/>
  <c r="S30" i="34"/>
  <c r="AC31" i="33"/>
  <c r="W31" i="33"/>
  <c r="W45" i="21"/>
  <c r="AC45" i="21"/>
  <c r="F15" i="71"/>
  <c r="F14" i="71" s="1"/>
  <c r="F13" i="71" s="1"/>
  <c r="F12" i="71" s="1"/>
  <c r="F11" i="71" s="1"/>
  <c r="F10" i="71" s="1"/>
  <c r="F9" i="71" s="1"/>
  <c r="F8" i="71" s="1"/>
  <c r="F7" i="71" s="1"/>
  <c r="F6" i="71" s="1"/>
  <c r="F5" i="71" s="1"/>
  <c r="M23" i="43"/>
  <c r="E15" i="6"/>
  <c r="E64" i="39" s="1"/>
  <c r="AB9" i="35"/>
  <c r="AZ85" i="3"/>
  <c r="AZ22" i="3"/>
  <c r="AZ279" i="3"/>
  <c r="AZ472" i="3"/>
  <c r="W36" i="35"/>
  <c r="AZ507" i="3"/>
  <c r="AZ91" i="3"/>
  <c r="AZ173" i="3"/>
  <c r="AZ441" i="3"/>
  <c r="AZ267" i="3"/>
  <c r="S26" i="33"/>
  <c r="AZ55" i="3"/>
  <c r="C36" i="71"/>
  <c r="D35" i="71"/>
  <c r="AZ270" i="3"/>
  <c r="AZ251" i="3"/>
  <c r="AZ218" i="3"/>
  <c r="B14" i="74"/>
  <c r="C34" i="34"/>
  <c r="D33" i="43"/>
  <c r="D1" i="43" s="1"/>
  <c r="K6" i="1"/>
  <c r="U12" i="35"/>
  <c r="AB12" i="35"/>
  <c r="S31" i="21"/>
  <c r="AA31" i="21"/>
  <c r="S25" i="35"/>
  <c r="AA25" i="35"/>
  <c r="W46" i="34"/>
  <c r="AC46" i="34"/>
  <c r="U30" i="34"/>
  <c r="AB30" i="34"/>
  <c r="S13" i="33"/>
  <c r="AA13" i="33"/>
  <c r="W14" i="40"/>
  <c r="AC14" i="40"/>
  <c r="AZ540" i="3"/>
  <c r="AA23" i="36"/>
  <c r="S23" i="36"/>
  <c r="O23" i="43"/>
  <c r="E13" i="6"/>
  <c r="Q65" i="71"/>
  <c r="AZ80" i="3"/>
  <c r="AZ81" i="3"/>
  <c r="AZ36" i="3"/>
  <c r="AZ145" i="3"/>
  <c r="AZ264" i="3"/>
  <c r="AZ475" i="3"/>
  <c r="AZ354" i="3"/>
  <c r="D87" i="71"/>
  <c r="AZ298" i="3"/>
  <c r="AZ194" i="3"/>
  <c r="AZ262" i="3"/>
  <c r="AZ587" i="3"/>
  <c r="AZ272" i="3"/>
  <c r="AZ332" i="3"/>
  <c r="AA25" i="37"/>
  <c r="S25" i="37"/>
  <c r="AC37" i="39"/>
  <c r="W37" i="39"/>
  <c r="AB35" i="39"/>
  <c r="U35" i="39"/>
  <c r="W25" i="35"/>
  <c r="AC25" i="35"/>
  <c r="AA46" i="34"/>
  <c r="S46" i="34"/>
  <c r="U14" i="40"/>
  <c r="AB14" i="40"/>
  <c r="AZ527" i="3"/>
  <c r="AC23" i="36"/>
  <c r="W23" i="36"/>
  <c r="E59" i="40"/>
  <c r="AZ43" i="3"/>
  <c r="AZ32" i="3"/>
  <c r="AZ174" i="3"/>
  <c r="AZ117" i="3"/>
  <c r="AZ492" i="3"/>
  <c r="E28" i="6"/>
  <c r="K14" i="1" s="1"/>
  <c r="AZ103" i="3"/>
  <c r="AZ178" i="3"/>
  <c r="AZ71" i="3"/>
  <c r="AZ121" i="3"/>
  <c r="AZ58" i="3"/>
  <c r="AZ280" i="3"/>
  <c r="AZ427" i="3"/>
  <c r="U27" i="34"/>
  <c r="D75" i="71"/>
  <c r="C74" i="71"/>
  <c r="D74" i="71" s="1"/>
  <c r="AZ189" i="3"/>
  <c r="AZ233" i="3"/>
  <c r="AZ247" i="3"/>
  <c r="AZ406" i="3"/>
  <c r="AB36" i="35"/>
  <c r="U36" i="35"/>
  <c r="AB27" i="21"/>
  <c r="U27" i="21"/>
  <c r="AB46" i="34"/>
  <c r="U46" i="34"/>
  <c r="S31" i="33"/>
  <c r="AA31" i="33"/>
  <c r="W13" i="33"/>
  <c r="AC13" i="33"/>
  <c r="AA45" i="21"/>
  <c r="S45" i="21"/>
  <c r="AZ496" i="3"/>
  <c r="AZ503" i="3"/>
  <c r="AZ509" i="3"/>
  <c r="AZ528" i="3"/>
  <c r="AZ542" i="3"/>
  <c r="U23" i="36"/>
  <c r="AB23" i="36"/>
  <c r="E7" i="34"/>
  <c r="I7" i="34"/>
  <c r="G7" i="34"/>
  <c r="C52" i="37"/>
  <c r="D52" i="37" s="1"/>
  <c r="E52" i="37" s="1"/>
  <c r="F52" i="37" s="1"/>
  <c r="G52" i="37" s="1"/>
  <c r="H52" i="37" s="1"/>
  <c r="I52" i="37" s="1"/>
  <c r="J52" i="37" s="1"/>
  <c r="K52" i="37" s="1"/>
  <c r="L52" i="37" s="1"/>
  <c r="M52" i="37" s="1"/>
  <c r="N52" i="37" s="1"/>
  <c r="O52" i="37" s="1"/>
  <c r="G7" i="37"/>
  <c r="I7" i="37"/>
  <c r="E7" i="37"/>
  <c r="J7" i="36"/>
  <c r="E83" i="43"/>
  <c r="B81" i="43" s="1"/>
  <c r="G26" i="43"/>
  <c r="F26" i="43"/>
  <c r="N94" i="46"/>
  <c r="N370" i="46"/>
  <c r="P6" i="1"/>
  <c r="C13" i="12" s="1"/>
  <c r="J26" i="43"/>
  <c r="E26" i="43"/>
  <c r="G30" i="6"/>
  <c r="G31" i="6" s="1"/>
  <c r="Q16" i="1"/>
  <c r="L56" i="67"/>
  <c r="I54" i="67"/>
  <c r="J53" i="67"/>
  <c r="F1" i="67" s="1"/>
  <c r="J57" i="67"/>
  <c r="J55" i="67" s="1"/>
  <c r="J58" i="67" s="1"/>
  <c r="Q50" i="67" s="1"/>
  <c r="F66" i="67"/>
  <c r="L59" i="67"/>
  <c r="Q61" i="67" s="1"/>
  <c r="L58" i="67"/>
  <c r="Q60" i="67" s="1"/>
  <c r="M59" i="67"/>
  <c r="N59" i="67"/>
  <c r="F31" i="67"/>
  <c r="Q71" i="67"/>
  <c r="F65" i="67"/>
  <c r="E29" i="6"/>
  <c r="K15" i="1" s="1"/>
  <c r="K16" i="1" s="1"/>
  <c r="F30" i="6"/>
  <c r="F31" i="6" s="1"/>
  <c r="D44" i="71"/>
  <c r="T44" i="71"/>
  <c r="C70" i="71"/>
  <c r="D70" i="71" s="1"/>
  <c r="D71" i="71"/>
  <c r="AZ49" i="3"/>
  <c r="W31" i="39"/>
  <c r="AC31" i="39"/>
  <c r="AA43" i="39"/>
  <c r="S43" i="39"/>
  <c r="AB12" i="34"/>
  <c r="U12" i="34"/>
  <c r="S24" i="36"/>
  <c r="AA24" i="36"/>
  <c r="AA27" i="21"/>
  <c r="S27" i="21"/>
  <c r="AC9" i="34"/>
  <c r="W9" i="34"/>
  <c r="D38" i="71"/>
  <c r="C39" i="71"/>
  <c r="C52" i="71"/>
  <c r="D51" i="71"/>
  <c r="T28" i="71"/>
  <c r="D28" i="71"/>
  <c r="U28" i="71" s="1"/>
  <c r="C27" i="71"/>
  <c r="AZ297" i="3"/>
  <c r="AZ274" i="3"/>
  <c r="AZ432" i="3"/>
  <c r="AZ277" i="3"/>
  <c r="AZ244" i="3"/>
  <c r="AZ239" i="3"/>
  <c r="AZ397" i="3"/>
  <c r="W12" i="34"/>
  <c r="AC12" i="34"/>
  <c r="AB43" i="39"/>
  <c r="U43" i="39"/>
  <c r="G5" i="3"/>
  <c r="B3" i="3" s="1"/>
  <c r="E510" i="3" s="1"/>
  <c r="AZ108" i="3"/>
  <c r="C78" i="71"/>
  <c r="D78" i="71" s="1"/>
  <c r="D79" i="71"/>
  <c r="AZ63" i="3"/>
  <c r="AZ57" i="3"/>
  <c r="C82" i="71"/>
  <c r="D82" i="71" s="1"/>
  <c r="D83" i="71"/>
  <c r="AZ182" i="3"/>
  <c r="AZ137" i="3"/>
  <c r="AZ302" i="3"/>
  <c r="AZ284" i="3"/>
  <c r="AZ460" i="3"/>
  <c r="AZ398" i="3"/>
  <c r="AZ149" i="3"/>
  <c r="AZ368" i="3"/>
  <c r="AZ353" i="3"/>
  <c r="U39" i="40"/>
  <c r="AB39" i="40"/>
  <c r="W12" i="36"/>
  <c r="AC12" i="36"/>
  <c r="AB24" i="35"/>
  <c r="U24" i="35"/>
  <c r="AZ550" i="3"/>
  <c r="AB33" i="36"/>
  <c r="U33" i="36"/>
  <c r="G16" i="1"/>
  <c r="F10" i="39" s="1"/>
  <c r="S10" i="39" s="1"/>
  <c r="AZ102" i="3"/>
  <c r="D31" i="71"/>
  <c r="C32" i="71"/>
  <c r="AZ53" i="3"/>
  <c r="AZ39" i="3"/>
  <c r="AZ21" i="3"/>
  <c r="O65" i="71"/>
  <c r="D66" i="71"/>
  <c r="O66" i="71"/>
  <c r="AZ51" i="3"/>
  <c r="AZ459" i="3"/>
  <c r="AZ421" i="3"/>
  <c r="AZ271" i="3"/>
  <c r="AZ429" i="3"/>
  <c r="AZ282" i="3"/>
  <c r="AZ241" i="3"/>
  <c r="AZ210" i="3"/>
  <c r="AZ491" i="3"/>
  <c r="AC39" i="40"/>
  <c r="W39" i="40"/>
  <c r="AA12" i="36"/>
  <c r="S12" i="36"/>
  <c r="U26" i="33"/>
  <c r="AB26" i="33"/>
  <c r="K1" i="7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AB7" i="36" s="1"/>
  <c r="T36" i="36" s="1"/>
  <c r="G36" i="36" s="1"/>
  <c r="E131"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74" i="15"/>
  <c r="Q61" i="15"/>
  <c r="AE11" i="1"/>
  <c r="AE9" i="1"/>
  <c r="AE7" i="1"/>
  <c r="AE8" i="1"/>
  <c r="AE12" i="1"/>
  <c r="AE10" i="1"/>
  <c r="AE6" i="1"/>
  <c r="F27" i="69"/>
  <c r="F27" i="68"/>
  <c r="F43" i="67"/>
  <c r="F7" i="67"/>
  <c r="M29" i="67"/>
  <c r="F7" i="15"/>
  <c r="F43" i="15"/>
  <c r="M29" i="15"/>
  <c r="G1" i="73"/>
  <c r="F71" i="15" l="1"/>
  <c r="F50" i="15"/>
  <c r="C49" i="15" s="1"/>
  <c r="M7" i="15"/>
  <c r="J6" i="15" s="1"/>
  <c r="J18" i="15" s="1"/>
  <c r="C6" i="15"/>
  <c r="C32" i="15" s="1"/>
  <c r="F50" i="67"/>
  <c r="C49" i="67" s="1"/>
  <c r="C6" i="67"/>
  <c r="C32" i="67" s="1"/>
  <c r="M7" i="67"/>
  <c r="J6" i="67" s="1"/>
  <c r="J18" i="67" s="1"/>
  <c r="F71" i="67"/>
  <c r="E60" i="3"/>
  <c r="E178" i="3"/>
  <c r="AH6" i="3"/>
  <c r="E16" i="3"/>
  <c r="E220" i="3"/>
  <c r="E408" i="3"/>
  <c r="E281" i="3"/>
  <c r="E258"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E490" i="3"/>
  <c r="E427" i="3"/>
  <c r="E105" i="3"/>
  <c r="E83" i="3"/>
  <c r="E232" i="3"/>
  <c r="E190" i="3"/>
  <c r="E420" i="3"/>
  <c r="E456" i="3"/>
  <c r="E308" i="3"/>
  <c r="E235" i="3"/>
  <c r="E513" i="3"/>
  <c r="E84" i="3"/>
  <c r="E484" i="3"/>
  <c r="E37" i="3"/>
  <c r="E442" i="3"/>
  <c r="J7" i="37"/>
  <c r="W7" i="37" s="1"/>
  <c r="AP6" i="1"/>
  <c r="M6" i="1"/>
  <c r="H16" i="1"/>
  <c r="D36" i="71"/>
  <c r="T36" i="71"/>
  <c r="J5" i="15"/>
  <c r="J24" i="15"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98" i="3"/>
  <c r="E440" i="3"/>
  <c r="E543" i="3"/>
  <c r="E223" i="3"/>
  <c r="E326" i="3"/>
  <c r="E49" i="3"/>
  <c r="E428" i="3"/>
  <c r="E13" i="3"/>
  <c r="T6" i="3"/>
  <c r="E102" i="3"/>
  <c r="E18" i="3"/>
  <c r="E81" i="3"/>
  <c r="E310" i="3"/>
  <c r="E544" i="3"/>
  <c r="E491" i="3"/>
  <c r="E499" i="3"/>
  <c r="E15" i="3"/>
  <c r="E346" i="3"/>
  <c r="E463" i="3"/>
  <c r="E486" i="3"/>
  <c r="E393" i="3"/>
  <c r="E370" i="3"/>
  <c r="E41" i="3"/>
  <c r="E205" i="3"/>
  <c r="E86" i="3"/>
  <c r="E184" i="3"/>
  <c r="E64" i="3"/>
  <c r="E449"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J6" i="3"/>
  <c r="E422" i="3"/>
  <c r="E493" i="3"/>
  <c r="E188" i="3"/>
  <c r="E158" i="3"/>
  <c r="E324" i="3"/>
  <c r="E225" i="3"/>
  <c r="E556" i="3"/>
  <c r="E173" i="3"/>
  <c r="E206" i="3"/>
  <c r="AL6" i="3"/>
  <c r="E68" i="3"/>
  <c r="E267" i="3"/>
  <c r="E292" i="3"/>
  <c r="E554" i="3"/>
  <c r="E212" i="3"/>
  <c r="J34" i="34"/>
  <c r="H34" i="34"/>
  <c r="F34" i="34"/>
  <c r="F45" i="69"/>
  <c r="AC7" i="37"/>
  <c r="F67" i="39"/>
  <c r="C29" i="69"/>
  <c r="D27" i="69" s="1"/>
  <c r="C47" i="69"/>
  <c r="D45" i="69" s="1"/>
  <c r="U7" i="36"/>
  <c r="D26" i="43"/>
  <c r="C25" i="43" s="1"/>
  <c r="J5" i="67"/>
  <c r="J24" i="67" s="1"/>
  <c r="F28" i="12"/>
  <c r="C29" i="12" s="1"/>
  <c r="D28" i="12" s="1"/>
  <c r="AA10" i="39"/>
  <c r="F27" i="11"/>
  <c r="C29" i="11" s="1"/>
  <c r="D27" i="11" s="1"/>
  <c r="F10" i="40"/>
  <c r="S10" i="40" s="1"/>
  <c r="E419" i="3"/>
  <c r="E376" i="3"/>
  <c r="E507" i="3"/>
  <c r="E564" i="3"/>
  <c r="E116" i="3"/>
  <c r="E329" i="3"/>
  <c r="E80" i="3"/>
  <c r="E35" i="3"/>
  <c r="E412" i="3"/>
  <c r="E115" i="3"/>
  <c r="E470" i="3"/>
  <c r="E451" i="3"/>
  <c r="E405" i="3"/>
  <c r="E197" i="3"/>
  <c r="E113" i="3"/>
  <c r="E34" i="3"/>
  <c r="E96" i="3"/>
  <c r="E391" i="3"/>
  <c r="E309" i="3"/>
  <c r="E233" i="3"/>
  <c r="E492" i="3"/>
  <c r="E160" i="3"/>
  <c r="E59" i="3"/>
  <c r="E241" i="3"/>
  <c r="E479" i="3"/>
  <c r="E255" i="3"/>
  <c r="E502" i="3"/>
  <c r="E536" i="3"/>
  <c r="E356" i="3"/>
  <c r="E26" i="3"/>
  <c r="E497" i="3"/>
  <c r="E512" i="3"/>
  <c r="E525" i="3"/>
  <c r="E22" i="3"/>
  <c r="AF6" i="3"/>
  <c r="AC6" i="3" s="1"/>
  <c r="E383" i="3"/>
  <c r="E482" i="3"/>
  <c r="E494" i="3"/>
  <c r="E63" i="3"/>
  <c r="E33" i="3"/>
  <c r="E249" i="3"/>
  <c r="E467" i="3"/>
  <c r="E389" i="3"/>
  <c r="E95" i="3"/>
  <c r="E517" i="3"/>
  <c r="E430" i="3"/>
  <c r="E286" i="3"/>
  <c r="Q52" i="67"/>
  <c r="Q73" i="67"/>
  <c r="E174" i="3"/>
  <c r="E42" i="3"/>
  <c r="E198" i="3"/>
  <c r="E283" i="3"/>
  <c r="E355" i="3"/>
  <c r="E67" i="3"/>
  <c r="E371" i="3"/>
  <c r="E46" i="3"/>
  <c r="E409" i="3"/>
  <c r="E349" i="3"/>
  <c r="E152" i="3"/>
  <c r="E417" i="3"/>
  <c r="AP6" i="3"/>
  <c r="E466" i="3"/>
  <c r="E575" i="3"/>
  <c r="E539" i="3"/>
  <c r="E3" i="6"/>
  <c r="H10" i="39"/>
  <c r="U10" i="39" s="1"/>
  <c r="H10" i="40"/>
  <c r="AB10" i="40" s="1"/>
  <c r="J10" i="40"/>
  <c r="AC10" i="40" s="1"/>
  <c r="J10" i="39"/>
  <c r="W10" i="39" s="1"/>
  <c r="Q74" i="67"/>
  <c r="C26" i="71"/>
  <c r="D26" i="71" s="1"/>
  <c r="D27" i="71"/>
  <c r="T52" i="71"/>
  <c r="D52" i="71"/>
  <c r="C40" i="71"/>
  <c r="D39" i="71"/>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32" i="71"/>
  <c r="D3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C16" i="67"/>
  <c r="M27" i="67"/>
  <c r="F41" i="15"/>
  <c r="C16" i="15"/>
  <c r="F41" i="67"/>
  <c r="M27" i="15"/>
  <c r="AA34" i="34" l="1"/>
  <c r="S34" i="34"/>
  <c r="R49" i="34"/>
  <c r="AB34" i="34"/>
  <c r="T49" i="34" s="1"/>
  <c r="G49" i="34" s="1"/>
  <c r="G53" i="34" s="1"/>
  <c r="H53" i="34" s="1"/>
  <c r="U34" i="34"/>
  <c r="H6" i="3"/>
  <c r="E6" i="3" s="1"/>
  <c r="O6" i="1"/>
  <c r="O16" i="1"/>
  <c r="AC34" i="34"/>
  <c r="V49" i="34" s="1"/>
  <c r="W34" i="34"/>
  <c r="AA10" i="40"/>
  <c r="W10" i="40"/>
  <c r="F69" i="67"/>
  <c r="I46" i="37"/>
  <c r="J46" i="37" s="1"/>
  <c r="F25" i="12"/>
  <c r="C26" i="12" s="1"/>
  <c r="D25" i="12" s="1"/>
  <c r="D116" i="43"/>
  <c r="AB10" i="39"/>
  <c r="T40" i="71"/>
  <c r="D40" i="71"/>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4"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C14" i="67"/>
  <c r="C17" i="67"/>
  <c r="D10" i="68"/>
  <c r="C17" i="15"/>
  <c r="I49" i="34" l="1"/>
  <c r="R50" i="34"/>
  <c r="C49" i="34" s="1"/>
  <c r="M19" i="9"/>
  <c r="C118" i="9" s="1"/>
  <c r="B2" i="74" s="1"/>
  <c r="D7" i="74" s="1"/>
  <c r="I54" i="34"/>
  <c r="J54" i="34" s="1"/>
  <c r="C44" i="11"/>
  <c r="D41" i="11" s="1"/>
  <c r="C44" i="68"/>
  <c r="D41" i="68" s="1"/>
  <c r="E53" i="34"/>
  <c r="F53" i="34" s="1"/>
  <c r="C26" i="68"/>
  <c r="D22" i="68" s="1"/>
  <c r="C26" i="11"/>
  <c r="D22" i="11" s="1"/>
  <c r="C25" i="11"/>
  <c r="C24" i="11"/>
  <c r="C44" i="69"/>
  <c r="D41" i="69" s="1"/>
  <c r="C26" i="69"/>
  <c r="D22"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34" i="68"/>
  <c r="C14" i="15"/>
  <c r="B6" i="76"/>
  <c r="C50" i="34" l="1"/>
  <c r="I53" i="34"/>
  <c r="J53" i="34" s="1"/>
  <c r="G54" i="34"/>
  <c r="H54" i="34" s="1"/>
  <c r="B3" i="43"/>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F35" i="9"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59" i="67" l="1"/>
  <c r="J60" i="67" s="1"/>
  <c r="Q48" i="67"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19" i="9"/>
  <c r="D2" i="36"/>
  <c r="D2" i="35"/>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5" i="9"/>
  <c r="AO7" i="1"/>
  <c r="AO9" i="1"/>
  <c r="AO12" i="1"/>
  <c r="AO10" i="1"/>
  <c r="C19" i="9"/>
  <c r="AO8" i="1"/>
  <c r="AO11" i="1"/>
  <c r="D20" i="9"/>
  <c r="D34" i="9"/>
  <c r="C102" i="9" l="1"/>
  <c r="C21" i="9"/>
  <c r="G19" i="9"/>
  <c r="G21" i="9" s="1"/>
  <c r="D22" i="9"/>
  <c r="B3" i="34"/>
  <c r="D103" i="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G20" i="9"/>
  <c r="C32"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H118" i="9" l="1"/>
  <c r="H102" i="9"/>
  <c r="D7" i="53" s="1"/>
  <c r="B21" i="72" s="1"/>
  <c r="C105" i="9"/>
  <c r="H119" i="9" l="1"/>
  <c r="H5" i="52" s="1"/>
  <c r="H101" i="9"/>
  <c r="H4" i="52"/>
  <c r="C104" i="9"/>
  <c r="D45" i="9" l="1"/>
  <c r="D14" i="74"/>
  <c r="F34" i="9"/>
  <c r="M48" i="9"/>
  <c r="D5" i="53"/>
  <c r="H107" i="9"/>
  <c r="D122" i="9" l="1"/>
  <c r="H108" i="9"/>
  <c r="D15" i="53" s="1"/>
  <c r="B31" i="72" s="1"/>
  <c r="D13" i="53"/>
  <c r="M49" i="9"/>
  <c r="G14" i="74"/>
  <c r="B6" i="74" s="1"/>
  <c r="E14" i="74"/>
  <c r="F14" i="74"/>
  <c r="B5" i="74"/>
  <c r="B20" i="72"/>
  <c r="D6" i="53"/>
  <c r="B22" i="72" s="1"/>
  <c r="C64" i="9"/>
  <c r="C63" i="9" s="1"/>
  <c r="C67" i="9" s="1"/>
  <c r="C72" i="9"/>
  <c r="C79" i="9" s="1"/>
  <c r="C80" i="9" s="1"/>
  <c r="E80" i="9" s="1"/>
  <c r="E81" i="9" s="1"/>
  <c r="C78" i="9"/>
  <c r="C73" i="9" s="1"/>
  <c r="D52" i="9"/>
  <c r="D55" i="9"/>
  <c r="M53" i="9" s="1"/>
  <c r="D53" i="9"/>
  <c r="C85" i="9"/>
  <c r="C93" i="9"/>
  <c r="C86" i="9" s="1"/>
  <c r="L65" i="9" l="1"/>
  <c r="M65" i="9" s="1"/>
  <c r="L68" i="9"/>
  <c r="M68" i="9" s="1"/>
  <c r="L67" i="9"/>
  <c r="M67" i="9" s="1"/>
  <c r="L66" i="9"/>
  <c r="M66" i="9" s="1"/>
  <c r="L63" i="9"/>
  <c r="M63" i="9" s="1"/>
  <c r="L64" i="9"/>
  <c r="M64" i="9" s="1"/>
  <c r="C68" i="9"/>
  <c r="D54" i="9" s="1"/>
  <c r="D59" i="9"/>
  <c r="M55" i="9" s="1"/>
  <c r="B30" i="72"/>
  <c r="D14" i="53"/>
  <c r="B32" i="72" s="1"/>
  <c r="C81" i="9"/>
  <c r="C5" i="74"/>
  <c r="D5" i="74"/>
  <c r="C95" i="9"/>
  <c r="D6" i="74"/>
  <c r="C6" i="74"/>
  <c r="D8" i="52"/>
  <c r="D123" i="9"/>
  <c r="D9" i="52" s="1"/>
  <c r="C96" i="9" l="1"/>
  <c r="E96" i="9" s="1"/>
  <c r="E97" i="9" s="1"/>
  <c r="C97" i="9"/>
  <c r="D58" i="9" s="1"/>
  <c r="D56" i="9" s="1"/>
  <c r="M54" i="9" s="1"/>
  <c r="N57" i="9" s="1"/>
  <c r="M69" i="9"/>
  <c r="N69" i="9" s="1"/>
  <c r="P57" i="9" l="1"/>
  <c r="N58" i="9"/>
  <c r="N59" i="9"/>
  <c r="N60" i="9" l="1"/>
  <c r="N61" i="9"/>
  <c r="G118" i="9"/>
  <c r="F118" i="9" s="1"/>
  <c r="G4" i="52" l="1"/>
  <c r="B52" i="72" s="1"/>
  <c r="E118" i="9"/>
  <c r="E4" i="52" s="1"/>
  <c r="B48" i="72" s="1"/>
  <c r="F4" i="52"/>
  <c r="B51" i="72" s="1"/>
  <c r="F119" i="9"/>
  <c r="F5" i="52" s="1"/>
  <c r="B53" i="72" s="1"/>
  <c r="D118" i="9" l="1"/>
  <c r="D119" i="9" s="1"/>
  <c r="D5" i="52" s="1"/>
  <c r="B49" i="72" s="1"/>
  <c r="D4" i="52" l="1"/>
  <c r="B47"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C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1"/>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<sst xmlns="http://schemas.openxmlformats.org/spreadsheetml/2006/main" count="8056" uniqueCount="3529">
  <si>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</si>
  <si>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</si>
  <si>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</si>
  <si>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</si>
  <si>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</si>
  <si>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</si>
  <si>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</si>
  <si>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</si>
  <si>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</si>
  <si>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</si>
  <si>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</si>
  <si>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</si>
  <si>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</si>
  <si>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</si>
  <si>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</si>
  <si>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</si>
  <si>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</si>
  <si>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</si>
  <si>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</si>
  <si>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</si>
  <si>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</si>
  <si>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</si>
  <si>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</si>
  <si>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</si>
  <si>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</si>
  <si>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</si>
  <si>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</si>
  <si>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</si>
  <si>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</si>
  <si>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</si>
  <si>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</si>
  <si>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</si>
  <si>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</si>
  <si>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</si>
  <si>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</si>
  <si>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</si>
  <si>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</si>
  <si>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</si>
  <si>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</si>
  <si>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</si>
  <si>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</si>
  <si>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</si>
  <si>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</si>
  <si>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</si>
  <si>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</si>
  <si>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</si>
  <si>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</si>
  <si>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</si>
  <si>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</si>
  <si>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</si>
  <si>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</si>
  <si>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</si>
  <si>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</si>
  <si>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</si>
  <si>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</si>
  <si>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</si>
  <si>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</si>
  <si>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</si>
  <si>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</si>
  <si>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</si>
  <si>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</si>
  <si>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</si>
  <si>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</si>
  <si>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</si>
  <si>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</si>
  <si>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</si>
  <si>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</si>
  <si>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</si>
  <si>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</si>
  <si>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</si>
  <si>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</si>
  <si>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</si>
  <si>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</si>
  <si>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</si>
  <si>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</si>
  <si>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</si>
  <si>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</si>
  <si>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</si>
  <si>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</si>
  <si>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</si>
  <si>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</si>
  <si>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</si>
  <si>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</si>
  <si>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</si>
  <si>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</si>
  <si>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</si>
  <si>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</si>
  <si>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</si>
  <si>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</si>
  <si>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</si>
  <si>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</si>
  <si>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</si>
  <si>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</si>
  <si>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</si>
  <si>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</si>
  <si>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</si>
  <si>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</si>
  <si>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</si>
  <si>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</si>
  <si>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</si>
  <si>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</si>
  <si>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</si>
  <si>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</si>
  <si>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</si>
  <si>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</si>
  <si>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</si>
  <si>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</si>
  <si>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</si>
  <si>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</si>
  <si>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</si>
  <si>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</si>
  <si>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</si>
  <si>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</si>
  <si>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</si>
  <si>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</si>
  <si>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</si>
  <si>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</si>
  <si>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</si>
  <si>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</si>
  <si>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</si>
  <si>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</si>
  <si>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</si>
  <si>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</si>
  <si>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</si>
  <si>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</si>
  <si>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</si>
  <si>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</si>
  <si>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</si>
  <si>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</si>
  <si>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</si>
  <si>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</si>
  <si>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</si>
  <si>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</si>
  <si>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</si>
  <si>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</si>
  <si>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</si>
  <si>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</si>
  <si>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</si>
  <si>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</si>
  <si>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</si>
  <si>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</si>
  <si>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</si>
  <si>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</si>
  <si>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</si>
  <si>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</si>
  <si>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</si>
  <si>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</si>
  <si>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</si>
  <si>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</si>
  <si>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</si>
  <si>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</si>
  <si>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</si>
  <si>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</si>
  <si>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</si>
  <si>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</si>
  <si>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</si>
  <si>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</si>
  <si>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</si>
  <si>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</si>
  <si>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</si>
  <si>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</si>
  <si>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</si>
  <si>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</si>
  <si>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</si>
  <si>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</si>
  <si>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</si>
  <si>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</si>
  <si>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</si>
  <si>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</si>
  <si>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</si>
  <si>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</si>
  <si>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</si>
  <si>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</si>
  <si>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</si>
  <si>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</si>
  <si>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</si>
  <si>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</si>
  <si>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</si>
  <si>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</si>
  <si>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</si>
  <si>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</si>
  <si>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</si>
  <si>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</si>
  <si>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</si>
  <si>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</si>
  <si>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</si>
  <si>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</si>
  <si>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</si>
  <si>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</si>
  <si>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</si>
  <si>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</si>
  <si>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</si>
  <si>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</si>
  <si>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</si>
  <si>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</si>
  <si>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</si>
  <si>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</si>
  <si>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</si>
  <si>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</si>
  <si>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</si>
  <si>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</si>
  <si>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</si>
  <si>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</si>
  <si>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</si>
  <si>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</si>
  <si>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</si>
  <si>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</si>
  <si>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</si>
  <si>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</si>
  <si>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</si>
  <si>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</si>
  <si>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</si>
  <si>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</si>
  <si>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</si>
  <si>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</si>
  <si>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</si>
  <si>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</si>
  <si>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</si>
  <si>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</si>
  <si>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</si>
  <si>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</si>
  <si>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</si>
  <si>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</si>
  <si>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</si>
  <si>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</si>
  <si>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</si>
  <si>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</si>
  <si>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</si>
  <si>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</si>
  <si>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</si>
  <si>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</si>
  <si>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</si>
  <si>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</si>
  <si>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</si>
  <si>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</si>
  <si>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</si>
  <si>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</si>
  <si>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</si>
  <si>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</si>
  <si>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</si>
  <si>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</si>
  <si>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</si>
  <si>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</si>
  <si>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</si>
  <si>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</si>
  <si>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</si>
  <si>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</si>
  <si>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</si>
  <si>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</si>
  <si>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</si>
  <si>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</si>
  <si>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</si>
  <si>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</si>
  <si>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</si>
  <si>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</si>
  <si>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</si>
  <si>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</si>
  <si>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</si>
  <si>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</si>
  <si>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</si>
  <si>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</si>
  <si>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</si>
  <si>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</si>
  <si>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</si>
  <si>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</si>
  <si>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</si>
  <si>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</si>
  <si>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</si>
  <si>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</si>
  <si>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</si>
  <si>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</si>
  <si>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</si>
  <si>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</si>
  <si>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</si>
  <si>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</si>
  <si>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</si>
  <si>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</si>
  <si>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</si>
  <si>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</si>
  <si>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</si>
  <si>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</si>
  <si>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</si>
  <si>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</si>
  <si>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</si>
  <si>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</si>
  <si>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</si>
  <si>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</si>
  <si>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</si>
  <si>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</si>
  <si>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</si>
  <si>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</si>
  <si>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</si>
  <si>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</si>
  <si>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</si>
  <si>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</si>
  <si>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</si>
  <si>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</si>
  <si>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</si>
  <si>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</si>
  <si>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</si>
  <si>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</si>
  <si>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</si>
  <si>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</si>
  <si>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</si>
  <si>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</si>
  <si>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</si>
  <si>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</si>
  <si>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</si>
  <si>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</si>
  <si>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</si>
  <si>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</si>
  <si>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</si>
  <si>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</si>
  <si>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</si>
  <si>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</si>
  <si>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</si>
  <si>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</si>
  <si>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</si>
  <si>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</si>
  <si>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</si>
  <si>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</si>
  <si>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</si>
  <si>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</si>
  <si>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</si>
  <si>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</si>
  <si>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</si>
  <si>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</si>
  <si>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</si>
  <si>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</si>
  <si>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</si>
  <si>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</si>
  <si>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</si>
  <si>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</si>
  <si>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</si>
  <si>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</si>
  <si>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</si>
  <si>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</si>
  <si>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</si>
  <si>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</si>
  <si>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</si>
  <si>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</si>
  <si>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</si>
  <si>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</si>
  <si>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</si>
  <si>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</si>
  <si>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</si>
  <si>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</si>
  <si>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</si>
  <si>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</si>
  <si>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</si>
  <si>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</si>
  <si>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</si>
  <si>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</si>
  <si>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</si>
  <si>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</si>
  <si>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</si>
  <si>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</si>
  <si>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</si>
  <si>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</si>
  <si>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</si>
  <si>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</si>
  <si>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</si>
  <si>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</si>
  <si>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</si>
  <si>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</si>
  <si>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</si>
  <si>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</si>
  <si>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</si>
  <si>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</si>
  <si>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</si>
  <si>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</si>
  <si>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</si>
  <si>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</si>
  <si>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</si>
  <si>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</si>
  <si>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</si>
  <si>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</si>
  <si>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</si>
  <si>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</si>
  <si>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</si>
  <si>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</si>
  <si>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</si>
  <si>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</si>
  <si>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</si>
  <si>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</si>
  <si>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</si>
  <si>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</si>
  <si>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</si>
  <si>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</si>
  <si>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</si>
  <si>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</si>
  <si>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</si>
  <si>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</si>
  <si>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</si>
  <si>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</si>
  <si>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</si>
  <si>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</si>
  <si>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</si>
  <si>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</si>
  <si>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</si>
  <si>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</si>
  <si>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</si>
  <si>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</si>
  <si>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</si>
  <si>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</si>
  <si>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</si>
  <si>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</si>
  <si>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</si>
  <si>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</si>
  <si>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</si>
  <si>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</si>
  <si>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</si>
  <si>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</si>
  <si>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</si>
  <si>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</si>
  <si>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</si>
  <si>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</si>
  <si>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</si>
  <si>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</si>
  <si>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</si>
  <si>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</si>
  <si>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</si>
  <si>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</si>
  <si>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</si>
  <si>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</si>
  <si>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</si>
  <si>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</si>
  <si>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</si>
  <si>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</si>
  <si>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</si>
  <si>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</si>
  <si>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</si>
  <si>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</si>
  <si>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</si>
  <si>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</si>
  <si>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</si>
  <si>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</si>
  <si>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</si>
  <si>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</si>
  <si>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</si>
  <si>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</si>
  <si>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</si>
  <si>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</si>
  <si>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</si>
  <si>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</si>
  <si>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</si>
  <si>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</si>
  <si>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</si>
  <si>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</si>
  <si>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</si>
  <si>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</si>
  <si>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</si>
  <si>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</si>
  <si>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</si>
  <si>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</si>
  <si>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</si>
  <si>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</si>
  <si>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</si>
  <si>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</si>
  <si>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</si>
  <si>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</si>
  <si>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</si>
  <si>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</si>
  <si>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</si>
  <si>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</si>
  <si>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</si>
  <si>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</si>
  <si>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</si>
  <si>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</si>
  <si>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</si>
  <si>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</si>
  <si>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</si>
  <si>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</si>
  <si>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</si>
  <si>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</si>
  <si>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</si>
  <si>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</si>
  <si>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</si>
  <si>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</si>
  <si>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</si>
  <si>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</si>
  <si>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</si>
  <si>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</si>
  <si>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</si>
  <si>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</si>
  <si>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</si>
  <si>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</si>
  <si>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</si>
  <si>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</si>
  <si>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</si>
  <si>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</si>
  <si>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</si>
  <si>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</si>
  <si>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</si>
  <si>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</si>
  <si>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</si>
  <si>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</si>
  <si>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</si>
  <si>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</si>
  <si>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</si>
  <si>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</si>
  <si>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</si>
  <si>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</si>
  <si>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</si>
  <si>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</si>
  <si>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</si>
  <si>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</si>
  <si>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</si>
  <si>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</si>
  <si>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</si>
  <si>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</si>
  <si>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</si>
  <si>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</si>
  <si>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</si>
  <si>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</si>
  <si>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</si>
  <si>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</si>
  <si>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</si>
  <si>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</si>
  <si>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</si>
  <si>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</si>
  <si>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</si>
  <si>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</si>
  <si>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</si>
  <si>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</si>
  <si>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</si>
  <si>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</si>
  <si>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</si>
  <si>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</si>
  <si>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</si>
  <si>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</si>
  <si>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</si>
  <si>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</si>
  <si>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</si>
  <si>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</si>
  <si>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</si>
  <si>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</si>
  <si>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</si>
  <si>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</si>
  <si>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</si>
  <si>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</si>
  <si>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</si>
  <si>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</si>
  <si>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</si>
  <si>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</si>
  <si>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</si>
  <si>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</si>
  <si>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</si>
  <si>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</si>
  <si>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</si>
  <si>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</si>
  <si>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</si>
  <si>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</si>
  <si>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</si>
  <si>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</si>
  <si>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</si>
  <si>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</si>
  <si>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</si>
  <si>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</si>
  <si>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</si>
  <si>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</si>
  <si>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</si>
  <si>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</si>
  <si>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</si>
  <si>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</si>
  <si>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</si>
  <si>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</si>
  <si>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</si>
  <si>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</si>
  <si>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</si>
  <si>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</si>
  <si>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</si>
  <si>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</si>
  <si>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</si>
  <si>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</si>
  <si>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</si>
  <si>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</si>
  <si>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</si>
  <si>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</si>
  <si>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</si>
  <si>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</si>
  <si>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</si>
  <si>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</si>
  <si>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</si>
  <si>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</si>
  <si>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</si>
  <si>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</si>
  <si>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</si>
  <si>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</si>
  <si>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</si>
  <si>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</si>
  <si>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</si>
  <si>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</si>
  <si>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</si>
  <si>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</si>
  <si>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</si>
  <si>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</si>
  <si>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</si>
  <si>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</si>
  <si>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</si>
  <si>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</si>
  <si>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</si>
  <si>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</si>
  <si>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</si>
  <si>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</si>
  <si>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</si>
  <si>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</si>
  <si>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</si>
  <si>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</si>
  <si>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</si>
  <si>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</si>
  <si>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</si>
  <si>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</si>
  <si>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</si>
  <si>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</si>
  <si>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</si>
  <si>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</si>
  <si>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</si>
  <si>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</si>
  <si>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</si>
  <si>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</si>
  <si>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</si>
  <si>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</si>
  <si>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</si>
  <si>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</si>
  <si>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</si>
  <si>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</si>
  <si>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</si>
  <si>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</si>
  <si>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</si>
  <si>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</si>
  <si>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</si>
  <si>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</si>
  <si>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</si>
  <si>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</si>
  <si>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</si>
  <si>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</si>
  <si>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</si>
  <si>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</si>
  <si>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</si>
  <si>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</si>
  <si>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</si>
  <si>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</si>
  <si>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</si>
  <si>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</si>
  <si>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</si>
  <si>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</si>
  <si>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</si>
  <si>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</si>
  <si>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</si>
  <si>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</si>
  <si>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</si>
  <si>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</si>
  <si>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</si>
  <si>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</si>
  <si>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</si>
  <si>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</si>
  <si>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</si>
  <si>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</si>
  <si>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</si>
  <si>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</si>
  <si>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</si>
  <si>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</si>
  <si>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</si>
  <si>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</si>
  <si>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</si>
  <si>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</si>
  <si>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</si>
  <si>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</si>
  <si>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</si>
  <si>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</si>
  <si>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</si>
  <si>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</si>
  <si>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</si>
  <si>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</si>
  <si>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</si>
  <si>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</si>
  <si>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</si>
  <si>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</si>
  <si>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</si>
  <si>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</si>
  <si>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</si>
  <si>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</si>
  <si>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</si>
  <si>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</si>
  <si>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</si>
  <si>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</si>
  <si>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</si>
  <si>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</si>
  <si>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</si>
  <si>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</si>
  <si>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</si>
  <si>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</si>
  <si>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</si>
  <si>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</si>
  <si>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</si>
  <si>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</si>
  <si>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</si>
  <si>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</si>
  <si>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</si>
  <si>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</si>
  <si>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</si>
  <si>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</si>
  <si>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</si>
  <si>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</si>
  <si>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</si>
  <si>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</si>
  <si>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</si>
  <si>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</si>
  <si>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</si>
  <si>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</si>
  <si>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</si>
  <si>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</si>
  <si>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</si>
  <si>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</si>
  <si>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</si>
  <si>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</si>
  <si>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</si>
  <si>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</si>
  <si>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</si>
  <si>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</si>
  <si>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</si>
  <si>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</si>
  <si>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</si>
  <si>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</si>
  <si>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</si>
  <si>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</si>
  <si>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</si>
  <si>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</si>
  <si>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</si>
  <si>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</si>
  <si>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</si>
  <si>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</si>
  <si>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</si>
  <si>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</si>
  <si>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</si>
  <si>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</si>
  <si>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</si>
  <si>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</si>
  <si>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</si>
  <si>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</si>
  <si>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</si>
  <si>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</si>
  <si>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</si>
  <si>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</si>
  <si>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</si>
  <si>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</si>
  <si>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</si>
  <si>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</si>
  <si>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</si>
  <si>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</si>
  <si>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</si>
  <si>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</si>
  <si>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</si>
  <si>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</si>
  <si>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</si>
  <si>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</si>
  <si>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</si>
  <si>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</si>
  <si>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</si>
  <si>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</si>
  <si>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</si>
  <si>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</si>
  <si>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</si>
  <si>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</si>
  <si>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</si>
  <si>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</si>
  <si>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</si>
  <si>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</si>
  <si>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</si>
  <si>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</si>
  <si>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</si>
  <si>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</si>
  <si>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</si>
  <si>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</si>
  <si>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</si>
  <si>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</si>
  <si>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</si>
  <si>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</si>
  <si>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</si>
  <si>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</si>
  <si>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</si>
  <si>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</si>
  <si>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</si>
  <si>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</si>
  <si>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</si>
  <si>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</si>
  <si>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</si>
  <si>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</si>
  <si>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</si>
  <si>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</si>
  <si>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</si>
  <si>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</si>
  <si>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</si>
  <si>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</si>
  <si>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</si>
  <si>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</si>
  <si>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</si>
  <si>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</si>
  <si>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</si>
  <si>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</si>
  <si>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</si>
  <si>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</si>
  <si>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</si>
  <si>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</si>
  <si>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</si>
  <si>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</si>
  <si>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</si>
  <si>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</si>
  <si>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</si>
  <si>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</si>
  <si>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</si>
  <si>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</si>
  <si>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</si>
  <si>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</si>
  <si>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</si>
  <si>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</si>
  <si>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</si>
  <si>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</si>
  <si>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</si>
  <si>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</si>
  <si>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</si>
  <si>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</si>
  <si>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</si>
  <si>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</si>
  <si>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</si>
  <si>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</si>
  <si>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</si>
  <si>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</si>
  <si>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</si>
  <si>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</si>
  <si>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</si>
  <si>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</si>
  <si>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</si>
  <si>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</si>
  <si>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</si>
  <si>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</si>
  <si>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</si>
  <si>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</si>
  <si>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</si>
  <si>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</si>
  <si>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</si>
  <si>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</si>
  <si>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</si>
  <si>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</si>
  <si>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</si>
  <si>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</si>
  <si>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</si>
  <si>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</si>
  <si>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</si>
  <si>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</si>
  <si>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</si>
  <si>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</si>
  <si>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</si>
  <si>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</si>
  <si>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</si>
  <si>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</si>
  <si>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</si>
  <si>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</si>
  <si>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</si>
  <si>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</si>
  <si>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</si>
  <si>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</si>
  <si>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</si>
  <si>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</si>
  <si>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</si>
  <si>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</si>
  <si>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</si>
  <si>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</si>
  <si>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</si>
  <si>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</si>
  <si>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</si>
  <si>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</si>
  <si>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</si>
  <si>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</si>
  <si>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</si>
  <si>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</si>
  <si>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</si>
  <si>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</si>
  <si>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</si>
  <si>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</si>
  <si>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</si>
  <si>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</si>
  <si>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</si>
  <si>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</si>
  <si>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</si>
  <si>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</si>
  <si>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</si>
  <si>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</si>
  <si>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</si>
  <si>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</si>
  <si>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</si>
  <si>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</si>
  <si>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</si>
  <si>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</si>
  <si>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</si>
  <si>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</si>
  <si>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</si>
  <si>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</si>
  <si>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</si>
  <si>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</si>
  <si>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</si>
  <si>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</si>
  <si>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</si>
  <si>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</si>
  <si>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</si>
  <si>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</si>
  <si>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</si>
  <si>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</si>
  <si>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</si>
  <si>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</si>
  <si>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</si>
  <si>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</si>
  <si>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</si>
  <si>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</si>
  <si>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</si>
  <si>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</si>
  <si>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</si>
  <si>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</si>
  <si>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</si>
  <si>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</si>
  <si>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</si>
  <si>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</si>
  <si>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</si>
  <si>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</si>
  <si>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</si>
  <si>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</si>
  <si>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</si>
  <si>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</si>
  <si>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</si>
  <si>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</si>
  <si>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</si>
  <si>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</si>
  <si>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</si>
  <si>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</si>
  <si>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</si>
  <si>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</si>
  <si>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</si>
  <si>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</si>
  <si>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</si>
  <si>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</si>
  <si>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</si>
  <si>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</si>
  <si>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</si>
  <si>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</si>
  <si>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</si>
  <si>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</si>
  <si>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</si>
  <si>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</si>
  <si>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</si>
  <si>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</si>
  <si>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</si>
  <si>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</si>
  <si>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</si>
  <si>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</si>
  <si>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</si>
  <si>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</si>
  <si>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</si>
  <si>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</si>
  <si>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</si>
  <si>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</si>
  <si>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</si>
  <si>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</si>
  <si>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</si>
  <si>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</si>
  <si>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</si>
  <si>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</si>
  <si>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</si>
  <si>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</si>
  <si>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</si>
  <si>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</si>
  <si>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</si>
  <si>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</si>
  <si>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</si>
  <si>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</si>
  <si>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</si>
  <si>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</si>
  <si>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</si>
  <si>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</si>
  <si>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</si>
  <si>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</si>
  <si>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</si>
  <si>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</si>
  <si>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</si>
  <si>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</si>
  <si>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</si>
  <si>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</si>
  <si>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</si>
  <si>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</si>
  <si>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</si>
  <si>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</si>
  <si>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</si>
  <si>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</si>
  <si>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</si>
  <si>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</si>
  <si>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</si>
  <si>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</si>
  <si>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</si>
  <si>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</si>
  <si>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</si>
  <si>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</si>
  <si>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</si>
  <si>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</si>
  <si>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</si>
  <si>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</si>
  <si>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</si>
  <si>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</si>
  <si>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</si>
  <si>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</si>
  <si>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</si>
  <si>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</si>
  <si>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</si>
  <si>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</si>
  <si>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</si>
  <si>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</si>
  <si>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</si>
  <si>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</si>
  <si>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</si>
  <si>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</si>
  <si>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</si>
  <si>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</si>
  <si>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</si>
  <si>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</si>
  <si>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</si>
  <si>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</si>
  <si>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</si>
  <si>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</si>
  <si>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</si>
  <si>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</si>
  <si>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</si>
  <si>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</si>
  <si>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</si>
  <si>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</si>
  <si>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</si>
  <si>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</si>
  <si>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</si>
  <si>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</si>
  <si>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</si>
  <si>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</si>
  <si>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</si>
  <si>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</si>
  <si>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</si>
  <si>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</si>
  <si>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</si>
  <si>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</si>
  <si>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</si>
  <si>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</si>
  <si>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</si>
  <si>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</si>
  <si>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</si>
  <si>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</si>
  <si>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</si>
  <si>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</si>
  <si>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</si>
  <si>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</si>
  <si>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</si>
  <si>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</si>
  <si>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</si>
  <si>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</si>
  <si>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</si>
  <si>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</si>
  <si>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</si>
  <si>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</si>
  <si>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</si>
  <si>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</si>
  <si>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</si>
  <si>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</si>
  <si>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</si>
  <si>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</si>
  <si>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</si>
  <si>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</si>
  <si>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</si>
  <si>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</si>
  <si>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</si>
  <si>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</si>
  <si>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</si>
  <si>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</si>
  <si>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</si>
  <si>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</si>
  <si>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</si>
  <si>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</si>
  <si>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</si>
  <si>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</si>
  <si>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</si>
  <si>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</si>
  <si>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</si>
  <si>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</si>
  <si>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</si>
  <si>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</si>
  <si>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</si>
  <si>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</si>
  <si>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</si>
  <si>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</si>
  <si>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</si>
  <si>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</si>
  <si>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</si>
  <si>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</si>
  <si>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</si>
  <si>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</si>
  <si>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</si>
  <si>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</si>
  <si>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</si>
  <si>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</si>
  <si>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</si>
  <si>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</si>
  <si>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</si>
  <si>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</si>
  <si>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</si>
  <si>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</si>
  <si>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</si>
  <si>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</si>
  <si>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</si>
  <si>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</si>
  <si>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</si>
  <si>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</si>
  <si>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</si>
  <si>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</si>
  <si>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</si>
  <si>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</si>
  <si>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</si>
  <si>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</si>
  <si>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</si>
  <si>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</si>
  <si>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</si>
  <si>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</si>
  <si>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</si>
  <si>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</si>
  <si>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</si>
  <si>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</si>
  <si>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</si>
  <si>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</si>
  <si>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</si>
  <si>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</si>
  <si>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</si>
  <si>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</si>
  <si>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</si>
  <si>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</si>
  <si>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</si>
  <si>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</si>
  <si>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</si>
  <si>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</si>
  <si>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</si>
  <si>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</si>
  <si>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</si>
  <si>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</si>
  <si>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</si>
  <si>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</si>
  <si>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</si>
  <si>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</si>
  <si>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</si>
  <si>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</si>
  <si>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</si>
  <si>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</si>
  <si>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</si>
  <si>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</si>
  <si>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</si>
  <si>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</si>
  <si>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</si>
  <si>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</si>
  <si>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</si>
  <si>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</si>
  <si>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</si>
  <si>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</si>
  <si>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</si>
  <si>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</si>
  <si>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</si>
  <si>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</si>
  <si>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</si>
  <si>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</si>
  <si>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</si>
  <si>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</si>
  <si>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</si>
  <si>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</si>
  <si>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</si>
  <si>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</si>
  <si>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</si>
  <si>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</si>
  <si>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</si>
  <si>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</si>
  <si>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</si>
  <si>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</si>
  <si>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</si>
  <si>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</si>
  <si>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</si>
  <si>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</si>
  <si>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</si>
  <si>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</si>
  <si>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</si>
  <si>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</si>
  <si>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</si>
  <si>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</si>
  <si>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</si>
  <si>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</si>
  <si>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</si>
  <si>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</si>
  <si>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</si>
  <si>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</si>
  <si>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</si>
  <si>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</si>
  <si>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</si>
  <si>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</si>
  <si>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</si>
  <si>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</si>
  <si>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</si>
  <si>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</si>
  <si>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</si>
  <si>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</si>
  <si>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</si>
  <si>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</si>
  <si>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</si>
  <si>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</si>
  <si>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</si>
  <si>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</si>
  <si>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</si>
  <si>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</si>
  <si>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</si>
  <si>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</si>
  <si>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</si>
  <si>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</si>
  <si>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</si>
  <si>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</si>
  <si>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</si>
  <si>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</si>
  <si>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</si>
  <si>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</si>
  <si>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</si>
  <si>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</si>
  <si>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</si>
  <si>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</si>
  <si>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</si>
  <si>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</si>
  <si>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</si>
  <si>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</si>
  <si>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</si>
  <si>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</si>
  <si>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</si>
  <si>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</si>
  <si>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</si>
  <si>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</si>
  <si>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</si>
  <si>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</si>
  <si>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</si>
  <si>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</si>
  <si>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</si>
  <si>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</si>
  <si>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</si>
  <si>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</si>
  <si>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</si>
  <si>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</si>
  <si>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</si>
  <si>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</si>
  <si>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</si>
  <si>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</si>
  <si>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</si>
  <si>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</si>
  <si>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</si>
  <si>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</si>
  <si>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</si>
  <si>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</si>
  <si>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</si>
  <si>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</si>
  <si>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</si>
  <si>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</si>
  <si>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</si>
  <si>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</si>
  <si>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</si>
  <si>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</si>
  <si>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</si>
  <si>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</si>
  <si>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</si>
  <si>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</si>
  <si>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</si>
  <si>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</si>
  <si>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</si>
  <si>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</si>
  <si>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</si>
  <si>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</si>
  <si>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</si>
  <si>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</si>
  <si>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</si>
  <si>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</si>
  <si>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</si>
  <si>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</si>
  <si>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</si>
  <si>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</si>
  <si>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</si>
  <si>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</si>
  <si>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</si>
  <si>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</si>
  <si>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</si>
  <si>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</si>
  <si>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</si>
  <si>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</si>
  <si>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</si>
  <si>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</si>
  <si>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</si>
  <si>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</si>
  <si>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</si>
  <si>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</si>
  <si>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</si>
  <si>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</si>
  <si>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</si>
  <si>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</si>
  <si>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</si>
  <si>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</si>
  <si>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</si>
  <si>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</si>
  <si>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</si>
  <si>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</si>
  <si>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</si>
  <si>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</si>
  <si>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</si>
  <si>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</si>
  <si>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</si>
  <si>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</si>
  <si>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</si>
  <si>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</si>
  <si>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</si>
  <si>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</si>
  <si>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</si>
  <si>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</si>
  <si>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</si>
  <si>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</si>
  <si>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</si>
  <si>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</si>
  <si>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</si>
  <si>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</si>
  <si>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</si>
  <si>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</si>
  <si>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</si>
  <si>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</si>
  <si>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</si>
  <si>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</si>
  <si>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</si>
  <si>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</si>
  <si>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</si>
  <si>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</si>
  <si>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</si>
  <si>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</si>
  <si>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</si>
  <si>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</si>
  <si>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</si>
  <si>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</si>
  <si>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</si>
  <si>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</si>
  <si>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</si>
  <si>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</si>
  <si>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</si>
  <si>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</si>
  <si>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</si>
  <si>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</si>
  <si>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</si>
  <si>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</si>
  <si>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</si>
  <si>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</si>
  <si>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</si>
  <si>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</si>
  <si>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</si>
  <si>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</si>
  <si>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</si>
  <si>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</si>
  <si>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</si>
  <si>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</si>
  <si>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</si>
  <si>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</si>
  <si>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</si>
  <si>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</si>
  <si>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</si>
  <si>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</si>
  <si>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</si>
  <si>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</si>
  <si>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</si>
  <si>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</si>
  <si>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</si>
  <si>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</si>
  <si>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</si>
  <si>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</si>
  <si>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</si>
  <si>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</si>
  <si>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</si>
  <si>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</si>
  <si>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</si>
  <si>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</si>
  <si>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</si>
  <si>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</si>
  <si>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</si>
  <si>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</si>
  <si>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</si>
  <si>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</si>
  <si>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</si>
  <si>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</si>
  <si>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</si>
  <si>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</si>
  <si>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</si>
  <si>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</si>
  <si>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</si>
  <si>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</si>
  <si>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</si>
  <si>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</si>
  <si>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</si>
  <si>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</si>
  <si>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</si>
  <si>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</si>
  <si>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</si>
  <si>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</si>
  <si>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</si>
  <si>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</si>
  <si>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</si>
  <si>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</si>
  <si>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</si>
  <si>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</si>
  <si>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</si>
  <si>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</si>
  <si>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</si>
  <si>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</si>
  <si>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</si>
  <si>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</si>
  <si>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</si>
  <si>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</si>
  <si>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</si>
  <si>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</si>
  <si>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</si>
  <si>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</si>
  <si>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</si>
  <si>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</si>
  <si>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</si>
  <si>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</si>
  <si>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</si>
  <si>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</si>
  <si>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</si>
  <si>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</si>
  <si>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</si>
  <si>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</si>
  <si>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</si>
  <si>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</si>
  <si>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</si>
  <si>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</si>
  <si>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</si>
  <si>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</si>
  <si>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</si>
  <si>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</si>
  <si>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</si>
  <si>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</si>
  <si>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</si>
  <si>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</si>
  <si>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</si>
  <si>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</si>
  <si>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</si>
  <si>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</si>
  <si>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</si>
  <si>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</si>
  <si>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</si>
  <si>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</si>
  <si>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</si>
  <si>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</si>
  <si>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</si>
  <si>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</si>
  <si>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</si>
  <si>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</si>
  <si>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</si>
  <si>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</si>
  <si>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</si>
  <si>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</si>
  <si>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</si>
  <si>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</si>
  <si>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</si>
  <si>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</si>
  <si>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</si>
  <si>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</si>
  <si>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</si>
  <si>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</si>
  <si>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</si>
  <si>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</si>
  <si>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</si>
  <si>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</si>
  <si>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</si>
  <si>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</si>
  <si>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</si>
  <si>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</si>
  <si>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</si>
  <si>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</si>
  <si>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</si>
  <si>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</si>
  <si>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</si>
  <si>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</si>
  <si>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</si>
  <si>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</si>
  <si>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</si>
  <si>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</si>
  <si>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</si>
  <si>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</si>
  <si>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</si>
  <si>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</si>
  <si>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</si>
  <si>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</si>
  <si>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</si>
  <si>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</si>
  <si>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</si>
  <si>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</si>
  <si>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</si>
  <si>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</si>
  <si>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</si>
  <si>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</si>
  <si>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</si>
  <si>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</si>
  <si>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</si>
  <si>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</si>
  <si>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</si>
  <si>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</si>
  <si>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</si>
  <si>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</si>
  <si>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</si>
  <si>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</si>
  <si>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</si>
  <si>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</si>
  <si>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</si>
  <si>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</si>
  <si>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</si>
  <si>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</si>
  <si>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</si>
  <si>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</si>
  <si>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</si>
  <si>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</si>
  <si>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</si>
  <si>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</si>
  <si>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</si>
  <si>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</si>
  <si>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</si>
  <si>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</si>
  <si>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</si>
  <si>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</si>
  <si>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</si>
  <si>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</si>
  <si>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</si>
  <si>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</si>
  <si>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</si>
  <si>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</si>
  <si>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</si>
  <si>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</si>
  <si>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</si>
  <si>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</si>
  <si>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</si>
  <si>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</si>
  <si>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</si>
  <si>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</si>
  <si>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</si>
  <si>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</si>
  <si>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</si>
  <si>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</si>
  <si>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</si>
  <si>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</si>
  <si>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</si>
  <si>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</si>
  <si>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</si>
  <si>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</si>
  <si>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</si>
  <si>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</si>
  <si>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</si>
  <si>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</si>
  <si>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</si>
  <si>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</si>
  <si>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</si>
  <si>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</si>
  <si>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</si>
  <si>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</si>
  <si>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</si>
  <si>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</si>
  <si>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</si>
  <si>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</si>
  <si>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</si>
  <si>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</si>
  <si>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</si>
  <si>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</si>
  <si>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</si>
  <si>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</si>
  <si>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</si>
  <si>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</si>
  <si>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</si>
  <si>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</si>
  <si>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</si>
  <si>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</si>
  <si>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</si>
  <si>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</si>
  <si>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</si>
  <si>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</si>
  <si>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</si>
  <si>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</si>
  <si>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</si>
  <si>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</si>
  <si>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</si>
  <si>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</si>
  <si>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</si>
  <si>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</si>
  <si>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</si>
  <si>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</si>
  <si>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</si>
  <si>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</si>
  <si>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</si>
  <si>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</si>
  <si>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</si>
  <si>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</si>
  <si>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</si>
  <si>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</si>
  <si>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</si>
  <si>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</si>
  <si>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</si>
  <si>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</si>
  <si>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</si>
  <si>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</si>
  <si>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</si>
  <si>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</si>
  <si>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</si>
  <si>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</si>
  <si>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</si>
  <si>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</si>
  <si>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</si>
  <si>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</si>
  <si>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</si>
  <si>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</si>
  <si>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</si>
  <si>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</si>
  <si>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</si>
  <si>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</si>
  <si>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</si>
  <si>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</si>
  <si>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</si>
  <si>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</si>
  <si>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</si>
  <si>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</si>
  <si>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</si>
  <si>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</si>
  <si>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</si>
  <si>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</si>
  <si>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</si>
  <si>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</si>
  <si>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</si>
  <si>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</si>
  <si>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</si>
  <si>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</si>
  <si>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</si>
  <si>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</si>
  <si>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</si>
  <si>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</si>
  <si>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</si>
  <si>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</si>
  <si>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</si>
  <si>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</si>
  <si>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</si>
  <si>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</si>
  <si>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</si>
  <si>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</si>
  <si>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</si>
  <si>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</si>
  <si>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</si>
  <si>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</si>
  <si>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</si>
  <si>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</si>
  <si>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</si>
  <si>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</si>
  <si>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</si>
  <si>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</si>
  <si>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</si>
  <si>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</si>
  <si>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</si>
  <si>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</si>
  <si>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</si>
  <si>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</si>
  <si>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</si>
  <si>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</si>
  <si>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</si>
  <si>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</si>
  <si>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</si>
  <si>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</si>
  <si>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</si>
  <si>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</si>
  <si>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</si>
  <si>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</si>
  <si>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</si>
  <si>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</si>
  <si>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</si>
  <si>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</si>
  <si>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</si>
  <si>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</si>
  <si>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</si>
  <si>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</si>
  <si>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</si>
  <si>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</si>
  <si>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</si>
  <si>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</si>
  <si>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</si>
  <si>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</si>
  <si>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</si>
  <si>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</si>
  <si>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</si>
  <si>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</si>
  <si>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</si>
  <si>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</si>
  <si>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</si>
  <si>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</si>
  <si>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</si>
  <si>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</si>
  <si>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</si>
  <si>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</si>
  <si>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</si>
  <si>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</si>
  <si>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</si>
  <si>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</si>
  <si>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</si>
  <si>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</si>
  <si>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</si>
  <si>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</si>
  <si>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</si>
  <si>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</si>
  <si>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</si>
  <si>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</si>
  <si>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</si>
  <si>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</si>
  <si>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</si>
  <si>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</si>
  <si>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</si>
  <si>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</si>
  <si>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</si>
  <si>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</si>
  <si>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</si>
  <si>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</si>
  <si>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</si>
  <si>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</si>
  <si>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</si>
  <si>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</si>
  <si>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</si>
  <si>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</si>
  <si>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</si>
  <si>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</si>
  <si>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</si>
  <si>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</si>
  <si>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</si>
  <si>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</si>
  <si>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</si>
  <si>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</si>
  <si>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</si>
  <si>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</si>
  <si>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</si>
  <si>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</si>
  <si>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</si>
  <si>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</si>
  <si>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</si>
  <si>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</si>
  <si>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</si>
  <si>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</si>
  <si>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</si>
  <si>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</si>
  <si>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</si>
  <si>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</si>
  <si>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</si>
  <si>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</si>
  <si>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</si>
  <si>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</si>
  <si>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</si>
  <si>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</si>
  <si>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</si>
  <si>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</si>
  <si>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</si>
  <si>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</si>
  <si>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</si>
  <si>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</si>
  <si>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</si>
  <si>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</si>
  <si>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</si>
  <si>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</si>
  <si>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</si>
  <si>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</si>
  <si>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</si>
  <si>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</si>
  <si>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</si>
  <si>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</si>
  <si>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</si>
  <si>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</si>
  <si>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</si>
  <si>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</si>
  <si>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</si>
  <si>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</si>
  <si>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</si>
  <si>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</si>
  <si>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</si>
  <si>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</si>
  <si>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</si>
  <si>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</si>
  <si>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</si>
  <si>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</si>
  <si>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</si>
  <si>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</si>
  <si>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</si>
  <si>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</si>
  <si>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</si>
  <si>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</si>
  <si>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</si>
  <si>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</si>
  <si>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</si>
  <si>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</si>
  <si>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</si>
  <si>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</si>
  <si>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</si>
  <si>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</si>
  <si>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</si>
  <si>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</si>
  <si>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</si>
  <si>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</si>
  <si>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</si>
  <si>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</si>
  <si>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</si>
  <si>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</si>
  <si>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</si>
  <si>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</si>
  <si>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</si>
  <si>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</si>
  <si>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</si>
  <si>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</si>
  <si>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</si>
  <si>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</si>
  <si>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</si>
  <si>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</si>
  <si>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</si>
  <si>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</si>
  <si>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</si>
  <si>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</si>
  <si>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</si>
  <si>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</si>
  <si>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</si>
  <si>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</si>
  <si>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</si>
  <si>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</si>
  <si>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</si>
  <si>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</si>
  <si>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</si>
  <si>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</si>
  <si>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</si>
  <si>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</si>
  <si>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</si>
  <si>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</si>
  <si>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</si>
  <si>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</si>
  <si>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</si>
  <si>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</si>
  <si>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</si>
  <si>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</si>
  <si>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</si>
  <si>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</si>
  <si>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</si>
  <si>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</si>
  <si>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</si>
  <si>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</si>
  <si>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</si>
  <si>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</si>
  <si>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</si>
  <si>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</si>
  <si>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</si>
  <si>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</si>
  <si>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</si>
  <si>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</si>
  <si>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</si>
  <si>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</si>
  <si>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</si>
  <si>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</si>
  <si>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</si>
  <si>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</si>
  <si>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</si>
  <si>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</si>
  <si>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</si>
  <si>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</si>
  <si>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</si>
  <si>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</si>
  <si>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</si>
  <si>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</si>
  <si>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</si>
  <si>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</si>
  <si>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</si>
  <si>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</si>
  <si>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</si>
  <si>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</si>
  <si>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</si>
  <si>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</si>
  <si>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</si>
  <si>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</si>
  <si>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</si>
  <si>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</si>
  <si>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</si>
  <si>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</si>
  <si>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</si>
  <si>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</si>
  <si>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</si>
  <si>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</si>
  <si>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</si>
  <si>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</si>
  <si>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</si>
  <si>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</si>
  <si>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</si>
  <si>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</si>
  <si>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</si>
  <si>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</si>
  <si>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</si>
  <si>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</si>
  <si>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</si>
  <si>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</si>
  <si>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</si>
  <si>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</si>
  <si>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</si>
  <si>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</si>
  <si>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</si>
  <si>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</si>
  <si>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</si>
  <si>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</si>
  <si>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</si>
  <si>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</si>
  <si>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</si>
  <si>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</si>
  <si>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</si>
  <si>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</si>
  <si>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</si>
  <si>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</si>
  <si>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</si>
  <si>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</si>
  <si>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</si>
  <si>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</si>
  <si>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</si>
  <si>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</si>
  <si>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</si>
  <si>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</si>
  <si>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</si>
  <si>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</si>
  <si>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</si>
  <si>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</si>
  <si>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</si>
  <si>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</si>
  <si>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</si>
  <si>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</si>
  <si>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</si>
  <si>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</si>
  <si>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</si>
  <si>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</si>
  <si>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</si>
  <si>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</si>
  <si>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</si>
  <si>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</si>
  <si>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</si>
  <si>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</si>
  <si>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</si>
  <si>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</si>
  <si>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</si>
  <si>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</si>
  <si>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</si>
  <si>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</si>
  <si>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</si>
  <si>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</si>
  <si>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</si>
  <si>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</si>
  <si>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</si>
  <si>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</si>
  <si>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</si>
  <si>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</si>
  <si>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</si>
  <si>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</si>
  <si>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</si>
  <si>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</si>
  <si>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</si>
  <si>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</si>
  <si>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</si>
  <si>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</si>
  <si>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</si>
  <si>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</si>
  <si>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</si>
  <si>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</si>
  <si>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</si>
  <si>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</si>
  <si>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</si>
  <si>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</si>
  <si>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</si>
  <si>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</si>
  <si>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</si>
  <si>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</si>
  <si>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</si>
  <si>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</si>
  <si>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</si>
  <si>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</si>
  <si>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</si>
  <si>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</si>
  <si>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</si>
  <si>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</si>
  <si>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</si>
  <si>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</si>
  <si>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</si>
  <si>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</si>
  <si>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</si>
  <si>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</si>
  <si>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</si>
  <si>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</si>
  <si>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</si>
  <si>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</si>
  <si>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</si>
  <si>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</si>
  <si>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</si>
  <si>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</si>
  <si>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</si>
  <si>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</si>
  <si>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</si>
  <si>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</si>
  <si>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</si>
  <si>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</si>
  <si>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</si>
  <si>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</si>
  <si>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</si>
  <si>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</si>
  <si>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</si>
  <si>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</si>
  <si>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</si>
  <si>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</si>
  <si>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</si>
  <si>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</si>
  <si>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</si>
  <si>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</si>
  <si>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</si>
  <si>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</si>
  <si>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</si>
  <si>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</si>
  <si>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</si>
  <si>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</si>
  <si>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</si>
  <si>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</si>
  <si>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</si>
  <si>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</si>
  <si>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</si>
  <si>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</si>
  <si>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</si>
  <si>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</si>
  <si>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</si>
  <si>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</si>
  <si>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</si>
  <si>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</si>
  <si>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</si>
  <si>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</si>
  <si>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</si>
  <si>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</si>
  <si>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</si>
  <si>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</si>
  <si>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</si>
  <si>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</si>
  <si>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</si>
  <si>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</si>
  <si>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</si>
  <si>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</si>
  <si>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</si>
  <si>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</si>
  <si>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</si>
  <si>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</si>
  <si>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</si>
  <si>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</si>
  <si>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</si>
  <si>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</si>
  <si>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</si>
  <si>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</si>
  <si>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</si>
  <si>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</si>
  <si>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</si>
  <si>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</si>
  <si>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</si>
  <si>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</si>
  <si>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</si>
  <si>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</si>
  <si>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</si>
  <si>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</si>
  <si>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</si>
  <si>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</si>
  <si>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</si>
  <si>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</si>
  <si>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</si>
  <si>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</si>
  <si>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</si>
  <si>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</si>
  <si>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</si>
  <si>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</si>
  <si>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</si>
  <si>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</si>
  <si>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</si>
  <si>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</si>
  <si>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</si>
  <si>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</si>
  <si>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</si>
  <si>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</si>
  <si>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</si>
  <si>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</si>
  <si>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</si>
  <si>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</si>
  <si>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</si>
  <si>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</si>
  <si>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</si>
  <si>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</si>
  <si>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</si>
  <si>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</si>
  <si>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</si>
  <si>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</si>
  <si>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</si>
  <si>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</si>
  <si>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</si>
  <si>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</si>
  <si>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</si>
  <si>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</si>
  <si>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</si>
  <si>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</si>
  <si>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</si>
  <si>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</si>
  <si>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</si>
  <si>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</si>
  <si>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</si>
  <si>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</si>
  <si>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</si>
  <si>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</si>
  <si>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</si>
  <si>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</si>
  <si>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</si>
  <si>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</si>
  <si>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</si>
  <si>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</si>
  <si>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</si>
  <si>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</si>
  <si>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</si>
  <si>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</si>
  <si>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</si>
  <si>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</si>
  <si>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</si>
  <si>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</si>
  <si>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</si>
  <si>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</si>
  <si>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</si>
  <si>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</si>
  <si>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</si>
  <si>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</si>
  <si>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</si>
  <si>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</si>
  <si>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</si>
  <si>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</si>
  <si>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</si>
  <si>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</si>
  <si>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</si>
  <si>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</si>
  <si>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</si>
  <si>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</si>
  <si>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</si>
  <si>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</si>
  <si>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</si>
  <si>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</si>
  <si>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</si>
  <si>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</si>
  <si>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</si>
  <si>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</si>
  <si>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</si>
  <si>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</si>
  <si>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</si>
  <si>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</si>
  <si>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</si>
  <si>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</si>
  <si>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</si>
  <si>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</si>
  <si>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</si>
  <si>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</si>
  <si>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</si>
  <si>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</si>
  <si>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</si>
  <si>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</si>
  <si>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</si>
  <si>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</si>
  <si>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</si>
  <si>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</si>
  <si>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</si>
  <si>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</si>
  <si>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</si>
  <si>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</si>
  <si>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</si>
  <si>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</si>
  <si>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</si>
  <si>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</si>
  <si>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</si>
  <si>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</si>
  <si>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</si>
  <si>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</si>
  <si>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</si>
  <si>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</si>
  <si>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</si>
  <si>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</si>
  <si>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</si>
  <si>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</si>
  <si>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</si>
  <si>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</si>
  <si>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</si>
  <si>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</si>
  <si>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</si>
  <si>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</si>
  <si>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</si>
  <si>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</si>
  <si>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</si>
  <si>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</si>
  <si>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</si>
  <si>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</si>
  <si>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</si>
  <si>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</si>
  <si>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</si>
  <si>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</si>
  <si>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</si>
  <si>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</si>
  <si>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</si>
  <si>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</si>
  <si>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</si>
  <si>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</si>
  <si>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</si>
  <si>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</si>
  <si>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</si>
  <si>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</si>
  <si>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</si>
  <si>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</si>
  <si>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</si>
  <si>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</si>
  <si>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</si>
  <si>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</si>
  <si>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</si>
  <si>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</si>
  <si>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</si>
  <si>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</si>
  <si>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</si>
  <si>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</si>
  <si>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</si>
  <si>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</si>
  <si>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</si>
  <si>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</si>
  <si>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</si>
  <si>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</si>
  <si>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</si>
  <si>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</si>
  <si>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</si>
  <si>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</si>
  <si>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</si>
  <si>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</si>
  <si>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</si>
  <si>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</si>
  <si>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</si>
  <si>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</si>
  <si>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</si>
  <si>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</si>
  <si>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</si>
  <si>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</si>
  <si>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</si>
  <si>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</si>
  <si>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</si>
  <si>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</si>
  <si>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</si>
  <si>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</si>
  <si>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</si>
  <si>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</si>
  <si>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</si>
  <si>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</si>
  <si>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</si>
  <si>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</si>
  <si>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</si>
  <si>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</si>
  <si>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</si>
  <si>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</si>
  <si>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</si>
  <si>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</si>
  <si>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</si>
  <si>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</si>
  <si>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</si>
  <si>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</si>
  <si>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</si>
  <si>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</si>
  <si>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</si>
  <si>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</si>
  <si>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</si>
  <si>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</si>
  <si>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</si>
  <si>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</si>
  <si>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</si>
  <si>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</si>
  <si>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</si>
  <si>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</si>
  <si>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</si>
  <si>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</si>
  <si>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</si>
  <si>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</si>
  <si>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</si>
  <si>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</si>
  <si>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</si>
  <si>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</si>
  <si>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</si>
  <si>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</si>
  <si>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</si>
  <si>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</si>
  <si>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</si>
  <si>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</si>
  <si>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</si>
  <si>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</si>
  <si>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</si>
  <si>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</si>
  <si>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</si>
  <si>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</si>
  <si>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</si>
  <si>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</si>
  <si>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</si>
  <si>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</si>
  <si>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</si>
  <si>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</si>
  <si>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</si>
  <si>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</si>
  <si>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</si>
  <si>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</si>
  <si>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</si>
  <si>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</si>
  <si>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</si>
  <si>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</si>
  <si>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</si>
  <si>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</si>
  <si>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</si>
  <si>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</si>
  <si>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</si>
  <si>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</si>
  <si>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</si>
  <si>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</si>
  <si>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</si>
  <si>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</si>
  <si>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</si>
  <si>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</si>
  <si>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</si>
  <si>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</si>
  <si>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</si>
  <si>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</si>
  <si>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</si>
  <si>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</si>
  <si>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</si>
  <si>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</si>
  <si>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</si>
  <si>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</si>
  <si>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</si>
  <si>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</si>
  <si>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</si>
  <si>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</si>
  <si>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</si>
  <si>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</si>
  <si>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</si>
  <si>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</si>
  <si>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</si>
  <si>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</si>
  <si>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</si>
  <si>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</si>
  <si>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</si>
  <si>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</si>
  <si>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</si>
  <si>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</si>
  <si>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</si>
  <si>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</si>
  <si>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</si>
  <si>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</si>
  <si>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</si>
  <si>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</si>
  <si>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</si>
  <si>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</si>
  <si>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</si>
  <si>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</si>
  <si>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</si>
  <si>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</si>
  <si>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</si>
  <si>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</si>
  <si>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</si>
  <si>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</si>
  <si>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</si>
  <si>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</si>
  <si>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</si>
  <si>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</si>
  <si>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</si>
  <si>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</si>
  <si>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</si>
  <si>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</si>
  <si>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</si>
  <si>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</si>
  <si>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</si>
  <si>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</si>
  <si>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</si>
  <si>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</si>
  <si>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</si>
  <si>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</si>
  <si>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</si>
  <si>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</si>
  <si>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</si>
  <si>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</si>
  <si>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</si>
  <si>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</si>
  <si>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</si>
  <si>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</si>
  <si>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</si>
  <si>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</si>
  <si>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</si>
  <si>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</si>
  <si>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</si>
  <si>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</si>
  <si>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</si>
  <si>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</si>
  <si>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</si>
  <si>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</si>
  <si>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</si>
  <si>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</si>
  <si>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</si>
  <si>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</si>
  <si>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</si>
  <si>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</si>
  <si>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</si>
  <si>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</si>
  <si>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</si>
  <si>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</si>
  <si>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</si>
  <si>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</si>
  <si>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</si>
  <si>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</si>
  <si>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</si>
  <si>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</si>
  <si>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</si>
  <si>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</si>
  <si>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</si>
  <si>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</si>
  <si>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</si>
  <si>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</si>
  <si>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</si>
  <si>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</si>
  <si>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</si>
  <si>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</si>
  <si>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</si>
  <si>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</si>
  <si>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</si>
  <si>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</si>
  <si>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</si>
  <si>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</si>
  <si>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</si>
  <si>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</si>
  <si>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</si>
  <si>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</si>
  <si>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</si>
  <si>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</si>
  <si>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</si>
  <si>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</si>
  <si>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</si>
  <si>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</si>
  <si>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</si>
  <si>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</si>
  <si>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</si>
  <si>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</si>
  <si>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</si>
  <si>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</si>
  <si>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</si>
  <si>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</si>
  <si>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</si>
  <si>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</si>
  <si>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</si>
  <si>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</si>
  <si>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</si>
  <si>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</si>
  <si>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</si>
  <si>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</si>
  <si>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</si>
  <si>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</si>
  <si>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</si>
  <si>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</si>
  <si>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</si>
  <si>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</si>
  <si>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</si>
  <si>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</si>
  <si>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</si>
  <si>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</si>
  <si>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</si>
  <si>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</si>
  <si>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</si>
  <si>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</si>
  <si>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</si>
  <si>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</si>
  <si>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</si>
  <si>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</si>
  <si>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</si>
  <si>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</si>
  <si>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</si>
  <si>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</si>
  <si>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</si>
  <si>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</si>
  <si>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</si>
  <si>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</si>
  <si>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</si>
  <si>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</si>
  <si>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</si>
  <si>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</si>
  <si>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</si>
  <si>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</si>
  <si>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</si>
  <si>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</si>
  <si>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</si>
  <si>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</si>
  <si>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</si>
  <si>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</si>
  <si>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</si>
  <si>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</si>
  <si>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</si>
  <si>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</si>
  <si>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</si>
  <si>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</si>
  <si>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</si>
  <si>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</si>
  <si>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</si>
  <si>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</si>
  <si>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</si>
  <si>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</si>
  <si>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</si>
  <si>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</si>
  <si>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</si>
  <si>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</si>
  <si>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</si>
  <si>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</si>
  <si>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</si>
  <si>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</si>
  <si>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</si>
  <si>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</si>
  <si>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</si>
  <si>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</si>
  <si>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</si>
  <si>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</si>
  <si>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</si>
  <si>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</si>
  <si>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</si>
  <si>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</si>
  <si>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</si>
  <si>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</si>
  <si>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</si>
  <si>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</si>
  <si>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</si>
  <si>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</si>
  <si>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</si>
  <si>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</si>
  <si>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</si>
  <si>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</si>
  <si>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</si>
  <si>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</si>
  <si>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</si>
  <si>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</si>
  <si>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</si>
  <si>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</si>
  <si>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</si>
  <si>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</si>
  <si>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</si>
  <si>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</si>
  <si>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</si>
  <si>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</si>
  <si>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</si>
  <si>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</si>
  <si>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</si>
  <si>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</si>
  <si>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</si>
  <si>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</si>
  <si>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</si>
  <si>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</si>
  <si>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</si>
  <si>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</si>
  <si>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</si>
  <si>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</si>
  <si>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</si>
  <si>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</si>
  <si>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</si>
  <si>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</si>
  <si>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</si>
  <si>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</si>
  <si>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</si>
  <si>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</si>
  <si>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</si>
  <si>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</si>
  <si>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</si>
  <si>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</si>
  <si>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</si>
  <si>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</si>
  <si>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</si>
  <si>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</si>
  <si>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</si>
  <si>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</si>
  <si>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</si>
  <si>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</si>
  <si>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</si>
  <si>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</si>
  <si>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</si>
  <si>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</si>
  <si>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</si>
  <si>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</si>
  <si>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</si>
  <si>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</si>
  <si>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</si>
  <si>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</si>
  <si>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</si>
  <si>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</si>
  <si>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</si>
  <si>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</si>
  <si>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</si>
  <si>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</si>
  <si>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</si>
  <si>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</si>
  <si>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</si>
  <si>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</si>
  <si>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</si>
  <si>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</si>
  <si>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</si>
  <si>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</si>
  <si>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</si>
  <si>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</si>
  <si>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</si>
  <si>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</si>
  <si>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</si>
  <si>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</si>
  <si>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</si>
  <si>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</si>
  <si>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</si>
  <si>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</si>
  <si>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</si>
  <si>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</si>
  <si>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</si>
  <si>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</si>
  <si>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</si>
  <si>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</si>
  <si>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</si>
  <si>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</si>
  <si>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</si>
  <si>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</si>
  <si>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</si>
  <si>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</si>
  <si>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</si>
  <si>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</si>
  <si>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</si>
  <si>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</si>
  <si>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</si>
  <si>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</si>
  <si>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</si>
  <si>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</si>
  <si>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</si>
  <si>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</si>
  <si>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</si>
  <si>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</si>
  <si>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</si>
  <si>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</si>
  <si>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</si>
  <si>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</si>
  <si>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</si>
  <si>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</si>
  <si>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</si>
  <si>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</si>
  <si>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</si>
  <si>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</si>
  <si>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</si>
  <si>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</si>
  <si>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</si>
  <si>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</si>
  <si>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</si>
  <si>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</si>
  <si>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</si>
  <si>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</si>
  <si>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</si>
  <si>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</si>
  <si>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</si>
  <si>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</si>
  <si>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</si>
  <si>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</si>
  <si>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</si>
  <si>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</si>
  <si>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</si>
  <si>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</si>
  <si>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</si>
  <si>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</si>
  <si>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</si>
  <si>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</si>
  <si>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</si>
  <si>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</si>
  <si>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</si>
  <si>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</si>
  <si>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</si>
  <si>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</si>
  <si>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</si>
  <si>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</si>
  <si>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</si>
  <si>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</si>
  <si>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</si>
  <si>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</si>
  <si>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</si>
  <si>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</si>
  <si>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</si>
  <si>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</si>
  <si>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</si>
  <si>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</si>
  <si>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</si>
  <si>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</si>
  <si>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</si>
  <si>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</si>
  <si>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</si>
  <si>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</si>
  <si>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</si>
  <si>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</si>
  <si>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</si>
  <si>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</si>
  <si>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</si>
  <si>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</si>
  <si>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</si>
  <si>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</si>
  <si>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</si>
  <si>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</si>
  <si>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</si>
  <si>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</si>
  <si>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</si>
  <si>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</si>
  <si>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</si>
  <si>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</si>
  <si>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</si>
  <si>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</si>
  <si>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</si>
  <si>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</si>
  <si>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</si>
  <si>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</si>
  <si>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</si>
  <si>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</si>
  <si>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</si>
  <si>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</si>
  <si>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</si>
  <si>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</si>
  <si>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</si>
  <si>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</si>
  <si>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</si>
  <si>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</si>
  <si>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</si>
  <si>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</si>
  <si>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</si>
  <si>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</si>
  <si>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</si>
  <si>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</si>
  <si>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</si>
  <si>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</si>
  <si>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</si>
  <si>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</si>
  <si>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</si>
  <si>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</si>
  <si>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</si>
  <si>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</si>
  <si>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</si>
  <si>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</si>
  <si>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</si>
  <si>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</si>
  <si>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</si>
  <si>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</si>
  <si>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</si>
  <si>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</si>
  <si>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</si>
  <si>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</si>
  <si>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</si>
  <si>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</si>
  <si>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</si>
  <si>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</si>
  <si>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</si>
  <si>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</si>
  <si>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</si>
  <si>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</si>
  <si>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</si>
  <si>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</si>
  <si>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</si>
  <si>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</si>
  <si>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</si>
  <si>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</si>
  <si>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</si>
  <si>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</si>
  <si>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</si>
  <si>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</si>
  <si>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</si>
  <si>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</si>
  <si>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</si>
  <si>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</si>
  <si>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</si>
  <si>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</si>
  <si>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</si>
  <si>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</si>
  <si>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</si>
  <si>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</si>
  <si>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</si>
  <si>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</si>
  <si>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</si>
  <si>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</si>
  <si>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</si>
  <si>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</si>
  <si>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</si>
  <si>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</si>
  <si>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</si>
  <si>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</si>
  <si>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</si>
  <si>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</si>
  <si>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</si>
  <si>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</si>
  <si>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</si>
  <si>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</si>
  <si>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</si>
  <si>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</si>
  <si>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</si>
  <si>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</si>
  <si>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</si>
  <si>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</si>
  <si>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</si>
  <si>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</si>
  <si>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</si>
  <si>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</si>
  <si>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</si>
  <si>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</si>
  <si>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</si>
  <si>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</si>
  <si>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</si>
  <si>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</si>
  <si>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</si>
  <si>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</si>
  <si>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</si>
  <si>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</si>
  <si>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</si>
  <si>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</si>
  <si>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</si>
  <si>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</si>
  <si>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</si>
  <si>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</si>
  <si>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</si>
  <si>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</si>
  <si>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</si>
  <si>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</si>
  <si>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</si>
  <si>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</si>
  <si>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</si>
  <si>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</si>
  <si>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</si>
  <si>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</si>
  <si>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</si>
  <si>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</si>
  <si>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</si>
  <si>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</si>
  <si>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</si>
  <si>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</si>
  <si>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</si>
  <si>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</si>
  <si>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</si>
  <si>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</si>
  <si>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</si>
  <si>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</si>
  <si>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</si>
  <si>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</si>
  <si>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</si>
  <si>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</si>
  <si>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</si>
  <si>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</si>
  <si>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</si>
  <si>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</si>
  <si>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</si>
  <si>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</si>
  <si>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</si>
  <si>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</si>
  <si>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</si>
  <si>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</si>
  <si>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</si>
  <si>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</si>
  <si>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</si>
  <si>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</si>
  <si>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</si>
  <si>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</si>
  <si>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</si>
  <si>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</si>
  <si>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</si>
  <si>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</si>
  <si>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</si>
  <si>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</si>
  <si>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</si>
  <si>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</si>
  <si>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</si>
  <si>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</si>
  <si>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</si>
  <si>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</si>
  <si>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</si>
  <si>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</si>
  <si>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</si>
  <si>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</si>
  <si>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</si>
  <si>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</si>
  <si>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</si>
  <si>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</si>
  <si>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</si>
  <si>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</si>
  <si>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</si>
  <si>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</si>
  <si>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</si>
  <si>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</si>
  <si>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</si>
  <si>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</si>
  <si>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</si>
  <si>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</si>
  <si>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</si>
  <si>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</si>
  <si>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</si>
  <si>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</si>
  <si>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</si>
  <si>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</si>
  <si>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</si>
  <si>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</si>
  <si>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</si>
  <si>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</si>
  <si>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</si>
  <si>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</si>
  <si>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</si>
  <si>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</si>
  <si>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</si>
  <si>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</si>
  <si>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</si>
  <si>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</si>
  <si>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</si>
  <si>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</si>
  <si>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</si>
  <si>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</si>
  <si>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</si>
  <si>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</si>
  <si>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</si>
  <si>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</si>
  <si>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</si>
  <si>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</si>
  <si>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</si>
  <si>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</si>
  <si>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</si>
  <si>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</si>
  <si>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</si>
  <si>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</si>
  <si>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</si>
  <si>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</si>
  <si>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</si>
  <si>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</si>
  <si>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</si>
  <si>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</si>
  <si>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</si>
  <si>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</si>
  <si>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</si>
  <si>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</si>
  <si>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</si>
  <si>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</si>
  <si>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</si>
  <si>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</si>
  <si>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</si>
  <si>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</si>
  <si>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</si>
  <si>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</si>
  <si>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</si>
  <si>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</si>
  <si>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</si>
  <si>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</si>
  <si>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</si>
  <si>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</si>
  <si>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</si>
  <si>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</si>
  <si>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</si>
  <si>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</si>
  <si>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</si>
  <si>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</si>
  <si>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</si>
  <si>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</si>
  <si>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</si>
  <si>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</si>
  <si>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</si>
  <si>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</si>
  <si>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</si>
  <si>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</si>
  <si>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</si>
  <si>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</si>
  <si>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</si>
  <si>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</si>
  <si>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</si>
  <si>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</si>
  <si>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</si>
  <si>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</si>
  <si>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</si>
  <si>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</si>
  <si>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</si>
  <si>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</si>
  <si>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</si>
  <si>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</si>
  <si>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</si>
  <si>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</si>
  <si>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</si>
  <si>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</si>
  <si>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</si>
  <si>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</si>
  <si>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</si>
  <si>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</si>
  <si>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</si>
  <si>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</si>
  <si>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</si>
  <si>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</si>
  <si>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</si>
  <si>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</si>
  <si>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</si>
  <si>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</si>
  <si>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</si>
  <si>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</si>
  <si>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</si>
  <si>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</si>
  <si>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</si>
  <si>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</si>
  <si>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</si>
  <si>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</si>
  <si>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</si>
  <si>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</si>
  <si>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</si>
  <si>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</si>
  <si>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</si>
  <si>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</si>
  <si>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</si>
  <si>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</si>
  <si>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</si>
  <si>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</si>
  <si>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</si>
  <si>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</si>
  <si>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</si>
  <si>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</si>
  <si>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</si>
  <si>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</si>
  <si>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</si>
  <si>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</si>
  <si>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</si>
  <si>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</si>
  <si>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</si>
  <si>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</si>
  <si>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</si>
  <si>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</si>
  <si>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</si>
  <si>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</si>
  <si>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</si>
  <si>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</si>
  <si>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</si>
  <si>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</si>
  <si>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</si>
  <si>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</si>
  <si>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</si>
  <si>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</si>
  <si>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</si>
  <si>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</si>
  <si>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</si>
  <si>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</si>
  <si>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</si>
  <si>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</si>
  <si>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</si>
  <si>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</si>
  <si>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</si>
  <si>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</si>
  <si>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</si>
  <si>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</si>
  <si>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</si>
  <si>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</si>
  <si>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</si>
  <si>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</si>
  <si>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</si>
  <si>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</si>
  <si>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</si>
  <si>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</si>
  <si>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</si>
  <si>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</si>
  <si>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</si>
  <si>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</si>
  <si>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</si>
  <si>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</si>
  <si>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</si>
  <si>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</si>
  <si>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</si>
  <si>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</si>
  <si>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</si>
  <si>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</si>
  <si>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</si>
  <si>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</si>
  <si>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</si>
  <si>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</si>
  <si>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</si>
  <si>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</si>
  <si>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</si>
  <si>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</si>
  <si>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</si>
  <si>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</si>
  <si>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</si>
  <si>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</si>
  <si>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</si>
  <si>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</si>
  <si>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</si>
  <si>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</si>
  <si>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</si>
  <si>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</si>
  <si>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</si>
  <si>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</si>
  <si>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</si>
  <si>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</si>
  <si>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</si>
  <si>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</si>
  <si>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</si>
  <si>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</si>
  <si>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</si>
  <si>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</si>
  <si>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</si>
  <si>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</si>
  <si>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</si>
  <si>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</si>
  <si>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</si>
  <si>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</si>
  <si>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</si>
  <si>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</si>
  <si>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</si>
  <si>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</si>
  <si>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</si>
  <si>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</si>
  <si>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</si>
  <si>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</si>
  <si>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</si>
  <si>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</si>
  <si>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</si>
  <si>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</si>
  <si>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</si>
  <si>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</si>
  <si>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</si>
  <si>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</si>
  <si>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</si>
  <si>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</si>
  <si>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</si>
  <si>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</si>
  <si>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</si>
  <si>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</si>
  <si>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</si>
  <si>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</si>
  <si>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</si>
  <si>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</si>
  <si>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</si>
  <si>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</si>
  <si>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</si>
  <si>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</si>
  <si>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</si>
  <si>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</si>
  <si>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</si>
  <si>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</si>
  <si>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</si>
  <si>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</si>
  <si>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</si>
  <si>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</si>
  <si>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</si>
  <si>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</si>
  <si>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</si>
  <si>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</si>
  <si>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</si>
  <si>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</si>
  <si>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</si>
  <si>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</si>
  <si>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</si>
  <si>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</si>
  <si>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</si>
  <si>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</si>
  <si>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</si>
  <si>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</si>
  <si>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</si>
  <si>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</si>
  <si>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</si>
  <si>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</si>
  <si>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</si>
  <si>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</si>
  <si>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</si>
  <si>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</si>
  <si>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</si>
  <si>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</si>
  <si>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</si>
  <si>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</si>
  <si>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</si>
  <si>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</si>
  <si>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</si>
  <si>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</si>
  <si>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</si>
  <si>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</si>
  <si>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</si>
  <si>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</si>
  <si>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</si>
  <si>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</si>
  <si>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</si>
  <si>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</si>
  <si>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</si>
  <si>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</si>
  <si>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</si>
  <si>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</si>
  <si>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</si>
  <si>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</si>
  <si>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</si>
  <si>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</si>
  <si>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</si>
  <si>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</si>
  <si>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</si>
  <si>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</si>
  <si>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</si>
  <si>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</si>
  <si>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</si>
  <si>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</si>
  <si>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</si>
  <si>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</si>
  <si>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</si>
  <si>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</si>
  <si>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</si>
  <si>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</si>
  <si>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</si>
  <si>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</si>
  <si>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</si>
  <si>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</si>
  <si>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</si>
  <si>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</si>
  <si>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</si>
  <si>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</si>
  <si>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</si>
  <si>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</si>
  <si>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</si>
  <si>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</si>
  <si>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</si>
  <si>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</si>
  <si>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</si>
  <si>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</si>
  <si>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</si>
  <si>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</si>
  <si>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</si>
  <si>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</si>
  <si>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</si>
  <si>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</si>
  <si>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</si>
  <si>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</si>
  <si>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</si>
  <si>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</si>
  <si>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</si>
  <si>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</si>
  <si>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</si>
  <si>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</si>
  <si>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</si>
  <si>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</si>
  <si>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</si>
  <si>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</si>
  <si>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</si>
  <si>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</si>
  <si>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</si>
  <si>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</si>
  <si>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</si>
  <si>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</si>
  <si>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</si>
  <si>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</si>
  <si>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</si>
  <si>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</si>
  <si>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</si>
  <si>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</si>
  <si>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</si>
  <si>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</si>
  <si>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</si>
  <si>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</si>
  <si>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</si>
  <si>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</si>
  <si>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</si>
  <si>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</si>
  <si>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</si>
  <si>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</si>
  <si>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</si>
  <si>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</si>
  <si>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</si>
  <si>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</si>
  <si>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</si>
  <si>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</si>
  <si>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</si>
  <si>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</si>
  <si>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</si>
  <si>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</si>
  <si>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</si>
  <si>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</si>
  <si>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</si>
  <si>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</si>
  <si>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</si>
  <si>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</si>
  <si>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</si>
  <si>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</si>
  <si>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</si>
  <si>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</si>
  <si>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</si>
  <si>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</si>
  <si>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</si>
  <si>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</si>
  <si>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</si>
  <si>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</si>
  <si>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</si>
  <si>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</si>
  <si>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</si>
  <si>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</si>
  <si>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</si>
  <si>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</si>
  <si>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</si>
  <si>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</si>
  <si>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</si>
  <si>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</si>
  <si>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</si>
  <si>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</si>
  <si>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</si>
  <si>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</si>
  <si>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</si>
  <si>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</si>
  <si>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</si>
  <si>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</si>
  <si>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</si>
  <si>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</si>
  <si>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</si>
  <si>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</si>
  <si>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</si>
  <si>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</si>
  <si>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</si>
  <si>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</si>
  <si>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</si>
  <si>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</si>
  <si>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</si>
  <si>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</si>
  <si>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</si>
  <si>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</si>
  <si>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</si>
  <si>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</si>
  <si>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</si>
  <si>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</si>
  <si>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</si>
  <si>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</si>
  <si>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</si>
  <si>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</si>
  <si>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</si>
  <si>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</si>
  <si>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</si>
  <si>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</si>
  <si>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</si>
  <si>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</si>
  <si>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</si>
  <si>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</si>
  <si>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</si>
  <si>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</si>
  <si>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</si>
  <si>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</si>
  <si>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</si>
  <si>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</si>
  <si>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</si>
  <si>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</si>
  <si>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</si>
  <si>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</si>
  <si>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</si>
  <si>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</si>
  <si>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</si>
  <si>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</si>
  <si>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</si>
  <si>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</si>
  <si>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</si>
  <si>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</si>
  <si>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</si>
  <si>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</si>
  <si>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</si>
  <si>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</si>
  <si>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</si>
  <si>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</si>
  <si>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</si>
  <si>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</si>
  <si>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</si>
  <si>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</si>
  <si>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</si>
  <si>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</si>
  <si>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</si>
  <si>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</si>
  <si>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</si>
  <si>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</si>
  <si>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</si>
  <si>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</si>
  <si>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</si>
  <si>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</si>
  <si>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</si>
  <si>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</si>
  <si>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</si>
  <si>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</si>
  <si>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</si>
  <si>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</si>
  <si>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</si>
  <si>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</si>
  <si>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</si>
  <si>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</si>
  <si>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</si>
  <si>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</si>
  <si>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</si>
  <si>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</si>
  <si>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</si>
  <si>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</si>
  <si>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</si>
  <si>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</si>
  <si>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</si>
  <si>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</si>
  <si>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</si>
  <si>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</si>
  <si>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</si>
  <si>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</si>
  <si>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</si>
  <si>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</si>
  <si>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</si>
  <si>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</si>
  <si>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</si>
  <si>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</si>
  <si>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</si>
  <si>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</si>
  <si>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</si>
  <si>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</si>
  <si>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</si>
  <si>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</si>
  <si>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</si>
  <si>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</si>
  <si>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</si>
  <si>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</si>
  <si>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</si>
  <si>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</si>
  <si>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</si>
  <si>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</si>
  <si>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</si>
  <si>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</si>
  <si>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</si>
  <si>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</si>
  <si>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房地产抵押价值</t>
  </si>
  <si>
    <t>抵押</t>
  </si>
  <si>
    <t>北京市</t>
  </si>
  <si>
    <t>企业</t>
  </si>
  <si>
    <r>
      <rPr>
        <sz val="10"/>
        <color theme="9" tint="-0.249977111117893"/>
        <rFont val="宋体"/>
        <family val="3"/>
        <charset val="134"/>
      </rPr>
      <t>海淀区上地信息路</t>
    </r>
    <r>
      <rPr>
        <sz val="10"/>
        <color theme="9" tint="-0.249977111117893"/>
        <rFont val="Arial"/>
        <family val="2"/>
      </rPr>
      <t>1</t>
    </r>
    <r>
      <rPr>
        <sz val="10"/>
        <color theme="9" tint="-0.249977111117893"/>
        <rFont val="宋体"/>
        <family val="3"/>
        <charset val="134"/>
      </rPr>
      <t>号（北京实创高科技发展总公司</t>
    </r>
    <r>
      <rPr>
        <sz val="10"/>
        <color theme="9" tint="-0.249977111117893"/>
        <rFont val="Arial"/>
        <family val="2"/>
      </rPr>
      <t>1-1</t>
    </r>
    <r>
      <rPr>
        <sz val="10"/>
        <color theme="9" tint="-0.249977111117893"/>
        <rFont val="宋体"/>
        <family val="3"/>
        <charset val="134"/>
      </rPr>
      <t>号）</t>
    </r>
    <r>
      <rPr>
        <sz val="10"/>
        <color theme="9" tint="-0.249977111117893"/>
        <rFont val="Arial"/>
        <family val="2"/>
      </rPr>
      <t>01-1</t>
    </r>
    <r>
      <rPr>
        <sz val="10"/>
        <color theme="9" tint="-0.249977111117893"/>
        <rFont val="宋体"/>
        <family val="3"/>
        <charset val="134"/>
      </rPr>
      <t>幢</t>
    </r>
    <r>
      <rPr>
        <sz val="10"/>
        <color theme="9" tint="-0.249977111117893"/>
        <rFont val="Arial"/>
        <family val="2"/>
      </rPr>
      <t>4</t>
    </r>
    <r>
      <rPr>
        <sz val="10"/>
        <color theme="9" tint="-0.249977111117893"/>
        <rFont val="宋体"/>
        <family val="3"/>
        <charset val="134"/>
      </rPr>
      <t>层A栋4层</t>
    </r>
    <phoneticPr fontId="6" type="noConversion"/>
  </si>
  <si>
    <t>是</t>
  </si>
  <si>
    <t>地上</t>
  </si>
  <si>
    <t>工业项目</t>
  </si>
  <si>
    <t>现房</t>
  </si>
  <si>
    <t>Ⅴ-上地核心</t>
  </si>
  <si>
    <t>成新度</t>
  </si>
  <si>
    <t>产权证</t>
    <phoneticPr fontId="3" type="noConversion"/>
  </si>
  <si>
    <t>钢混</t>
  </si>
  <si>
    <t>钢混</t>
    <phoneticPr fontId="3" type="noConversion"/>
  </si>
  <si>
    <t>建成年代</t>
    <phoneticPr fontId="3" type="noConversion"/>
  </si>
  <si>
    <t>直线</t>
    <phoneticPr fontId="3" type="noConversion"/>
  </si>
  <si>
    <t>观察</t>
    <phoneticPr fontId="3" type="noConversion"/>
  </si>
  <si>
    <t>综合</t>
    <phoneticPr fontId="3" type="noConversion"/>
  </si>
  <si>
    <t>上地街道</t>
    <phoneticPr fontId="3" type="noConversion"/>
  </si>
  <si>
    <t>较好</t>
  </si>
  <si>
    <t>一般</t>
  </si>
  <si>
    <t>好</t>
  </si>
  <si>
    <t>郑燚</t>
  </si>
  <si>
    <t>吴薇</t>
  </si>
  <si>
    <t>宗地容积率</t>
  </si>
  <si>
    <t>未包含在土地购买价格中</t>
  </si>
  <si>
    <t>已包含在土地取得成本中</t>
  </si>
  <si>
    <t>全部缴纳</t>
  </si>
  <si>
    <t>厂房</t>
  </si>
  <si>
    <t>厂房</t>
    <phoneticPr fontId="7" type="noConversion"/>
  </si>
  <si>
    <t>押一</t>
  </si>
  <si>
    <t>非生产用房</t>
  </si>
  <si>
    <t>否</t>
  </si>
  <si>
    <t>单套模式</t>
  </si>
  <si>
    <t>售价</t>
  </si>
  <si>
    <t>收益法 (元)</t>
  </si>
  <si>
    <t>群英科技园</t>
    <phoneticPr fontId="134" type="noConversion"/>
  </si>
  <si>
    <t>工业立项</t>
    <phoneticPr fontId="134" type="noConversion"/>
  </si>
  <si>
    <t>中层</t>
    <phoneticPr fontId="134" type="noConversion"/>
  </si>
  <si>
    <t>面积</t>
    <phoneticPr fontId="134" type="noConversion"/>
  </si>
  <si>
    <t>单价</t>
    <phoneticPr fontId="134" type="noConversion"/>
  </si>
  <si>
    <t>高层</t>
    <phoneticPr fontId="134" type="noConversion"/>
  </si>
  <si>
    <t>10-20（含）</t>
    <phoneticPr fontId="134" type="noConversion"/>
  </si>
  <si>
    <t>剩余土地使用年限</t>
    <phoneticPr fontId="134" type="noConversion"/>
  </si>
  <si>
    <t>2024-1-0798-F01</t>
    <phoneticPr fontId="134" type="noConversion"/>
  </si>
  <si>
    <t>正常</t>
  </si>
  <si>
    <t>挂牌价</t>
  </si>
  <si>
    <t>挂牌价</t>
    <phoneticPr fontId="31" type="noConversion"/>
  </si>
  <si>
    <t>盈创动力大厦</t>
    <phoneticPr fontId="134" type="noConversion"/>
  </si>
  <si>
    <t>工业</t>
    <phoneticPr fontId="31" type="noConversion"/>
  </si>
  <si>
    <r>
      <t>20-30</t>
    </r>
    <r>
      <rPr>
        <sz val="11"/>
        <color indexed="8"/>
        <rFont val="宋体"/>
        <family val="3"/>
        <charset val="134"/>
      </rPr>
      <t>（含）</t>
    </r>
    <phoneticPr fontId="31" type="noConversion"/>
  </si>
  <si>
    <t>国际科技创业园</t>
    <phoneticPr fontId="3" type="noConversion"/>
  </si>
  <si>
    <r>
      <t>10-20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</si>
  <si>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</si>
  <si>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</si>
  <si>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</si>
  <si>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</si>
  <si>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</si>
  <si>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钢混</t>
    <phoneticPr fontId="31" type="noConversion"/>
  </si>
  <si>
    <t>工业（办公）</t>
  </si>
  <si>
    <t>工业（办公）</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</si>
  <si>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</si>
  <si>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</si>
  <si>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</si>
  <si>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</si>
  <si>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</si>
  <si>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低楼层</t>
    <phoneticPr fontId="31" type="noConversion"/>
  </si>
  <si>
    <t>中楼层</t>
    <phoneticPr fontId="31" type="noConversion"/>
  </si>
  <si>
    <t>高层建筑</t>
    <phoneticPr fontId="31" type="noConversion"/>
  </si>
  <si>
    <t>专业</t>
    <phoneticPr fontId="31" type="noConversion"/>
  </si>
  <si>
    <t>普通</t>
    <phoneticPr fontId="31" type="noConversion"/>
  </si>
  <si>
    <t>超高层高</t>
    <phoneticPr fontId="31" type="noConversion"/>
  </si>
  <si>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</si>
  <si>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</si>
  <si>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</si>
  <si>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</si>
  <si>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</si>
  <si>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比较法-办公</t>
  </si>
  <si>
    <t>收益比率</t>
  </si>
  <si>
    <t>七通</t>
  </si>
  <si>
    <t>中楼层</t>
  </si>
  <si>
    <t>专业</t>
  </si>
  <si>
    <t>高楼层</t>
  </si>
  <si>
    <t>普通装修</t>
  </si>
  <si>
    <r>
      <rPr>
        <sz val="10"/>
        <color indexed="8"/>
        <rFont val="宋体"/>
        <family val="3"/>
        <charset val="134"/>
      </rPr>
      <t>询价报最高</t>
    </r>
    <r>
      <rPr>
        <sz val="10"/>
        <color indexed="8"/>
        <rFont val="Arial"/>
        <family val="2"/>
      </rPr>
      <t>21000</t>
    </r>
    <phoneticPr fontId="8" type="noConversion"/>
  </si>
  <si>
    <t>工业立项办公楼租金3.5-4.5</t>
    <phoneticPr fontId="134" type="noConversion"/>
  </si>
  <si>
    <r>
      <t>商住楼租金2</t>
    </r>
    <r>
      <rPr>
        <sz val="11"/>
        <color theme="1"/>
        <rFont val="宋体"/>
        <family val="3"/>
        <charset val="134"/>
        <scheme val="minor"/>
      </rPr>
      <t>-3.5</t>
    </r>
    <phoneticPr fontId="134" type="noConversion"/>
  </si>
  <si>
    <t>金隅嘉华大厦</t>
    <phoneticPr fontId="134" type="noConversion"/>
  </si>
  <si>
    <t>办公</t>
    <phoneticPr fontId="134" type="noConversion"/>
  </si>
  <si>
    <t>办公</t>
    <phoneticPr fontId="31" type="noConversion"/>
  </si>
  <si>
    <r>
      <t>商住楼房天下报价1</t>
    </r>
    <r>
      <rPr>
        <sz val="11"/>
        <color theme="1"/>
        <rFont val="宋体"/>
        <family val="3"/>
        <charset val="134"/>
        <scheme val="minor"/>
      </rPr>
      <t>5000-18000</t>
    </r>
    <phoneticPr fontId="134" type="noConversion"/>
  </si>
  <si>
    <r>
      <t>链家2</t>
    </r>
    <r>
      <rPr>
        <sz val="11"/>
        <color theme="1"/>
        <rFont val="宋体"/>
        <family val="3"/>
        <charset val="134"/>
        <scheme val="minor"/>
      </rPr>
      <t>1000-22000</t>
    </r>
    <phoneticPr fontId="134" type="noConversion"/>
  </si>
  <si>
    <t>工业立项办公无在售</t>
    <phoneticPr fontId="134" type="noConversion"/>
  </si>
  <si>
    <t>北京国基科技股份有限公司</t>
    <phoneticPr fontId="6" type="noConversion"/>
  </si>
  <si>
    <t>厂房</t>
    <phoneticPr fontId="6" type="noConversion"/>
  </si>
  <si>
    <t>浦发</t>
    <phoneticPr fontId="6" type="noConversion"/>
  </si>
  <si>
    <t>与级别开发程度不一致</t>
  </si>
  <si>
    <t>通路</t>
  </si>
  <si>
    <t>通电</t>
  </si>
  <si>
    <t>通讯</t>
  </si>
  <si>
    <t>通上水</t>
  </si>
  <si>
    <t>通下水</t>
  </si>
  <si>
    <t>通热</t>
  </si>
  <si>
    <t>平整</t>
  </si>
  <si>
    <r>
      <rPr>
        <sz val="10"/>
        <color indexed="8"/>
        <rFont val="宋体"/>
        <family val="3"/>
        <charset val="134"/>
      </rPr>
      <t>想要到</t>
    </r>
    <r>
      <rPr>
        <sz val="10"/>
        <color indexed="8"/>
        <rFont val="Arial"/>
        <family val="2"/>
      </rPr>
      <t>21000</t>
    </r>
    <phoneticPr fontId="8" type="noConversion"/>
  </si>
  <si>
    <t>标准层高</t>
  </si>
  <si>
    <t>楼面单价</t>
  </si>
  <si>
    <t>上地国际创业园</t>
    <phoneticPr fontId="3" type="noConversion"/>
  </si>
  <si>
    <t>上地国际创业园西区共4栋楼，估价对象所在A栋与金远见大厦属于工业立项办公楼，1号楼、2号楼为26层左右的商住楼，品质较差</t>
    <phoneticPr fontId="134" type="noConversion"/>
  </si>
  <si>
    <t>上地国际创业园共4栋楼，估价对象所在A栋与金远见大厦属于工业立项办公楼，1号楼、2号楼为26层左右的商住楼，品质较差</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</si>
</sst>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6" borderId="0" xfId="0" applyFont="1" applyFill="1" applyProtection="1">
      <alignment vertical="center"/>
      <protection locked="0"/>
    </xf>
    <xf numFmtId="14" fontId="53" fillId="0" borderId="13" xfId="0" applyNumberFormat="1" applyFont="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7" borderId="5" xfId="0" applyFont="1" applyFill="1" applyBorder="1" applyProtection="1">
      <alignment vertical="center"/>
      <protection locked="0"/>
    </xf>
    <xf numFmtId="179" fontId="51" fillId="0" borderId="23" xfId="0"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46" fillId="6" borderId="60"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3</xdr:row>
      <xdr:rowOff>38101</xdr:rowOff>
    </xdr:from>
    <xdr:to>
      <xdr:col>10</xdr:col>
      <xdr:colOff>302164</xdr:colOff>
      <xdr:row>26</xdr:row>
      <xdr:rowOff>76201</xdr:rowOff>
    </xdr:to>
    <xdr:pic>
      <xdr:nvPicPr>
        <xdr:cNvPr id="3" name="图片 2">
          <a:extLst>
            <a:ext uri="{FF2B5EF4-FFF2-40B4-BE49-F238E27FC236}">
              <a16:creationId xmlns:a16="http://schemas.microsoft.com/office/drawing/2014/main" id="{74DCD3D7-0455-9F9D-9CC2-16409CC4D22A}"/>
            </a:ext>
          </a:extLst>
        </xdr:cNvPr>
        <xdr:cNvPicPr>
          <a:picLocks noChangeAspect="1"/>
        </xdr:cNvPicPr>
      </xdr:nvPicPr>
      <xdr:blipFill>
        <a:blip xmlns:r="http://schemas.openxmlformats.org/officeDocument/2006/relationships" r:embed="rId1"/>
        <a:stretch>
          <a:fillRect/>
        </a:stretch>
      </xdr:blipFill>
      <xdr:spPr>
        <a:xfrm>
          <a:off x="53340" y="586741"/>
          <a:ext cx="6344824" cy="4244340"/>
        </a:xfrm>
        <a:prstGeom prst="rect">
          <a:avLst/>
        </a:prstGeom>
      </xdr:spPr>
    </xdr:pic>
    <xdr:clientData/>
  </xdr:twoCellAnchor>
  <xdr:twoCellAnchor editAs="oneCell">
    <xdr:from>
      <xdr:col>10</xdr:col>
      <xdr:colOff>586740</xdr:colOff>
      <xdr:row>3</xdr:row>
      <xdr:rowOff>53340</xdr:rowOff>
    </xdr:from>
    <xdr:to>
      <xdr:col>16</xdr:col>
      <xdr:colOff>414854</xdr:colOff>
      <xdr:row>26</xdr:row>
      <xdr:rowOff>104243</xdr:rowOff>
    </xdr:to>
    <xdr:pic>
      <xdr:nvPicPr>
        <xdr:cNvPr id="4" name="图片 3">
          <a:extLst>
            <a:ext uri="{FF2B5EF4-FFF2-40B4-BE49-F238E27FC236}">
              <a16:creationId xmlns:a16="http://schemas.microsoft.com/office/drawing/2014/main" id="{9DCB70A0-9801-A64E-5968-ED7321B2FA6C}"/>
            </a:ext>
          </a:extLst>
        </xdr:cNvPr>
        <xdr:cNvPicPr>
          <a:picLocks noChangeAspect="1"/>
        </xdr:cNvPicPr>
      </xdr:nvPicPr>
      <xdr:blipFill>
        <a:blip xmlns:r="http://schemas.openxmlformats.org/officeDocument/2006/relationships" r:embed="rId2"/>
        <a:stretch>
          <a:fillRect/>
        </a:stretch>
      </xdr:blipFill>
      <xdr:spPr>
        <a:xfrm>
          <a:off x="6682740" y="601980"/>
          <a:ext cx="3485714" cy="4257143"/>
        </a:xfrm>
        <a:prstGeom prst="rect">
          <a:avLst/>
        </a:prstGeom>
      </xdr:spPr>
    </xdr:pic>
    <xdr:clientData/>
  </xdr:twoCellAnchor>
  <xdr:twoCellAnchor editAs="oneCell">
    <xdr:from>
      <xdr:col>16</xdr:col>
      <xdr:colOff>411480</xdr:colOff>
      <xdr:row>2</xdr:row>
      <xdr:rowOff>129540</xdr:rowOff>
    </xdr:from>
    <xdr:to>
      <xdr:col>21</xdr:col>
      <xdr:colOff>515861</xdr:colOff>
      <xdr:row>26</xdr:row>
      <xdr:rowOff>83277</xdr:rowOff>
    </xdr:to>
    <xdr:pic>
      <xdr:nvPicPr>
        <xdr:cNvPr id="5" name="图片 4">
          <a:extLst>
            <a:ext uri="{FF2B5EF4-FFF2-40B4-BE49-F238E27FC236}">
              <a16:creationId xmlns:a16="http://schemas.microsoft.com/office/drawing/2014/main" id="{06C5A9EC-D3C7-DFE1-0816-E117C6C4D823}"/>
            </a:ext>
          </a:extLst>
        </xdr:cNvPr>
        <xdr:cNvPicPr>
          <a:picLocks noChangeAspect="1"/>
        </xdr:cNvPicPr>
      </xdr:nvPicPr>
      <xdr:blipFill>
        <a:blip xmlns:r="http://schemas.openxmlformats.org/officeDocument/2006/relationships" r:embed="rId3"/>
        <a:stretch>
          <a:fillRect/>
        </a:stretch>
      </xdr:blipFill>
      <xdr:spPr>
        <a:xfrm>
          <a:off x="10165080" y="495300"/>
          <a:ext cx="3152381" cy="4342857"/>
        </a:xfrm>
        <a:prstGeom prst="rect">
          <a:avLst/>
        </a:prstGeom>
      </xdr:spPr>
    </xdr:pic>
    <xdr:clientData/>
  </xdr:twoCellAnchor>
  <xdr:twoCellAnchor editAs="oneCell">
    <xdr:from>
      <xdr:col>0</xdr:col>
      <xdr:colOff>114300</xdr:colOff>
      <xdr:row>27</xdr:row>
      <xdr:rowOff>129540</xdr:rowOff>
    </xdr:from>
    <xdr:to>
      <xdr:col>10</xdr:col>
      <xdr:colOff>206308</xdr:colOff>
      <xdr:row>48</xdr:row>
      <xdr:rowOff>170629</xdr:rowOff>
    </xdr:to>
    <xdr:pic>
      <xdr:nvPicPr>
        <xdr:cNvPr id="7" name="图片 6">
          <a:extLst>
            <a:ext uri="{FF2B5EF4-FFF2-40B4-BE49-F238E27FC236}">
              <a16:creationId xmlns:a16="http://schemas.microsoft.com/office/drawing/2014/main" id="{887BCDA6-8D7A-5669-8712-F84647505851}"/>
            </a:ext>
          </a:extLst>
        </xdr:cNvPr>
        <xdr:cNvPicPr>
          <a:picLocks noChangeAspect="1"/>
        </xdr:cNvPicPr>
      </xdr:nvPicPr>
      <xdr:blipFill>
        <a:blip xmlns:r="http://schemas.openxmlformats.org/officeDocument/2006/relationships" r:embed="rId4"/>
        <a:stretch>
          <a:fillRect/>
        </a:stretch>
      </xdr:blipFill>
      <xdr:spPr>
        <a:xfrm>
          <a:off x="114300" y="5067300"/>
          <a:ext cx="6188008" cy="3881569"/>
        </a:xfrm>
        <a:prstGeom prst="rect">
          <a:avLst/>
        </a:prstGeom>
      </xdr:spPr>
    </xdr:pic>
    <xdr:clientData/>
  </xdr:twoCellAnchor>
  <xdr:twoCellAnchor editAs="oneCell">
    <xdr:from>
      <xdr:col>8</xdr:col>
      <xdr:colOff>586740</xdr:colOff>
      <xdr:row>27</xdr:row>
      <xdr:rowOff>22860</xdr:rowOff>
    </xdr:from>
    <xdr:to>
      <xdr:col>14</xdr:col>
      <xdr:colOff>405330</xdr:colOff>
      <xdr:row>51</xdr:row>
      <xdr:rowOff>5169</xdr:rowOff>
    </xdr:to>
    <xdr:pic>
      <xdr:nvPicPr>
        <xdr:cNvPr id="8" name="图片 7">
          <a:extLst>
            <a:ext uri="{FF2B5EF4-FFF2-40B4-BE49-F238E27FC236}">
              <a16:creationId xmlns:a16="http://schemas.microsoft.com/office/drawing/2014/main" id="{F5C38A4F-8EFC-8DB7-4BCA-6F33481D083A}"/>
            </a:ext>
          </a:extLst>
        </xdr:cNvPr>
        <xdr:cNvPicPr>
          <a:picLocks noChangeAspect="1"/>
        </xdr:cNvPicPr>
      </xdr:nvPicPr>
      <xdr:blipFill>
        <a:blip xmlns:r="http://schemas.openxmlformats.org/officeDocument/2006/relationships" r:embed="rId5"/>
        <a:stretch>
          <a:fillRect/>
        </a:stretch>
      </xdr:blipFill>
      <xdr:spPr>
        <a:xfrm>
          <a:off x="5463540" y="4960620"/>
          <a:ext cx="3476190" cy="4371429"/>
        </a:xfrm>
        <a:prstGeom prst="rect">
          <a:avLst/>
        </a:prstGeom>
      </xdr:spPr>
    </xdr:pic>
    <xdr:clientData/>
  </xdr:twoCellAnchor>
  <xdr:twoCellAnchor editAs="oneCell">
    <xdr:from>
      <xdr:col>14</xdr:col>
      <xdr:colOff>144780</xdr:colOff>
      <xdr:row>27</xdr:row>
      <xdr:rowOff>68580</xdr:rowOff>
    </xdr:from>
    <xdr:to>
      <xdr:col>19</xdr:col>
      <xdr:colOff>430113</xdr:colOff>
      <xdr:row>50</xdr:row>
      <xdr:rowOff>109959</xdr:rowOff>
    </xdr:to>
    <xdr:pic>
      <xdr:nvPicPr>
        <xdr:cNvPr id="9" name="图片 8">
          <a:extLst>
            <a:ext uri="{FF2B5EF4-FFF2-40B4-BE49-F238E27FC236}">
              <a16:creationId xmlns:a16="http://schemas.microsoft.com/office/drawing/2014/main" id="{43C57407-CE66-18B0-D624-2B95151576CC}"/>
            </a:ext>
          </a:extLst>
        </xdr:cNvPr>
        <xdr:cNvPicPr>
          <a:picLocks noChangeAspect="1"/>
        </xdr:cNvPicPr>
      </xdr:nvPicPr>
      <xdr:blipFill>
        <a:blip xmlns:r="http://schemas.openxmlformats.org/officeDocument/2006/relationships" r:embed="rId6"/>
        <a:stretch>
          <a:fillRect/>
        </a:stretch>
      </xdr:blipFill>
      <xdr:spPr>
        <a:xfrm>
          <a:off x="8679180" y="5006340"/>
          <a:ext cx="3333333" cy="4247619"/>
        </a:xfrm>
        <a:prstGeom prst="rect">
          <a:avLst/>
        </a:prstGeom>
      </xdr:spPr>
    </xdr:pic>
    <xdr:clientData/>
  </xdr:twoCellAnchor>
  <xdr:twoCellAnchor editAs="oneCell">
    <xdr:from>
      <xdr:col>19</xdr:col>
      <xdr:colOff>175260</xdr:colOff>
      <xdr:row>27</xdr:row>
      <xdr:rowOff>45720</xdr:rowOff>
    </xdr:from>
    <xdr:to>
      <xdr:col>24</xdr:col>
      <xdr:colOff>470117</xdr:colOff>
      <xdr:row>50</xdr:row>
      <xdr:rowOff>96623</xdr:rowOff>
    </xdr:to>
    <xdr:pic>
      <xdr:nvPicPr>
        <xdr:cNvPr id="10" name="图片 9">
          <a:extLst>
            <a:ext uri="{FF2B5EF4-FFF2-40B4-BE49-F238E27FC236}">
              <a16:creationId xmlns:a16="http://schemas.microsoft.com/office/drawing/2014/main" id="{629E6BFB-7A85-314A-9EF7-61C8C629B28C}"/>
            </a:ext>
          </a:extLst>
        </xdr:cNvPr>
        <xdr:cNvPicPr>
          <a:picLocks noChangeAspect="1"/>
        </xdr:cNvPicPr>
      </xdr:nvPicPr>
      <xdr:blipFill>
        <a:blip xmlns:r="http://schemas.openxmlformats.org/officeDocument/2006/relationships" r:embed="rId7"/>
        <a:stretch>
          <a:fillRect/>
        </a:stretch>
      </xdr:blipFill>
      <xdr:spPr>
        <a:xfrm>
          <a:off x="11757660" y="4983480"/>
          <a:ext cx="3342857" cy="4257143"/>
        </a:xfrm>
        <a:prstGeom prst="rect">
          <a:avLst/>
        </a:prstGeom>
      </xdr:spPr>
    </xdr:pic>
    <xdr:clientData/>
  </xdr:twoCellAnchor>
  <xdr:twoCellAnchor editAs="oneCell">
    <xdr:from>
      <xdr:col>0</xdr:col>
      <xdr:colOff>0</xdr:colOff>
      <xdr:row>50</xdr:row>
      <xdr:rowOff>0</xdr:rowOff>
    </xdr:from>
    <xdr:to>
      <xdr:col>10</xdr:col>
      <xdr:colOff>65905</xdr:colOff>
      <xdr:row>88</xdr:row>
      <xdr:rowOff>98179</xdr:rowOff>
    </xdr:to>
    <xdr:pic>
      <xdr:nvPicPr>
        <xdr:cNvPr id="2" name="图片 1">
          <a:extLst>
            <a:ext uri="{FF2B5EF4-FFF2-40B4-BE49-F238E27FC236}">
              <a16:creationId xmlns:a16="http://schemas.microsoft.com/office/drawing/2014/main" id="{7FE0B22F-ECB3-A1BB-ACBC-BDA18BE9A57B}"/>
            </a:ext>
          </a:extLst>
        </xdr:cNvPr>
        <xdr:cNvPicPr>
          <a:picLocks noChangeAspect="1"/>
        </xdr:cNvPicPr>
      </xdr:nvPicPr>
      <xdr:blipFill>
        <a:blip xmlns:r="http://schemas.openxmlformats.org/officeDocument/2006/relationships" r:embed="rId8"/>
        <a:stretch>
          <a:fillRect/>
        </a:stretch>
      </xdr:blipFill>
      <xdr:spPr>
        <a:xfrm>
          <a:off x="0" y="9144000"/>
          <a:ext cx="6161905" cy="7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365760</xdr:colOff>
      <xdr:row>13</xdr:row>
      <xdr:rowOff>53340</xdr:rowOff>
    </xdr:from>
    <xdr:to>
      <xdr:col>32</xdr:col>
      <xdr:colOff>279208</xdr:colOff>
      <xdr:row>52</xdr:row>
      <xdr:rowOff>82925</xdr:rowOff>
    </xdr:to>
    <xdr:pic>
      <xdr:nvPicPr>
        <xdr:cNvPr id="2" name="图片 1">
          <a:extLst>
            <a:ext uri="{FF2B5EF4-FFF2-40B4-BE49-F238E27FC236}">
              <a16:creationId xmlns:a16="http://schemas.microsoft.com/office/drawing/2014/main" id="{B1988301-AF14-A869-1504-0DC0D57B4940}"/>
            </a:ext>
          </a:extLst>
        </xdr:cNvPr>
        <xdr:cNvPicPr>
          <a:picLocks noChangeAspect="1"/>
        </xdr:cNvPicPr>
      </xdr:nvPicPr>
      <xdr:blipFill>
        <a:blip xmlns:r="http://schemas.openxmlformats.org/officeDocument/2006/relationships" r:embed="rId1"/>
        <a:stretch>
          <a:fillRect/>
        </a:stretch>
      </xdr:blipFill>
      <xdr:spPr>
        <a:xfrm>
          <a:off x="14813280" y="2430780"/>
          <a:ext cx="6619048" cy="7161905"/>
        </a:xfrm>
        <a:prstGeom prst="rect">
          <a:avLst/>
        </a:prstGeom>
      </xdr:spPr>
    </xdr:pic>
    <xdr:clientData/>
  </xdr:twoCellAnchor>
  <xdr:twoCellAnchor editAs="oneCell">
    <xdr:from>
      <xdr:col>22</xdr:col>
      <xdr:colOff>0</xdr:colOff>
      <xdr:row>0</xdr:row>
      <xdr:rowOff>0</xdr:rowOff>
    </xdr:from>
    <xdr:to>
      <xdr:col>36</xdr:col>
      <xdr:colOff>265600</xdr:colOff>
      <xdr:row>35</xdr:row>
      <xdr:rowOff>18248</xdr:rowOff>
    </xdr:to>
    <xdr:pic>
      <xdr:nvPicPr>
        <xdr:cNvPr id="3" name="图片 2">
          <a:extLst>
            <a:ext uri="{FF2B5EF4-FFF2-40B4-BE49-F238E27FC236}">
              <a16:creationId xmlns:a16="http://schemas.microsoft.com/office/drawing/2014/main" id="{2F3AA8BA-A85C-E0B9-6DEA-BC5FFAD69FCC}"/>
            </a:ext>
          </a:extLst>
        </xdr:cNvPr>
        <xdr:cNvPicPr>
          <a:picLocks noChangeAspect="1"/>
        </xdr:cNvPicPr>
      </xdr:nvPicPr>
      <xdr:blipFill>
        <a:blip xmlns:r="http://schemas.openxmlformats.org/officeDocument/2006/relationships" r:embed="rId2"/>
        <a:stretch>
          <a:fillRect/>
        </a:stretch>
      </xdr:blipFill>
      <xdr:spPr>
        <a:xfrm>
          <a:off x="15057120" y="0"/>
          <a:ext cx="8800000" cy="6419048"/>
        </a:xfrm>
        <a:prstGeom prst="rect">
          <a:avLst/>
        </a:prstGeom>
      </xdr:spPr>
    </xdr:pic>
    <xdr:clientData/>
  </xdr:twoCellAnchor>
  <xdr:twoCellAnchor editAs="oneCell">
    <xdr:from>
      <xdr:col>0</xdr:col>
      <xdr:colOff>45720</xdr:colOff>
      <xdr:row>0</xdr:row>
      <xdr:rowOff>0</xdr:rowOff>
    </xdr:from>
    <xdr:to>
      <xdr:col>11</xdr:col>
      <xdr:colOff>188653</xdr:colOff>
      <xdr:row>33</xdr:row>
      <xdr:rowOff>128640</xdr:rowOff>
    </xdr:to>
    <xdr:pic>
      <xdr:nvPicPr>
        <xdr:cNvPr id="7" name="图片 6">
          <a:extLst>
            <a:ext uri="{FF2B5EF4-FFF2-40B4-BE49-F238E27FC236}">
              <a16:creationId xmlns:a16="http://schemas.microsoft.com/office/drawing/2014/main" id="{24562239-0FEB-4F0C-87BF-24DB41CCB1B3}"/>
            </a:ext>
          </a:extLst>
        </xdr:cNvPr>
        <xdr:cNvPicPr>
          <a:picLocks noChangeAspect="1"/>
        </xdr:cNvPicPr>
      </xdr:nvPicPr>
      <xdr:blipFill>
        <a:blip xmlns:r="http://schemas.openxmlformats.org/officeDocument/2006/relationships" r:embed="rId3"/>
        <a:stretch>
          <a:fillRect/>
        </a:stretch>
      </xdr:blipFill>
      <xdr:spPr>
        <a:xfrm>
          <a:off x="45720" y="0"/>
          <a:ext cx="6848533" cy="6163680"/>
        </a:xfrm>
        <a:prstGeom prst="rect">
          <a:avLst/>
        </a:prstGeom>
      </xdr:spPr>
    </xdr:pic>
    <xdr:clientData/>
  </xdr:twoCellAnchor>
  <xdr:twoCellAnchor editAs="oneCell">
    <xdr:from>
      <xdr:col>0</xdr:col>
      <xdr:colOff>45720</xdr:colOff>
      <xdr:row>34</xdr:row>
      <xdr:rowOff>144161</xdr:rowOff>
    </xdr:from>
    <xdr:to>
      <xdr:col>10</xdr:col>
      <xdr:colOff>495460</xdr:colOff>
      <xdr:row>63</xdr:row>
      <xdr:rowOff>94219</xdr:rowOff>
    </xdr:to>
    <xdr:pic>
      <xdr:nvPicPr>
        <xdr:cNvPr id="8" name="图片 7">
          <a:extLst>
            <a:ext uri="{FF2B5EF4-FFF2-40B4-BE49-F238E27FC236}">
              <a16:creationId xmlns:a16="http://schemas.microsoft.com/office/drawing/2014/main" id="{9A43C2B6-8F74-4A5E-A359-143120743069}"/>
            </a:ext>
          </a:extLst>
        </xdr:cNvPr>
        <xdr:cNvPicPr>
          <a:picLocks noChangeAspect="1"/>
        </xdr:cNvPicPr>
      </xdr:nvPicPr>
      <xdr:blipFill>
        <a:blip xmlns:r="http://schemas.openxmlformats.org/officeDocument/2006/relationships" r:embed="rId4"/>
        <a:stretch>
          <a:fillRect/>
        </a:stretch>
      </xdr:blipFill>
      <xdr:spPr>
        <a:xfrm>
          <a:off x="45720" y="6362081"/>
          <a:ext cx="6545740" cy="5253578"/>
        </a:xfrm>
        <a:prstGeom prst="rect">
          <a:avLst/>
        </a:prstGeom>
      </xdr:spPr>
    </xdr:pic>
    <xdr:clientData/>
  </xdr:twoCellAnchor>
  <xdr:twoCellAnchor editAs="oneCell">
    <xdr:from>
      <xdr:col>0</xdr:col>
      <xdr:colOff>144781</xdr:colOff>
      <xdr:row>63</xdr:row>
      <xdr:rowOff>58216</xdr:rowOff>
    </xdr:from>
    <xdr:to>
      <xdr:col>9</xdr:col>
      <xdr:colOff>532311</xdr:colOff>
      <xdr:row>90</xdr:row>
      <xdr:rowOff>180109</xdr:rowOff>
    </xdr:to>
    <xdr:pic>
      <xdr:nvPicPr>
        <xdr:cNvPr id="13" name="图片 12">
          <a:extLst>
            <a:ext uri="{FF2B5EF4-FFF2-40B4-BE49-F238E27FC236}">
              <a16:creationId xmlns:a16="http://schemas.microsoft.com/office/drawing/2014/main" id="{82F4BAFC-D109-4842-8ED4-1D672A715EFB}"/>
            </a:ext>
          </a:extLst>
        </xdr:cNvPr>
        <xdr:cNvPicPr>
          <a:picLocks noChangeAspect="1"/>
        </xdr:cNvPicPr>
      </xdr:nvPicPr>
      <xdr:blipFill>
        <a:blip xmlns:r="http://schemas.openxmlformats.org/officeDocument/2006/relationships" r:embed="rId5"/>
        <a:stretch>
          <a:fillRect/>
        </a:stretch>
      </xdr:blipFill>
      <xdr:spPr>
        <a:xfrm>
          <a:off x="144781" y="11579656"/>
          <a:ext cx="5873930" cy="5059653"/>
        </a:xfrm>
        <a:prstGeom prst="rect">
          <a:avLst/>
        </a:prstGeom>
      </xdr:spPr>
    </xdr:pic>
    <xdr:clientData/>
  </xdr:twoCellAnchor>
  <xdr:twoCellAnchor editAs="oneCell">
    <xdr:from>
      <xdr:col>11</xdr:col>
      <xdr:colOff>495300</xdr:colOff>
      <xdr:row>13</xdr:row>
      <xdr:rowOff>60960</xdr:rowOff>
    </xdr:from>
    <xdr:to>
      <xdr:col>20</xdr:col>
      <xdr:colOff>839898</xdr:colOff>
      <xdr:row>50</xdr:row>
      <xdr:rowOff>176188</xdr:rowOff>
    </xdr:to>
    <xdr:pic>
      <xdr:nvPicPr>
        <xdr:cNvPr id="14" name="图片 13">
          <a:extLst>
            <a:ext uri="{FF2B5EF4-FFF2-40B4-BE49-F238E27FC236}">
              <a16:creationId xmlns:a16="http://schemas.microsoft.com/office/drawing/2014/main" id="{5EB8679F-5FF2-4536-9CE4-FC3437C8F069}"/>
            </a:ext>
          </a:extLst>
        </xdr:cNvPr>
        <xdr:cNvPicPr>
          <a:picLocks noChangeAspect="1"/>
        </xdr:cNvPicPr>
      </xdr:nvPicPr>
      <xdr:blipFill>
        <a:blip xmlns:r="http://schemas.openxmlformats.org/officeDocument/2006/relationships" r:embed="rId6"/>
        <a:stretch>
          <a:fillRect/>
        </a:stretch>
      </xdr:blipFill>
      <xdr:spPr>
        <a:xfrm>
          <a:off x="7200900" y="2438400"/>
          <a:ext cx="7225458" cy="6881788"/>
        </a:xfrm>
        <a:prstGeom prst="rect">
          <a:avLst/>
        </a:prstGeom>
      </xdr:spPr>
    </xdr:pic>
    <xdr:clientData/>
  </xdr:twoCellAnchor>
  <xdr:twoCellAnchor editAs="oneCell">
    <xdr:from>
      <xdr:col>12</xdr:col>
      <xdr:colOff>0</xdr:colOff>
      <xdr:row>52</xdr:row>
      <xdr:rowOff>0</xdr:rowOff>
    </xdr:from>
    <xdr:to>
      <xdr:col>23</xdr:col>
      <xdr:colOff>572289</xdr:colOff>
      <xdr:row>89</xdr:row>
      <xdr:rowOff>14392</xdr:rowOff>
    </xdr:to>
    <xdr:pic>
      <xdr:nvPicPr>
        <xdr:cNvPr id="15" name="图片 14">
          <a:extLst>
            <a:ext uri="{FF2B5EF4-FFF2-40B4-BE49-F238E27FC236}">
              <a16:creationId xmlns:a16="http://schemas.microsoft.com/office/drawing/2014/main" id="{820C8613-D101-97E3-1E29-15C36087395C}"/>
            </a:ext>
          </a:extLst>
        </xdr:cNvPr>
        <xdr:cNvPicPr>
          <a:picLocks noChangeAspect="1"/>
        </xdr:cNvPicPr>
      </xdr:nvPicPr>
      <xdr:blipFill>
        <a:blip xmlns:r="http://schemas.openxmlformats.org/officeDocument/2006/relationships" r:embed="rId7"/>
        <a:stretch>
          <a:fillRect/>
        </a:stretch>
      </xdr:blipFill>
      <xdr:spPr>
        <a:xfrm>
          <a:off x="7315200" y="9509760"/>
          <a:ext cx="8923809" cy="6780952"/>
        </a:xfrm>
        <a:prstGeom prst="rect">
          <a:avLst/>
        </a:prstGeom>
      </xdr:spPr>
    </xdr:pic>
    <xdr:clientData/>
  </xdr:twoCellAnchor>
  <xdr:twoCellAnchor editAs="oneCell">
    <xdr:from>
      <xdr:col>0</xdr:col>
      <xdr:colOff>0</xdr:colOff>
      <xdr:row>93</xdr:row>
      <xdr:rowOff>0</xdr:rowOff>
    </xdr:from>
    <xdr:to>
      <xdr:col>5</xdr:col>
      <xdr:colOff>209143</xdr:colOff>
      <xdr:row>130</xdr:row>
      <xdr:rowOff>128678</xdr:rowOff>
    </xdr:to>
    <xdr:pic>
      <xdr:nvPicPr>
        <xdr:cNvPr id="16" name="图片 15">
          <a:extLst>
            <a:ext uri="{FF2B5EF4-FFF2-40B4-BE49-F238E27FC236}">
              <a16:creationId xmlns:a16="http://schemas.microsoft.com/office/drawing/2014/main" id="{19C11036-FCD8-4BF0-B3BC-C15FD6604933}"/>
            </a:ext>
          </a:extLst>
        </xdr:cNvPr>
        <xdr:cNvPicPr>
          <a:picLocks noChangeAspect="1"/>
        </xdr:cNvPicPr>
      </xdr:nvPicPr>
      <xdr:blipFill>
        <a:blip xmlns:r="http://schemas.openxmlformats.org/officeDocument/2006/relationships" r:embed="rId8"/>
        <a:stretch>
          <a:fillRect/>
        </a:stretch>
      </xdr:blipFill>
      <xdr:spPr>
        <a:xfrm>
          <a:off x="0" y="17007840"/>
          <a:ext cx="3257143" cy="6895238"/>
        </a:xfrm>
        <a:prstGeom prst="rect">
          <a:avLst/>
        </a:prstGeom>
      </xdr:spPr>
    </xdr:pic>
    <xdr:clientData/>
  </xdr:twoCellAnchor>
  <xdr:twoCellAnchor editAs="oneCell">
    <xdr:from>
      <xdr:col>5</xdr:col>
      <xdr:colOff>426720</xdr:colOff>
      <xdr:row>93</xdr:row>
      <xdr:rowOff>0</xdr:rowOff>
    </xdr:from>
    <xdr:to>
      <xdr:col>20</xdr:col>
      <xdr:colOff>97784</xdr:colOff>
      <xdr:row>134</xdr:row>
      <xdr:rowOff>16206</xdr:rowOff>
    </xdr:to>
    <xdr:pic>
      <xdr:nvPicPr>
        <xdr:cNvPr id="17" name="图片 16">
          <a:extLst>
            <a:ext uri="{FF2B5EF4-FFF2-40B4-BE49-F238E27FC236}">
              <a16:creationId xmlns:a16="http://schemas.microsoft.com/office/drawing/2014/main" id="{EDB17F32-979D-42CA-B249-23ABFBDFB2BA}"/>
            </a:ext>
          </a:extLst>
        </xdr:cNvPr>
        <xdr:cNvPicPr>
          <a:picLocks noChangeAspect="1"/>
        </xdr:cNvPicPr>
      </xdr:nvPicPr>
      <xdr:blipFill>
        <a:blip xmlns:r="http://schemas.openxmlformats.org/officeDocument/2006/relationships" r:embed="rId9"/>
        <a:stretch>
          <a:fillRect/>
        </a:stretch>
      </xdr:blipFill>
      <xdr:spPr>
        <a:xfrm>
          <a:off x="3474720" y="17007840"/>
          <a:ext cx="10209524" cy="7514286"/>
        </a:xfrm>
        <a:prstGeom prst="rect">
          <a:avLst/>
        </a:prstGeom>
      </xdr:spPr>
    </xdr:pic>
    <xdr:clientData/>
  </xdr:twoCellAnchor>
  <xdr:twoCellAnchor editAs="oneCell">
    <xdr:from>
      <xdr:col>5</xdr:col>
      <xdr:colOff>0</xdr:colOff>
      <xdr:row>135</xdr:row>
      <xdr:rowOff>0</xdr:rowOff>
    </xdr:from>
    <xdr:to>
      <xdr:col>19</xdr:col>
      <xdr:colOff>252092</xdr:colOff>
      <xdr:row>176</xdr:row>
      <xdr:rowOff>82872</xdr:rowOff>
    </xdr:to>
    <xdr:pic>
      <xdr:nvPicPr>
        <xdr:cNvPr id="18" name="图片 17">
          <a:extLst>
            <a:ext uri="{FF2B5EF4-FFF2-40B4-BE49-F238E27FC236}">
              <a16:creationId xmlns:a16="http://schemas.microsoft.com/office/drawing/2014/main" id="{10EDD5FC-334B-41C1-9869-3CA65786514B}"/>
            </a:ext>
          </a:extLst>
        </xdr:cNvPr>
        <xdr:cNvPicPr>
          <a:picLocks noChangeAspect="1"/>
        </xdr:cNvPicPr>
      </xdr:nvPicPr>
      <xdr:blipFill>
        <a:blip xmlns:r="http://schemas.openxmlformats.org/officeDocument/2006/relationships" r:embed="rId10"/>
        <a:stretch>
          <a:fillRect/>
        </a:stretch>
      </xdr:blipFill>
      <xdr:spPr>
        <a:xfrm>
          <a:off x="3048000" y="24688800"/>
          <a:ext cx="10180952" cy="7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358</xdr:colOff>
      <xdr:row>0</xdr:row>
      <xdr:rowOff>0</xdr:rowOff>
    </xdr:from>
    <xdr:to>
      <xdr:col>12</xdr:col>
      <xdr:colOff>484219</xdr:colOff>
      <xdr:row>25</xdr:row>
      <xdr:rowOff>4802</xdr:rowOff>
    </xdr:to>
    <xdr:pic>
      <xdr:nvPicPr>
        <xdr:cNvPr id="2" name="图片 1">
          <a:extLst>
            <a:ext uri="{FF2B5EF4-FFF2-40B4-BE49-F238E27FC236}">
              <a16:creationId xmlns:a16="http://schemas.microsoft.com/office/drawing/2014/main" id="{CFCE7B21-7858-9B3B-5FE2-CB196F561E29}"/>
            </a:ext>
          </a:extLst>
        </xdr:cNvPr>
        <xdr:cNvPicPr>
          <a:picLocks noChangeAspect="1"/>
        </xdr:cNvPicPr>
      </xdr:nvPicPr>
      <xdr:blipFill>
        <a:blip xmlns:r="http://schemas.openxmlformats.org/officeDocument/2006/relationships" r:embed="rId1"/>
        <a:stretch>
          <a:fillRect/>
        </a:stretch>
      </xdr:blipFill>
      <xdr:spPr>
        <a:xfrm>
          <a:off x="358" y="0"/>
          <a:ext cx="7799061" cy="4576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北京市海淀区上地信息路1号（北京实创高科技发展总公司1-1号）01-1幢4层A栋4层房地产抵押价值预评估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受贵公司委托，我公司对北京市海淀区上地信息路1号（北京实创高科技发展总公司1-1号）01-1幢4层A栋4层房地产抵押价值进行了预评估。</v>
      </c>
    </row>
    <row r="7" spans="1:2">
      <c r="A7" s="1119" t="s">
        <v>566</v>
      </c>
      <c r="B7" s="1120" t="str">
        <f>'预评函-1'!A7</f>
        <v>估价对象为北京市海淀区上地信息路1号（北京实创高科技发展总公司1-1号）01-1幢4层A栋4层房地产，为北京国基科技股份有限公司所有。根据《国有土地使用证》[]，估价对象（分摊）出让国有建设用地使用权面积为690.56平方米，建筑面积为1721.28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上地信息路1号（北京实创高科技发展总公司1-1号）01-1幢4层A栋4层房地产,属北京国基科技股份有限公司开发建设的工业项目，该项目尚在开发建设中。根据《国有土地使用证》[]，估价对象（分摊）出让国有建设用地使用权面积为690.56平方米，规划建筑面积为1721.28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为估价委托人在向浦发办理贷款手续过程中，确定房地产抵押贷款额度提供参考依据而评估房地产抵押价值。</v>
      </c>
    </row>
    <row r="12" spans="1:2">
      <c r="A12" s="1119" t="s">
        <v>528</v>
      </c>
      <c r="B12" s="1120" t="str">
        <f>'预评函-1'!A15</f>
        <v>2025年7月28日（评估专业人员实地查勘之日）</v>
      </c>
    </row>
    <row r="13" spans="1:2">
      <c r="A13" s="1119" t="s">
        <v>529</v>
      </c>
      <c r="B13" s="1120" t="str">
        <f>'预评函-1'!A18</f>
        <v>本次估价的“房地产价值”是指在正常市场情况下，在价值时点2025年7月28日，估价对象规划用途为厂房，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3626</v>
      </c>
    </row>
    <row r="21" spans="1:2">
      <c r="A21" s="1119" t="s">
        <v>537</v>
      </c>
      <c r="B21" s="1120">
        <f ca="1">'预评函-2'!D7</f>
        <v>21063</v>
      </c>
    </row>
    <row r="22" spans="1:2">
      <c r="A22" s="1119" t="s">
        <v>538</v>
      </c>
      <c r="B22" s="1120" t="str">
        <f ca="1">'预评函-2'!D6</f>
        <v>叁仟陆佰贰拾陆万元整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3626</v>
      </c>
    </row>
    <row r="31" spans="1:2">
      <c r="A31" s="1119" t="s">
        <v>576</v>
      </c>
      <c r="B31" s="1120">
        <f ca="1">'预评函-2'!D15</f>
        <v>21063</v>
      </c>
    </row>
    <row r="32" spans="1:2">
      <c r="A32" s="1119" t="s">
        <v>543</v>
      </c>
      <c r="B32" s="1120" t="str">
        <f ca="1">'预评函-2'!D14</f>
        <v>叁仟陆佰贰拾陆万元整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北京市海淀区上地信息路1号（北京实创高科技发展总公司1-1号）01-1幢4层A栋4层房地产</v>
      </c>
    </row>
    <row r="42" spans="1:2" ht="31.2">
      <c r="A42" s="1119" t="s">
        <v>590</v>
      </c>
      <c r="B42" s="1120" t="str">
        <f>'预评函-3'!B2</f>
        <v>建筑面积</v>
      </c>
    </row>
    <row r="43" spans="1:2">
      <c r="A43" s="1119" t="s">
        <v>591</v>
      </c>
      <c r="B43" s="1120">
        <f>'预评函-3'!B4</f>
        <v>1721.28</v>
      </c>
    </row>
    <row r="44" spans="1:2" ht="31.2">
      <c r="A44" s="1119" t="s">
        <v>575</v>
      </c>
      <c r="B44" s="1120" t="str">
        <f>'预评函-3'!C2</f>
        <v>(分摊)土地面积</v>
      </c>
    </row>
    <row r="45" spans="1:2">
      <c r="A45" s="1119" t="s">
        <v>547</v>
      </c>
      <c r="B45" s="1120">
        <f>'预评函-3'!C4</f>
        <v>690.56</v>
      </c>
    </row>
    <row r="46" spans="1:2">
      <c r="A46" s="1119" t="s">
        <v>573</v>
      </c>
      <c r="B46" s="1120" t="str">
        <f>'预评函-3'!D2</f>
        <v>出让国有建设用地使用权价值</v>
      </c>
    </row>
    <row r="47" spans="1:2">
      <c r="A47" s="1119" t="s">
        <v>548</v>
      </c>
      <c r="B47" s="1120">
        <f ca="1">'预评函-3'!D4</f>
        <v>2813</v>
      </c>
    </row>
    <row r="48" spans="1:2">
      <c r="A48" s="1119" t="s">
        <v>549</v>
      </c>
      <c r="B48" s="1120">
        <f ca="1">'预评函-3'!E4</f>
        <v>16345</v>
      </c>
    </row>
    <row r="49" spans="1:2">
      <c r="A49" s="1119" t="s">
        <v>550</v>
      </c>
      <c r="B49" s="1120" t="str">
        <f ca="1">'预评函-3'!D5</f>
        <v>贰仟捌佰壹拾叁万元整</v>
      </c>
    </row>
    <row r="50" spans="1:2">
      <c r="A50" s="1119" t="s">
        <v>574</v>
      </c>
      <c r="B50" s="1120" t="str">
        <f>'预评函-3'!F2</f>
        <v>在建建筑物价值</v>
      </c>
    </row>
    <row r="51" spans="1:2">
      <c r="A51" s="1119" t="s">
        <v>551</v>
      </c>
      <c r="B51" s="1120">
        <f ca="1">'预评函-3'!F4</f>
        <v>812</v>
      </c>
    </row>
    <row r="52" spans="1:2">
      <c r="A52" s="1119" t="s">
        <v>552</v>
      </c>
      <c r="B52" s="1120">
        <f ca="1">'预评函-3'!G4</f>
        <v>4718</v>
      </c>
    </row>
    <row r="53" spans="1:2">
      <c r="A53" s="1119" t="s">
        <v>580</v>
      </c>
      <c r="B53" s="1120" t="str">
        <f ca="1">'预评函-3'!F5</f>
        <v>捌佰壹拾贰万元整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为估价委托人在向浦发办理贷款手续过程中，确定房地产抵押贷款额度提供参考依据而评估房地产抵押价值。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上地信息路1号（北京实创高科技发展总公司1-1号）01-1幢4层A栋4层房地产作为抵押担保物，向浦发办理贷款手续。浦发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28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2" t="str">
        <f>IF(B10="北京市","北京市",C10)&amp;F10&amp;IF(结果表!G1="在建","出让国有建设用地使用权及在建建筑物",IF(结果表!G1="土地","出让国有建设用地使用权",))&amp;B9&amp;"预评估"</f>
        <v>北京市海淀区上地信息路1号（北京实创高科技发展总公司1-1号）01-1幢4层A栋4层房地产抵押价值预评估</v>
      </c>
      <c r="C1" s="3223"/>
      <c r="D1" s="3223"/>
      <c r="E1" s="3223"/>
      <c r="F1" s="3223"/>
      <c r="G1" s="3223"/>
      <c r="H1" s="3223"/>
      <c r="I1" s="3224"/>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北京市海淀区上地信息路1号（北京实创高科技发展总公司1-1号）01-1幢4层A栋4层房地产抵押价值</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北京市海淀区上地信息路1号（北京实创高科技发展总公司1-1号）01-1幢4层A栋4层房地产</v>
      </c>
      <c r="T2" s="1618"/>
      <c r="U2" s="1618"/>
      <c r="V2" s="1618"/>
      <c r="W2" s="1618"/>
      <c r="X2" s="1618"/>
      <c r="Y2" s="1618"/>
      <c r="Z2" s="1618"/>
      <c r="AA2" s="1618"/>
      <c r="AB2" s="1618"/>
    </row>
    <row r="3" spans="1:30">
      <c r="A3" s="294" t="s">
        <v>2170</v>
      </c>
      <c r="B3" s="2185">
        <v>45866</v>
      </c>
      <c r="C3" s="2186" t="s">
        <v>2171</v>
      </c>
      <c r="D3" s="3177">
        <f>B3</f>
        <v>45866</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3441</v>
      </c>
      <c r="C4" s="2188">
        <f ca="1">SUMIF(注册房地产估价师,B4,估价师及机构信息!B3:B24)</f>
        <v>1120070131</v>
      </c>
      <c r="D4" s="2187" t="s">
        <v>3442</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3"/>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3179" t="s">
        <v>3514</v>
      </c>
      <c r="C6" s="2195"/>
      <c r="D6" s="2196"/>
      <c r="E6" s="2439"/>
      <c r="F6" s="2440"/>
      <c r="G6" s="2440"/>
      <c r="H6" s="2440"/>
      <c r="I6" s="2440"/>
      <c r="J6" s="2243"/>
      <c r="K6" s="2399" t="str">
        <f>IF(COUNTIF(B6,"*上海银行*"),"上海银行","")</f>
        <v/>
      </c>
      <c r="L6" s="2397"/>
      <c r="M6" s="2397"/>
      <c r="N6" s="2243"/>
      <c r="O6" s="1670"/>
      <c r="P6" s="2243"/>
      <c r="Q6" s="2243"/>
      <c r="R6" s="2243"/>
    </row>
    <row r="7" spans="1:30">
      <c r="A7" s="2194" t="s">
        <v>2175</v>
      </c>
      <c r="B7" s="2197"/>
      <c r="C7" s="2195"/>
      <c r="D7" s="2196"/>
      <c r="E7" s="2439"/>
      <c r="F7" s="2440"/>
      <c r="G7" s="2440"/>
      <c r="H7" s="2440"/>
      <c r="I7" s="2440"/>
      <c r="J7" s="2243"/>
      <c r="K7" s="2400"/>
      <c r="L7" s="2397"/>
      <c r="M7" s="2397"/>
      <c r="N7" s="2243"/>
      <c r="O7" s="1670"/>
      <c r="P7" s="2243"/>
      <c r="Q7" s="2243"/>
      <c r="R7" s="2243"/>
    </row>
    <row r="8" spans="1:30">
      <c r="A8" s="2198" t="s">
        <v>2176</v>
      </c>
      <c r="B8" s="2199" t="s">
        <v>3420</v>
      </c>
      <c r="C8" s="2200"/>
      <c r="D8" s="3225" t="s">
        <v>2177</v>
      </c>
      <c r="E8" s="2201" t="s">
        <v>3419</v>
      </c>
      <c r="F8" s="2202"/>
      <c r="G8" s="2440"/>
      <c r="H8" s="2440"/>
      <c r="I8" s="2440"/>
      <c r="J8" s="2243"/>
      <c r="K8" s="2398"/>
      <c r="L8" s="2397"/>
      <c r="M8" s="2397"/>
      <c r="N8" s="2243"/>
      <c r="O8" s="1670"/>
      <c r="P8" s="2243"/>
      <c r="Q8" s="2243"/>
      <c r="R8" s="2243"/>
    </row>
    <row r="9" spans="1:30" ht="13.8" thickBot="1">
      <c r="A9" s="2203" t="s">
        <v>2178</v>
      </c>
      <c r="B9" s="2204" t="s">
        <v>3419</v>
      </c>
      <c r="C9" s="2205"/>
      <c r="D9" s="3226"/>
      <c r="E9" s="2204" t="s">
        <v>43</v>
      </c>
      <c r="F9" s="2206"/>
      <c r="G9" s="2441"/>
      <c r="H9" s="2441"/>
      <c r="I9" s="2441"/>
      <c r="J9" s="2243"/>
      <c r="K9" s="2400"/>
      <c r="L9" s="2397"/>
      <c r="M9" s="2397"/>
      <c r="N9" s="2243"/>
      <c r="O9" s="1670"/>
      <c r="P9" s="2243"/>
      <c r="Q9" s="2243"/>
      <c r="R9" s="2243"/>
    </row>
    <row r="10" spans="1:30" ht="13.8" thickTop="1">
      <c r="A10" s="2207" t="s">
        <v>2179</v>
      </c>
      <c r="B10" s="2208" t="s">
        <v>3421</v>
      </c>
      <c r="C10" s="2209"/>
      <c r="D10" s="2193"/>
      <c r="E10" s="2210" t="s">
        <v>2180</v>
      </c>
      <c r="F10" s="3167" t="s">
        <v>3423</v>
      </c>
      <c r="G10" s="2442"/>
      <c r="H10" s="2443"/>
      <c r="I10" s="2444"/>
      <c r="J10" s="2243"/>
      <c r="K10" s="2400"/>
      <c r="L10" s="2397"/>
      <c r="M10" s="2397"/>
      <c r="N10" s="2243"/>
      <c r="O10" s="1670"/>
      <c r="P10" s="2243"/>
      <c r="Q10" s="2243"/>
      <c r="R10" s="2243"/>
    </row>
    <row r="11" spans="1:30" ht="36">
      <c r="A11" s="2211" t="s">
        <v>2181</v>
      </c>
      <c r="B11" s="2212" t="s">
        <v>3422</v>
      </c>
      <c r="C11" s="3178" t="s">
        <v>3512</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c r="F13" s="803"/>
      <c r="G13" s="803"/>
      <c r="H13" s="803">
        <v>54882</v>
      </c>
      <c r="I13" s="803"/>
      <c r="J13" s="2800"/>
      <c r="K13" s="2397"/>
      <c r="L13" s="2397"/>
      <c r="M13" s="2243"/>
      <c r="N13" s="1670"/>
      <c r="O13" s="2243"/>
      <c r="P13" s="2243"/>
      <c r="Q13" s="2243"/>
      <c r="AD13" s="1618"/>
    </row>
    <row r="14" spans="1:30">
      <c r="A14" s="1018"/>
      <c r="B14" s="2216" t="s">
        <v>2191</v>
      </c>
      <c r="C14" s="2217"/>
      <c r="D14" s="2217"/>
      <c r="E14" s="2217"/>
      <c r="F14" s="2217"/>
      <c r="G14" s="2217"/>
      <c r="H14" s="2217">
        <v>50</v>
      </c>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24.7</v>
      </c>
      <c r="I15" s="2219" t="str">
        <f>IF(A13="出让",IF(I13="","",ROUNDDOWN(MIN((I13-$D$3)/365,I14),2)),I14)</f>
        <v/>
      </c>
      <c r="J15" s="2802"/>
      <c r="K15" s="1670"/>
      <c r="L15" s="1670"/>
      <c r="M15" s="2243"/>
      <c r="N15" s="1670"/>
      <c r="O15" s="2243"/>
      <c r="P15" s="2243"/>
      <c r="Q15" s="2243"/>
      <c r="AD15" s="1618"/>
    </row>
    <row r="16" spans="1:30">
      <c r="A16" s="2210" t="s">
        <v>2193</v>
      </c>
      <c r="B16" s="3232" t="s">
        <v>3513</v>
      </c>
      <c r="C16" s="3233"/>
      <c r="D16" s="3234"/>
      <c r="E16" s="2220" t="s">
        <v>2194</v>
      </c>
      <c r="F16" s="3235"/>
      <c r="G16" s="3236"/>
      <c r="H16" s="3236"/>
      <c r="I16" s="3237"/>
      <c r="J16" s="2243"/>
      <c r="K16" s="2401"/>
      <c r="L16" s="1670"/>
      <c r="M16" s="1670"/>
      <c r="N16" s="2243"/>
      <c r="O16" s="1670"/>
      <c r="P16" s="2243"/>
      <c r="Q16" s="2243"/>
      <c r="R16" s="2243"/>
    </row>
    <row r="17" spans="1:28">
      <c r="A17" s="305" t="s">
        <v>2195</v>
      </c>
      <c r="B17" s="294" t="s">
        <v>2196</v>
      </c>
      <c r="C17" s="8">
        <f>'数据-汇总表'!E3</f>
        <v>1721.28</v>
      </c>
      <c r="D17" s="1256" t="s">
        <v>2197</v>
      </c>
      <c r="E17" s="3238" t="s">
        <v>2198</v>
      </c>
      <c r="F17" s="3239"/>
      <c r="G17" s="3239"/>
      <c r="H17" s="3239"/>
      <c r="I17" s="3240"/>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690.56</v>
      </c>
      <c r="D18" s="1029" t="s">
        <v>2201</v>
      </c>
      <c r="E18" s="3241" t="s">
        <v>2202</v>
      </c>
      <c r="F18" s="3242"/>
      <c r="G18" s="3242"/>
      <c r="H18" s="3242"/>
      <c r="I18" s="3243"/>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3424</v>
      </c>
      <c r="D19" s="1456" t="s">
        <v>2204</v>
      </c>
      <c r="E19" s="1457" t="s">
        <v>3451</v>
      </c>
      <c r="F19" s="1458" t="str">
        <f>IF(AND(C19="是",E19="否"),"是否提供他项权证或相关说明","")</f>
        <v>是否提供他项权证或相关说明</v>
      </c>
      <c r="G19" s="1459" t="s">
        <v>3451</v>
      </c>
      <c r="H19" s="2440"/>
      <c r="I19" s="2440"/>
      <c r="J19" s="2243"/>
      <c r="K19" s="2400"/>
      <c r="L19" s="2397"/>
      <c r="M19" s="2397"/>
      <c r="N19" s="2243"/>
      <c r="O19" s="1670"/>
      <c r="P19" s="2243"/>
      <c r="Q19" s="2243"/>
      <c r="R19" s="2243"/>
      <c r="S19" s="2243"/>
      <c r="T19" s="2243"/>
      <c r="U19" s="2243"/>
      <c r="V19" s="2243"/>
    </row>
    <row r="20" spans="1:28">
      <c r="A20" s="2415" t="s">
        <v>2205</v>
      </c>
      <c r="B20" s="3228" t="s">
        <v>2206</v>
      </c>
      <c r="C20" s="3229"/>
      <c r="D20" s="3230" t="s">
        <v>2207</v>
      </c>
      <c r="E20" s="3231"/>
      <c r="F20" s="2428" t="s">
        <v>1056</v>
      </c>
      <c r="G20" s="2440"/>
      <c r="H20" s="2440"/>
      <c r="I20" s="2440"/>
      <c r="J20" s="2243"/>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5" t="s">
        <v>2214</v>
      </c>
      <c r="B27" s="312" t="s">
        <v>2215</v>
      </c>
      <c r="C27" s="2223" t="s">
        <v>3426</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5"/>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5"/>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6"/>
      <c r="B30" s="294" t="s">
        <v>2218</v>
      </c>
      <c r="C30" s="3247"/>
      <c r="D30" s="3248"/>
      <c r="E30" s="2440"/>
      <c r="F30" s="2440"/>
      <c r="G30" s="2440"/>
      <c r="H30" s="2440"/>
      <c r="I30" s="2440"/>
      <c r="J30" s="2243"/>
      <c r="K30" s="2400"/>
      <c r="L30" s="2397"/>
      <c r="M30" s="2397"/>
      <c r="N30" s="2243"/>
      <c r="O30" s="1670"/>
      <c r="P30" s="2243"/>
      <c r="Q30" s="2243"/>
      <c r="R30" s="2243"/>
      <c r="S30" s="2243"/>
      <c r="T30" s="2243"/>
      <c r="U30" s="2243"/>
      <c r="V30" s="2243"/>
    </row>
    <row r="31" spans="1:28">
      <c r="A31" s="3249" t="s">
        <v>2219</v>
      </c>
      <c r="B31" s="2229" t="s">
        <v>3427</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0"/>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0"/>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4" t="s">
        <v>2228</v>
      </c>
      <c r="T34" s="315" t="str">
        <f>NUMBERSTRING(7-K34,1)&amp;"通"</f>
        <v>七通</v>
      </c>
      <c r="U34" s="2243"/>
      <c r="V34" s="2243"/>
    </row>
    <row r="35" spans="1:30">
      <c r="A35" s="2234"/>
      <c r="B35" s="3244" t="s">
        <v>2229</v>
      </c>
      <c r="C35" s="3244"/>
      <c r="D35" s="3244"/>
      <c r="E35" s="3244"/>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4"/>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t="s">
        <v>303</v>
      </c>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c r="D38" s="2236"/>
      <c r="E38" s="2236" t="s">
        <v>3428</v>
      </c>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估价范围判定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A13" xr:uid="{00000000-0002-0000-0A00-000014000000}">
      <formula1>"出让,划拨"</formula1>
    </dataValidation>
    <dataValidation type="list" allowBlank="1" showInputMessage="1" showErrorMessage="1" sqref="C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51" t="s">
        <v>2580</v>
      </c>
      <c r="J2" s="3251"/>
      <c r="K2" s="3251"/>
      <c r="L2" s="3251"/>
      <c r="M2" s="3251"/>
      <c r="N2" s="3251"/>
      <c r="O2" s="3251"/>
      <c r="P2" s="3251"/>
      <c r="Q2" s="3251"/>
      <c r="R2" s="3251"/>
    </row>
    <row r="3" spans="1:18">
      <c r="A3" s="2760" t="s">
        <v>2501</v>
      </c>
      <c r="B3" s="2761">
        <f>项目基本情况!D3</f>
        <v>45866</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1.39</v>
      </c>
      <c r="D5" s="2765">
        <f>IF(ISERROR(ROUND(POWER(1+E5,A5-C5)*(POWER(1+E5,C5)-1)/(POWER(1+E5,A5)-1),3)),0,ROUND(POWER(1+E5,A5-C5)*(POWER(1+E5,C5)-1)/(POWER(1+E5,A5)-1),4))</f>
        <v>6.7000000000000004E-2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v>
      </c>
      <c r="D6" s="2765">
        <f>IF(ISERROR(ROUND(POWER(1+E6,A6-C6)*(POWER(1+E6,C6)-1)/(POWER(1+E6,A6)-1),3)),0,ROUND(POWER(1+E6,A6-C6)*(POWER(1+E6,C6)-1)/(POWER(1+E6,A6)-1),4))</f>
        <v>0.41959999999999997</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31.41</v>
      </c>
      <c r="D7" s="2765">
        <f>IF(ISERROR(ROUND(POWER(1+E7,A7-C7)*(POWER(1+E7,C7)-1)/(POWER(1+E7,A7)-1),3)),0,ROUND(POWER(1+E7,A7-C7)*(POWER(1+E7,C7)-1)/(POWER(1+E7,A7)-1),4))</f>
        <v>0.75690000000000002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690.56</v>
      </c>
      <c r="B3" s="11">
        <f>IF(C3="否",G5-AT5,G5)</f>
        <v>1721.28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1721.28</v>
      </c>
      <c r="H5" s="13">
        <f t="shared" ref="H5:AT5" si="0">SUM(H13:H656)</f>
        <v>1721.28</v>
      </c>
      <c r="I5" s="13">
        <f t="shared" si="0"/>
        <v>1721.28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1721.28</v>
      </c>
      <c r="BA5" s="15">
        <f t="shared" si="1"/>
        <v>1721.28</v>
      </c>
      <c r="BB5" s="15">
        <f t="shared" si="1"/>
        <v>1721.28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690.56</v>
      </c>
      <c r="F6" s="13" t="s">
        <v>0</v>
      </c>
      <c r="G6" s="13" t="s">
        <v>1</v>
      </c>
      <c r="H6" s="17">
        <f>SUMIF(I$12:AB$12,"总值",I6:AB6)</f>
        <v>690.56</v>
      </c>
      <c r="I6" s="13">
        <f t="shared" ref="I6:AB6" si="2">ROUND($A$3*I5/$B$3,2)</f>
        <v>690.56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690.56</v>
      </c>
      <c r="AZ6" s="13" t="s">
        <v>2</v>
      </c>
      <c r="BA6" s="13">
        <f>ROUND($AY$6*BA5/$AZ$5,2)</f>
        <v>690.56</v>
      </c>
      <c r="BB6" s="13">
        <f>ROUND($AY$6*BB5/$AZ$5,2)</f>
        <v>690.56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3424</v>
      </c>
      <c r="E13" s="13">
        <f>IF($C$3="是",ROUND($A$3*G13/$B$3,2),ROUND($A$3*(G13-AT13)/$B$3,2))</f>
        <v>690.56</v>
      </c>
      <c r="F13" s="29"/>
      <c r="G13" s="30">
        <f>H13+AC13+AT13</f>
        <v>1721.28</v>
      </c>
      <c r="H13" s="17">
        <f>SUMIF(I$12:AB$12,"总值",I13:AB13)</f>
        <v>1721.28</v>
      </c>
      <c r="I13" s="1514">
        <v>1721.28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690.56</v>
      </c>
      <c r="AZ13" s="13">
        <f>BA13+BL13</f>
        <v>1721.28</v>
      </c>
      <c r="BA13" s="13">
        <f>SUM(BB13:BK13)</f>
        <v>1721.28</v>
      </c>
      <c r="BB13" s="13">
        <f>IF($D13="是",I13-J13,0)</f>
        <v>1721.28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1" t="s">
        <v>1131</v>
      </c>
      <c r="B2" s="3261"/>
      <c r="C2" s="3261"/>
      <c r="D2" s="748" t="s">
        <v>1107</v>
      </c>
      <c r="E2" s="1523" t="s">
        <v>1108</v>
      </c>
      <c r="F2" s="2437"/>
      <c r="G2" s="2430"/>
      <c r="H2" s="2431"/>
      <c r="I2" s="2146" t="s">
        <v>1132</v>
      </c>
      <c r="J2" s="2437"/>
      <c r="K2" s="2437"/>
      <c r="L2" s="2437"/>
      <c r="M2" s="2437"/>
      <c r="N2" s="2438"/>
      <c r="O2" s="2437"/>
      <c r="P2" s="2437"/>
    </row>
    <row r="3" spans="1:16" ht="15" thickBot="1">
      <c r="A3" s="3262" t="s">
        <v>1105</v>
      </c>
      <c r="B3" s="3262"/>
      <c r="C3" s="3262"/>
      <c r="D3" s="41">
        <f>'数据-基础表'!AY6</f>
        <v>690.56</v>
      </c>
      <c r="E3" s="41">
        <f>'数据-基础表'!AZ5</f>
        <v>1721.28</v>
      </c>
      <c r="F3" s="2437"/>
      <c r="G3" s="42"/>
      <c r="H3" s="43" t="s">
        <v>1106</v>
      </c>
      <c r="I3" s="802">
        <f>ROUND('数据-基础表'!B3/'数据-基础表'!A3,2)</f>
        <v>2.4900000000000002</v>
      </c>
      <c r="J3" s="2437"/>
      <c r="K3" s="2437"/>
      <c r="L3" s="2437"/>
      <c r="M3" s="2437"/>
      <c r="N3" s="2438"/>
      <c r="O3" s="2437"/>
      <c r="P3" s="2437"/>
    </row>
    <row r="4" spans="1:16" ht="14.4">
      <c r="A4" s="3263"/>
      <c r="B4" s="3264"/>
      <c r="C4" s="3265"/>
      <c r="D4" s="1524" t="s">
        <v>1107</v>
      </c>
      <c r="E4" s="1525" t="s">
        <v>1108</v>
      </c>
      <c r="F4" s="2437"/>
      <c r="G4" s="2432" t="s">
        <v>1133</v>
      </c>
      <c r="H4" s="43" t="s">
        <v>1113</v>
      </c>
      <c r="I4" s="802">
        <f>ROUND(SUMIF('数据-基础表'!I9:AS9,"地上",'数据-基础表'!I5:AS5)/'数据-基础表'!A3,2)</f>
        <v>2.4900000000000002</v>
      </c>
      <c r="J4" s="2437"/>
      <c r="K4" s="2437"/>
      <c r="L4" s="2437"/>
      <c r="M4" s="2437"/>
      <c r="N4" s="2438"/>
      <c r="O4" s="2437"/>
      <c r="P4" s="2437"/>
    </row>
    <row r="5" spans="1:16" ht="14.4">
      <c r="A5" s="42" t="s">
        <v>1109</v>
      </c>
      <c r="B5" s="3266" t="s">
        <v>1110</v>
      </c>
      <c r="C5" s="3266"/>
      <c r="D5" s="43">
        <f>ROUND($D$3*E5/$E$3,2)</f>
        <v>0</v>
      </c>
      <c r="E5" s="44">
        <f>SUMIF('数据-基础表'!$11:$11,"住宅",'数据-基础表'!$5:$5)</f>
        <v>0</v>
      </c>
      <c r="F5" s="2437"/>
      <c r="G5" s="42"/>
      <c r="H5" s="43" t="s">
        <v>1106</v>
      </c>
      <c r="I5" s="802">
        <f>ROUND(E31/D31,2)</f>
        <v>2.4900000000000002</v>
      </c>
      <c r="J5" s="2437"/>
      <c r="K5" s="2437"/>
      <c r="L5" s="2437"/>
      <c r="M5" s="2437"/>
      <c r="N5" s="2437"/>
      <c r="O5" s="2437"/>
      <c r="P5" s="2437"/>
    </row>
    <row r="6" spans="1:16" ht="15" thickBot="1">
      <c r="A6" s="1527"/>
      <c r="B6" s="3266" t="s">
        <v>1111</v>
      </c>
      <c r="C6" s="3266"/>
      <c r="D6" s="43">
        <f>ROUND($D$3*E6/$E$3,2)</f>
        <v>690.56</v>
      </c>
      <c r="E6" s="44">
        <f>E3-E5</f>
        <v>1721.28</v>
      </c>
      <c r="F6" s="2437"/>
      <c r="G6" s="1529" t="s">
        <v>1112</v>
      </c>
      <c r="H6" s="45" t="s">
        <v>1113</v>
      </c>
      <c r="I6" s="2433">
        <f>ROUND(F31/D31,2)</f>
        <v>2.4900000000000002</v>
      </c>
      <c r="J6" s="2437"/>
      <c r="K6" s="2437"/>
      <c r="L6" s="2437"/>
      <c r="M6" s="2437"/>
      <c r="N6" s="2437"/>
      <c r="O6" s="2437"/>
      <c r="P6" s="2437"/>
    </row>
    <row r="7" spans="1:16" ht="15" thickBot="1">
      <c r="A7" s="3258"/>
      <c r="B7" s="3259"/>
      <c r="C7" s="3260"/>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690.56</v>
      </c>
      <c r="E8" s="46">
        <f>SUMIF('数据-基础表'!BB10:BK10,"地上",'数据-基础表'!BB5:BK5)</f>
        <v>1721.28</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690.56</v>
      </c>
      <c r="E16" s="48">
        <f>SUM(E8:E15)</f>
        <v>1721.28</v>
      </c>
      <c r="F16" s="2437"/>
      <c r="G16" s="2437"/>
      <c r="H16" s="1531" t="s">
        <v>1135</v>
      </c>
      <c r="I16" s="1532"/>
      <c r="J16" s="1071"/>
      <c r="K16" s="3255" t="s">
        <v>1135</v>
      </c>
      <c r="L16" s="3256"/>
      <c r="M16" s="3256"/>
      <c r="N16" s="3256"/>
      <c r="O16" s="3256"/>
      <c r="P16" s="3257"/>
    </row>
    <row r="17" spans="1:19" ht="14.4">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3448</v>
      </c>
      <c r="D19" s="43">
        <f>ROUND($D$3*E19/$E$3,2)</f>
        <v>690.56</v>
      </c>
      <c r="E19" s="51">
        <f t="shared" ref="E19:E26" si="1">SUM(F19:G19)</f>
        <v>1721.28</v>
      </c>
      <c r="F19" s="2555">
        <f>'数据-基础表'!G13</f>
        <v>1721.28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690.56</v>
      </c>
      <c r="S19" s="51">
        <f t="shared" si="5"/>
        <v>1721.28</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690.56</v>
      </c>
      <c r="E27" s="1073">
        <f>IF(SUM(E19:E26)='数据-基础表'!BA5,SUM(E19:E26),IF(F27="地上面积有误","面积有误","地下面积有误"))</f>
        <v>1721.28</v>
      </c>
      <c r="F27" s="1072">
        <f>IF(SUM(F19:F26)=E8,SUM(F19:F26),"地上面积有误")</f>
        <v>1721.28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690.56</v>
      </c>
      <c r="S27" s="43">
        <f>IF(SUM(S19:S26)=$E$3,SUM(S19:S26),SUM(S19:S26)&amp;"误差"&amp;ROUND(SUM(S19:S26)-E3,2))</f>
        <v>1721.28</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690.56</v>
      </c>
      <c r="E31" s="643">
        <f>E27+E30</f>
        <v>1721.28</v>
      </c>
      <c r="F31" s="644">
        <f>F27+F30</f>
        <v>1721.28</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I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厂房</v>
      </c>
      <c r="B6" s="1587" t="str">
        <f>IF(A6=0,"","经营性")</f>
        <v>经营性</v>
      </c>
      <c r="C6" s="1588" t="s">
        <v>3</v>
      </c>
      <c r="D6" s="805">
        <f>SUMIF(项目基本情况!C$12:I$12,C6,项目基本情况!C$14:I$14)</f>
        <v>50</v>
      </c>
      <c r="E6" s="804">
        <f>IF(B6="","",SUMIF(项目基本情况!C$12:I$12,C6,项目基本情况!C$13:I$13))</f>
        <v>54882</v>
      </c>
      <c r="F6" s="61">
        <f>SUMIF(项目基本情况!C$12:I$12,C6,项目基本情况!C$15:I$15)</f>
        <v>24.7</v>
      </c>
      <c r="G6" s="62">
        <f>IF(ISERROR(ROUND(POWER(1+H6,D6-F6)*(POWER(1+H6,F6)-1)/(POWER(1+H6,D6)-1),3)),0,ROUND(POWER(1+H6,D6-F6)*(POWER(1+H6,F6)-1)/(POWER(1+H6,D6)-1),3))</f>
        <v>0.76700000000000002</v>
      </c>
      <c r="H6" s="691">
        <v>0.05</v>
      </c>
      <c r="I6" s="691">
        <v>5.5E-2</v>
      </c>
      <c r="J6" s="63">
        <v>7.0000000000000007E-2</v>
      </c>
      <c r="K6" s="970">
        <f>SUMIF('数据-汇总表'!C$19:C$33,A6,'数据-汇总表'!E$19:E$33)</f>
        <v>1721.28</v>
      </c>
      <c r="L6" s="692">
        <v>3500</v>
      </c>
      <c r="M6" s="64">
        <f t="shared" ref="M6:M14" si="0">ROUND(K6*L6/10000,0)</f>
        <v>602</v>
      </c>
      <c r="N6" s="690">
        <f>N20</f>
        <v>0.69</v>
      </c>
      <c r="O6" s="64" t="str">
        <f>IF($N$5="成新度","——",ROUND(M6*N6,0))</f>
        <v>——</v>
      </c>
      <c r="P6" s="65" t="str">
        <f>IF($N$5="成新度","——",M6-O6)</f>
        <v>——</v>
      </c>
      <c r="Q6" s="693">
        <v>0.1</v>
      </c>
      <c r="R6" s="66">
        <f ca="1">SUMIF('数据-汇总表'!C$19:C$33,A6,'数据-汇总表'!R$19:R$27)</f>
        <v>690.56</v>
      </c>
      <c r="S6" s="49">
        <f>IF('数据-汇总表'!$I$17="按面积比例",SUMIF('数据-汇总表'!C$19:C$33,A6,'数据-汇总表'!K$19:K$33),SUMIF('数据-汇总表'!C$19:C$33,A6,'数据-汇总表'!N$19:N$33))</f>
        <v>0</v>
      </c>
      <c r="T6" s="1092">
        <f>ROUND($L$14*S6/10000,0)</f>
        <v>0</v>
      </c>
      <c r="U6" s="3180">
        <v>4</v>
      </c>
      <c r="V6" s="67">
        <v>0.02</v>
      </c>
      <c r="W6" s="67">
        <v>0.1</v>
      </c>
      <c r="X6" s="979"/>
      <c r="Y6" s="68">
        <f>N6</f>
        <v>0.69</v>
      </c>
      <c r="Z6" s="69"/>
      <c r="AA6" s="63"/>
      <c r="AB6" s="63"/>
      <c r="AC6" s="979"/>
      <c r="AD6" s="70"/>
      <c r="AE6" s="980">
        <f ca="1">IF(AN6="",0,SUMIF(INDIRECT("'"&amp;AN6&amp;"'"&amp;"!E:E"),$AE$5,INDIRECT("'"&amp;AN6&amp;"'"&amp;"!F:F")))</f>
        <v>24.7</v>
      </c>
      <c r="AF6" s="74"/>
      <c r="AG6" s="130">
        <f>IF(AF6="",0,AE6-AF6)</f>
        <v>0</v>
      </c>
      <c r="AH6" s="71"/>
      <c r="AI6" s="73">
        <v>365</v>
      </c>
      <c r="AJ6" s="74"/>
      <c r="AK6" s="75">
        <v>3.0000000000000001E-3</v>
      </c>
      <c r="AL6" s="76">
        <v>1E-3</v>
      </c>
      <c r="AM6" s="77">
        <v>0.01</v>
      </c>
      <c r="AN6" s="1589" t="s">
        <v>3454</v>
      </c>
      <c r="AO6" s="50">
        <f ca="1">SUMIF(INDIRECT("'"&amp;AN6&amp;"'"&amp;"!A:A"),"总价",INDIRECT("'"&amp;AN6&amp;"'"&amp;"!B:B"))</f>
        <v>3012.2107999999998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0.76700000000000002</v>
      </c>
      <c r="H16" s="84">
        <f>ROUND(SUMPRODUCT(H6:H13,K6:K13)/SUMPRODUCT((H6:H13&gt;0)*(K6:K13)),3)</f>
        <v>0.05</v>
      </c>
      <c r="I16" s="85"/>
      <c r="J16" s="85"/>
      <c r="K16" s="86">
        <f>SUM(K6:K15)</f>
        <v>1721.28</v>
      </c>
      <c r="L16" s="87">
        <f>ROUND(M16*10000/SUM(K6:K14),0)</f>
        <v>3497</v>
      </c>
      <c r="M16" s="87">
        <f>SUM(M6:M14)</f>
        <v>602</v>
      </c>
      <c r="N16" s="88">
        <f>ROUND(SUMPRODUCT(M6:M14,N6:N14)/M16,3)</f>
        <v>0.69</v>
      </c>
      <c r="O16" s="87">
        <f>SUM(O6:O14)</f>
        <v>0</v>
      </c>
      <c r="P16" s="87">
        <f>SUM(P6:P14)</f>
        <v>0</v>
      </c>
      <c r="Q16" s="89">
        <f>ROUND(SUMPRODUCT(Q6:Q13,K6:K13)/SUMPRODUCT((Q6:Q13&gt;0)*(K6:K13)),2)</f>
        <v>0.1</v>
      </c>
      <c r="R16" s="974">
        <f ca="1">SUM(R6:R13)</f>
        <v>690.56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68" t="s">
        <v>3433</v>
      </c>
      <c r="N17" s="2446">
        <v>2000</v>
      </c>
      <c r="O17" s="3168" t="s">
        <v>3430</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3434</v>
      </c>
      <c r="N18" s="2446">
        <f>ROUND(1-(1-0)*(2025-N17)/60,2)</f>
        <v>0.57999999999999996</v>
      </c>
      <c r="O18" s="3168" t="s">
        <v>3432</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8" t="s">
        <v>3435</v>
      </c>
      <c r="N19" s="2446">
        <v>0.8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68" t="s">
        <v>3436</v>
      </c>
      <c r="N20" s="2446">
        <f>ROUND((N18+N19)/2,2)</f>
        <v>0.69</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69" t="s">
        <v>3437</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7" t="s">
        <v>2286</v>
      </c>
      <c r="B1" s="3268"/>
      <c r="C1" s="3268"/>
      <c r="D1" s="3268"/>
      <c r="E1" s="3268"/>
      <c r="F1" s="3268"/>
      <c r="G1" s="326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1721.28</v>
      </c>
      <c r="C1" s="2459"/>
      <c r="D1" s="2459"/>
      <c r="E1" s="2459"/>
      <c r="F1" s="2459"/>
      <c r="G1" s="2460"/>
      <c r="H1" s="2460"/>
      <c r="I1" s="2460"/>
      <c r="J1" s="2460"/>
      <c r="K1" s="2460"/>
    </row>
    <row r="2" spans="1:11" ht="16.2">
      <c r="A2" s="2298" t="s">
        <v>653</v>
      </c>
      <c r="B2" s="2298">
        <f>SUM(C14:C23)</f>
        <v>690.56</v>
      </c>
      <c r="C2" s="2459"/>
      <c r="D2" s="2459"/>
      <c r="E2" s="2459"/>
      <c r="F2" s="2459"/>
      <c r="G2" s="2460"/>
      <c r="H2" s="2460"/>
      <c r="I2" s="2460"/>
      <c r="J2" s="2460"/>
      <c r="K2" s="2460"/>
    </row>
    <row r="3" spans="1:11" ht="15.6">
      <c r="A3" s="2298" t="s">
        <v>662</v>
      </c>
      <c r="B3" s="2300">
        <f>项目基本情况!D3</f>
        <v>45866</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3626</v>
      </c>
      <c r="C5" s="2298">
        <f ca="1">IF(B5=D14,结果表!H102,ROUND(B5*10000/$B$1,0))</f>
        <v>21063</v>
      </c>
      <c r="D5" s="2298">
        <f ca="1">ROUND(B5*10000/$B$2,0)</f>
        <v>52508</v>
      </c>
      <c r="E5" s="2459"/>
      <c r="F5" s="2460"/>
      <c r="G5" s="2460"/>
      <c r="H5" s="2460"/>
      <c r="I5" s="2460"/>
      <c r="J5" s="2460"/>
      <c r="K5" s="2460"/>
    </row>
    <row r="6" spans="1:11" ht="15.6">
      <c r="A6" s="2298" t="s">
        <v>656</v>
      </c>
      <c r="B6" s="2298">
        <f ca="1">SUM(G14:G23)</f>
        <v>3626</v>
      </c>
      <c r="C6" s="2298">
        <f ca="1">IF(B6=G14,结果表!H108,ROUND(B6*10000/$B$1,0))</f>
        <v>21063</v>
      </c>
      <c r="D6" s="2298">
        <f ca="1">ROUND(B6*10000/$B$2,0)</f>
        <v>52508</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t="str">
        <f>IF(B8=I14,结果表!H112,ROUND(B8*10000/$B$1,0))</f>
        <v>——</v>
      </c>
      <c r="D8" s="2298">
        <f>ROUND(B8*10000/$B$2,0)</f>
        <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1721.28</v>
      </c>
      <c r="C14" s="2304">
        <f>'数据-汇总表'!D19</f>
        <v>690.56</v>
      </c>
      <c r="D14" s="2304">
        <f ca="1">结果表!H101</f>
        <v>3626</v>
      </c>
      <c r="E14" s="2304">
        <f ca="1">ROUND(D14*10000/B14,0)</f>
        <v>21066</v>
      </c>
      <c r="F14" s="2304">
        <f ca="1">ROUND(D14*10000/C14,0)</f>
        <v>52508</v>
      </c>
      <c r="G14" s="2304">
        <f ca="1">结果表!H107</f>
        <v>3626</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9" zoomScaleNormal="100" zoomScaleSheetLayoutView="100" zoomScalePageLayoutView="80" workbookViewId="0">
      <selection activeCell="G28" sqref="G2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3447</v>
      </c>
      <c r="D1" s="646"/>
      <c r="E1" s="646"/>
      <c r="F1" s="1621" t="s">
        <v>1263</v>
      </c>
      <c r="G1" s="1453" t="s">
        <v>3427</v>
      </c>
      <c r="H1" s="1621" t="str">
        <f>IF(G1="现房","——","估价对象范围")</f>
        <v>——</v>
      </c>
      <c r="I1" s="1622"/>
    </row>
    <row r="2" spans="1:12" ht="21.75" customHeight="1" thickBot="1">
      <c r="A2" s="3336" t="str">
        <f>项目基本情况!S2</f>
        <v>北京市海淀区上地信息路1号（北京实创高科技发展总公司1-1号）01-1幢4层A栋4层房地产</v>
      </c>
      <c r="B2" s="3337"/>
      <c r="C2" s="3337"/>
      <c r="D2" s="3337"/>
      <c r="E2" s="3337"/>
      <c r="F2" s="3337"/>
      <c r="G2" s="3337"/>
      <c r="H2" s="3337"/>
      <c r="I2" s="3338"/>
    </row>
    <row r="3" spans="1:12" ht="13.2">
      <c r="A3" s="3340" t="s">
        <v>1264</v>
      </c>
      <c r="B3" s="3341"/>
      <c r="C3" s="3341"/>
      <c r="D3" s="3341"/>
      <c r="E3" s="3341"/>
      <c r="F3" s="3341"/>
      <c r="G3" s="3341"/>
      <c r="H3" s="3341"/>
      <c r="I3" s="3341"/>
    </row>
    <row r="4" spans="1:12" ht="14.4">
      <c r="A4" s="1624" t="s">
        <v>1265</v>
      </c>
      <c r="B4" s="1625" t="s">
        <v>1266</v>
      </c>
      <c r="C4" s="1626" t="s">
        <v>3496</v>
      </c>
      <c r="D4" s="1626" t="s">
        <v>3454</v>
      </c>
      <c r="E4" s="3345" t="s">
        <v>1267</v>
      </c>
      <c r="F4" s="3346"/>
      <c r="G4" s="3346"/>
      <c r="H4" s="3346"/>
      <c r="I4" s="334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4" t="s">
        <v>1268</v>
      </c>
      <c r="B5" s="3339">
        <v>25</v>
      </c>
      <c r="C5" s="3342"/>
      <c r="D5" s="3330"/>
      <c r="E5" s="123" t="s">
        <v>1269</v>
      </c>
      <c r="F5" s="1627"/>
      <c r="G5" s="1627"/>
      <c r="H5" s="1627"/>
      <c r="I5" s="1281"/>
    </row>
    <row r="6" spans="1:12" ht="13.2">
      <c r="A6" s="3284"/>
      <c r="B6" s="3339"/>
      <c r="C6" s="3344"/>
      <c r="D6" s="3330"/>
      <c r="E6" s="123" t="s">
        <v>1270</v>
      </c>
      <c r="F6" s="1627"/>
      <c r="G6" s="1627"/>
      <c r="H6" s="1627"/>
      <c r="I6" s="1281"/>
    </row>
    <row r="7" spans="1:12" ht="13.2">
      <c r="A7" s="3284"/>
      <c r="B7" s="3339"/>
      <c r="C7" s="3343"/>
      <c r="D7" s="3330"/>
      <c r="E7" s="123" t="s">
        <v>1271</v>
      </c>
      <c r="F7" s="1627"/>
      <c r="G7" s="1627"/>
      <c r="H7" s="1627"/>
      <c r="I7" s="1281"/>
    </row>
    <row r="8" spans="1:12" ht="13.2">
      <c r="A8" s="3284" t="s">
        <v>1272</v>
      </c>
      <c r="B8" s="3339">
        <v>15</v>
      </c>
      <c r="C8" s="3342"/>
      <c r="D8" s="3330"/>
      <c r="E8" s="123" t="s">
        <v>1273</v>
      </c>
      <c r="F8" s="1627"/>
      <c r="G8" s="1627"/>
      <c r="H8" s="1627"/>
      <c r="I8" s="1281"/>
    </row>
    <row r="9" spans="1:12" ht="13.2">
      <c r="A9" s="3284"/>
      <c r="B9" s="3339"/>
      <c r="C9" s="3343"/>
      <c r="D9" s="3330"/>
      <c r="E9" s="123" t="s">
        <v>1274</v>
      </c>
      <c r="F9" s="1627"/>
      <c r="G9" s="1627"/>
      <c r="H9" s="1627"/>
      <c r="I9" s="1281"/>
    </row>
    <row r="10" spans="1:12" ht="13.2">
      <c r="A10" s="3284" t="s">
        <v>1275</v>
      </c>
      <c r="B10" s="3339">
        <v>15</v>
      </c>
      <c r="C10" s="3342"/>
      <c r="D10" s="3330"/>
      <c r="E10" s="123" t="s">
        <v>1276</v>
      </c>
      <c r="F10" s="1627"/>
      <c r="G10" s="1627"/>
      <c r="H10" s="1627"/>
      <c r="I10" s="1281"/>
    </row>
    <row r="11" spans="1:12" ht="13.2">
      <c r="A11" s="3284"/>
      <c r="B11" s="3339"/>
      <c r="C11" s="3343"/>
      <c r="D11" s="3330"/>
      <c r="E11" s="123" t="s">
        <v>1277</v>
      </c>
      <c r="F11" s="1627"/>
      <c r="G11" s="1627"/>
      <c r="H11" s="1627"/>
      <c r="I11" s="1281"/>
    </row>
    <row r="12" spans="1:12" ht="13.2">
      <c r="A12" s="3284" t="s">
        <v>1278</v>
      </c>
      <c r="B12" s="3339">
        <v>15</v>
      </c>
      <c r="C12" s="3342"/>
      <c r="D12" s="3330"/>
      <c r="E12" s="123" t="s">
        <v>1279</v>
      </c>
      <c r="F12" s="1627"/>
      <c r="G12" s="1627"/>
      <c r="H12" s="1627"/>
      <c r="I12" s="1281"/>
    </row>
    <row r="13" spans="1:12" ht="13.2">
      <c r="A13" s="3284"/>
      <c r="B13" s="3339"/>
      <c r="C13" s="3343"/>
      <c r="D13" s="3330"/>
      <c r="E13" s="123" t="s">
        <v>1280</v>
      </c>
      <c r="F13" s="1627"/>
      <c r="G13" s="1627"/>
      <c r="H13" s="1627"/>
      <c r="I13" s="1281"/>
    </row>
    <row r="14" spans="1:12" ht="13.2">
      <c r="A14" s="3284" t="s">
        <v>1281</v>
      </c>
      <c r="B14" s="3339">
        <v>30</v>
      </c>
      <c r="C14" s="3342">
        <v>6</v>
      </c>
      <c r="D14" s="3330">
        <v>4</v>
      </c>
      <c r="E14" s="123" t="s">
        <v>1282</v>
      </c>
      <c r="F14" s="1627"/>
      <c r="G14" s="1627"/>
      <c r="H14" s="1627"/>
      <c r="I14" s="1281"/>
    </row>
    <row r="15" spans="1:12" ht="13.2">
      <c r="A15" s="3284"/>
      <c r="B15" s="3339"/>
      <c r="C15" s="3344"/>
      <c r="D15" s="3330"/>
      <c r="E15" s="123" t="s">
        <v>1283</v>
      </c>
      <c r="F15" s="1627"/>
      <c r="G15" s="1627"/>
      <c r="H15" s="1627"/>
      <c r="I15" s="1281"/>
    </row>
    <row r="16" spans="1:12" ht="13.2">
      <c r="A16" s="3284"/>
      <c r="B16" s="3339"/>
      <c r="C16" s="3343"/>
      <c r="D16" s="3330"/>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1" t="s">
        <v>2131</v>
      </c>
      <c r="F18" s="3362"/>
      <c r="G18" s="3362"/>
      <c r="H18" s="3362"/>
      <c r="I18" s="3362"/>
      <c r="K18" s="294" t="s">
        <v>1289</v>
      </c>
      <c r="L18" s="294">
        <f>IF(C1="",'数据-汇总表'!E3,SUMIF(项目类型,C1,'数据-汇总表'!E17:E26)+SUMIF(项目类型,C1,'数据-汇总表'!I17:I26))</f>
        <v>1721.28</v>
      </c>
      <c r="M18" s="294">
        <f>IF(C1="",'数据-汇总表'!E3,SUMIF(项目类型,C1,'数据-汇总表'!E17:E26))</f>
        <v>1721.28</v>
      </c>
    </row>
    <row r="19" spans="1:36" ht="14.4">
      <c r="A19" s="1630" t="s">
        <v>1290</v>
      </c>
      <c r="B19" s="1631" t="s">
        <v>1291</v>
      </c>
      <c r="C19" s="126">
        <f ca="1">SUMIF(INDIRECT("'"&amp;C4&amp;"'"&amp;"!A:A"),结果表!B19,INDIRECT("'"&amp;C4&amp;"'"&amp;"!B:B"))</f>
        <v>4034.3361</v>
      </c>
      <c r="D19" s="127">
        <f ca="1">SUMIF(INDIRECT("'"&amp;D4&amp;"'"&amp;"!A:A"),结果表!B19,INDIRECT("'"&amp;D4&amp;"'"&amp;"!B:B"))</f>
        <v>3012.2107999999998</v>
      </c>
      <c r="E19" s="1630" t="s">
        <v>1292</v>
      </c>
      <c r="F19" s="1631" t="s">
        <v>1291</v>
      </c>
      <c r="G19" s="128">
        <f ca="1">ROUND(C19*$C$18+D19*$D$18,0)</f>
        <v>3625</v>
      </c>
      <c r="H19" s="1632" t="s">
        <v>1293</v>
      </c>
      <c r="I19" s="121"/>
      <c r="K19" s="294" t="s">
        <v>1294</v>
      </c>
      <c r="L19" s="294">
        <f>IF(C1="",'数据-汇总表'!D3,SUMIF(项目类型,C1,'数据-汇总表'!D17:D26)+SUMIF(项目类型,C1,'数据-汇总表'!H17:H27))</f>
        <v>690.56</v>
      </c>
      <c r="M19" s="294">
        <f>IF(C1="",'数据-汇总表'!D3,SUMIF(项目类型,C1,'数据-汇总表'!D17:D26))</f>
        <v>690.56</v>
      </c>
    </row>
    <row r="20" spans="1:36" ht="14.4">
      <c r="A20" s="1633"/>
      <c r="B20" s="43" t="s">
        <v>1295</v>
      </c>
      <c r="C20" s="129">
        <f ca="1">SUMIF(INDIRECT("'"&amp;C4&amp;"'"&amp;"!A:A"),结果表!B20,INDIRECT("'"&amp;C4&amp;"'"&amp;"!B:B"))</f>
        <v>23438</v>
      </c>
      <c r="D20" s="130">
        <f ca="1">SUMIF(INDIRECT("'"&amp;D4&amp;"'"&amp;"!A:A"),结果表!B20,INDIRECT("'"&amp;D4&amp;"'"&amp;"!B:B"))</f>
        <v>17500</v>
      </c>
      <c r="E20" s="1633"/>
      <c r="F20" s="43" t="s">
        <v>1295</v>
      </c>
      <c r="G20" s="131">
        <f ca="1">ROUND(C20*$C$18+D20*$D$18,0)</f>
        <v>21063</v>
      </c>
      <c r="H20" s="760" t="s">
        <v>1296</v>
      </c>
      <c r="I20" s="121"/>
    </row>
    <row r="21" spans="1:36" ht="15" customHeight="1" thickBot="1">
      <c r="A21" s="449"/>
      <c r="B21" s="93" t="s">
        <v>1297</v>
      </c>
      <c r="C21" s="678">
        <f ca="1">ROUND(C19*10000/L19,0)</f>
        <v>58421</v>
      </c>
      <c r="D21" s="679">
        <f ca="1">ROUND(D19*10000/L19,0)</f>
        <v>43620</v>
      </c>
      <c r="E21" s="449"/>
      <c r="F21" s="93" t="s">
        <v>1297</v>
      </c>
      <c r="G21" s="132">
        <f ca="1">ROUND(G19*10000/L19,0)</f>
        <v>52494</v>
      </c>
      <c r="H21" s="1634" t="s">
        <v>1296</v>
      </c>
      <c r="I21" s="121"/>
    </row>
    <row r="22" spans="1:36" ht="15" thickBot="1">
      <c r="A22" s="1564" t="s">
        <v>1298</v>
      </c>
      <c r="B22" s="1635"/>
      <c r="C22" s="1636"/>
      <c r="D22" s="680">
        <f ca="1">IF(C19&lt;D19,D19/C19-1,C19/D19-1)</f>
        <v>0.33932728081314911</v>
      </c>
      <c r="E22" s="121"/>
      <c r="F22" s="121"/>
      <c r="G22" s="121"/>
      <c r="H22" s="121"/>
      <c r="I22" s="121"/>
    </row>
    <row r="23" spans="1:36" ht="13.8" thickBot="1">
      <c r="A23" s="646"/>
      <c r="B23" s="646"/>
      <c r="C23" s="646"/>
      <c r="D23" s="646"/>
      <c r="E23" s="121"/>
      <c r="F23" s="121"/>
      <c r="G23" s="121"/>
      <c r="H23" s="121"/>
      <c r="I23" s="121"/>
    </row>
    <row r="24" spans="1:36" ht="14.4">
      <c r="A24" s="3354" t="s">
        <v>1299</v>
      </c>
      <c r="B24" s="1631" t="s">
        <v>1291</v>
      </c>
      <c r="C24" s="128">
        <f>IF(B30=0,0,D30)</f>
        <v>0</v>
      </c>
      <c r="D24" s="1637"/>
      <c r="E24" s="121"/>
      <c r="F24" s="121"/>
      <c r="G24" s="121"/>
      <c r="H24" s="121"/>
      <c r="I24" s="121"/>
    </row>
    <row r="25" spans="1:36" ht="14.4">
      <c r="A25" s="3355"/>
      <c r="B25" s="43" t="s">
        <v>1295</v>
      </c>
      <c r="C25" s="133">
        <f>IF(B30=0,0,C30)</f>
        <v>0</v>
      </c>
      <c r="D25" s="1638"/>
      <c r="E25" s="121"/>
      <c r="F25" s="3176" t="s">
        <v>3503</v>
      </c>
      <c r="G25" s="121"/>
      <c r="H25" s="121"/>
      <c r="I25" s="121"/>
    </row>
    <row r="26" spans="1:36" ht="13.5" customHeight="1">
      <c r="A26" s="1639" t="s">
        <v>1300</v>
      </c>
      <c r="B26" s="134" t="s">
        <v>1301</v>
      </c>
      <c r="C26" s="134" t="s">
        <v>1302</v>
      </c>
      <c r="D26" s="135" t="s">
        <v>1303</v>
      </c>
      <c r="E26" s="121"/>
      <c r="F26" s="3176" t="s">
        <v>3523</v>
      </c>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21063</v>
      </c>
      <c r="D32" s="1641" t="s">
        <v>3525</v>
      </c>
      <c r="E32" s="121"/>
      <c r="F32" s="121"/>
      <c r="G32" s="121"/>
      <c r="H32" s="121"/>
      <c r="I32" s="121"/>
    </row>
    <row r="33" spans="1:15" ht="14.4">
      <c r="A33" s="740" t="s">
        <v>1306</v>
      </c>
      <c r="B33" s="123"/>
      <c r="C33" s="1642" t="s">
        <v>3497</v>
      </c>
      <c r="D33" s="1643" t="s">
        <v>3454</v>
      </c>
      <c r="E33" s="1644" t="s">
        <v>1307</v>
      </c>
      <c r="F33" s="1645" t="str">
        <f>IF(D32="楼面单价","取值（单价）","取值（总价）")</f>
        <v>取值（单价）</v>
      </c>
      <c r="G33" s="121"/>
      <c r="H33" s="121"/>
      <c r="I33" s="121"/>
    </row>
    <row r="34" spans="1:15" ht="14.4">
      <c r="A34" s="1646"/>
      <c r="B34" s="1647" t="s">
        <v>1308</v>
      </c>
      <c r="C34" s="140">
        <f ca="1">IF(C33="自定义",F34,C32-C35)</f>
        <v>16345</v>
      </c>
      <c r="D34" s="808">
        <f ca="1">IF(C33="自定义",ROUND(C34/C32,3),IF(C33="收益比率",SUMIF(INDIRECT("'"&amp;D33&amp;"'"&amp;"!b:b"),"土地收益比率",INDIRECT("'"&amp;D33&amp;"'"&amp;"!c:c")),SUMIF(INDIRECT("'"&amp;D33&amp;"'"&amp;"!b:b"),"土地成本比率",INDIRECT("'"&amp;D33&amp;"'"&amp;"!c:c"))))</f>
        <v>0.77600000000000002</v>
      </c>
      <c r="E34" s="1648" t="s">
        <v>1309</v>
      </c>
      <c r="F34" s="1243">
        <f ca="1">H101-F35</f>
        <v>2779.0491000000002</v>
      </c>
      <c r="G34" s="121"/>
      <c r="H34" s="121"/>
      <c r="I34" s="121"/>
    </row>
    <row r="35" spans="1:15" ht="15" thickBot="1">
      <c r="A35" s="1649"/>
      <c r="B35" s="1650" t="s">
        <v>1310</v>
      </c>
      <c r="C35" s="1090">
        <f ca="1">IF(C33="自定义",F35,ROUND(C32*D35,0))</f>
        <v>4718</v>
      </c>
      <c r="D35" s="1091">
        <f ca="1">IF(C33="自定义",ROUND(C35/C32,3),IF(C33="收益比率",SUMIF(INDIRECT("'"&amp;D33&amp;"'"&amp;"!b:b"),"建筑物收益比率",INDIRECT("'"&amp;D33&amp;"'"&amp;"!c:c")),SUMIF(INDIRECT("'"&amp;D33&amp;"'"&amp;"!b:b"),"建筑物成本比率",INDIRECT("'"&amp;D33&amp;"'"&amp;"!c:c"))))</f>
        <v>0.224</v>
      </c>
      <c r="E35" s="1651" t="s">
        <v>1311</v>
      </c>
      <c r="F35" s="146">
        <f ca="1">'收益法 (元)'!C29/10000</f>
        <v>846.95090000000005</v>
      </c>
      <c r="G35" s="121"/>
      <c r="H35" s="121"/>
      <c r="I35" s="121"/>
    </row>
    <row r="36" spans="1:15" ht="15" thickBot="1">
      <c r="A36" s="3331" t="s">
        <v>1312</v>
      </c>
      <c r="B36" s="1652" t="s">
        <v>1313</v>
      </c>
      <c r="C36" s="137"/>
      <c r="D36" s="1653"/>
      <c r="E36" s="1567"/>
      <c r="F36" s="1654"/>
      <c r="G36" s="121"/>
      <c r="H36" s="121"/>
      <c r="I36" s="121"/>
    </row>
    <row r="37" spans="1:15" ht="15" thickBot="1">
      <c r="A37" s="3332"/>
      <c r="B37" s="1555" t="s">
        <v>1314</v>
      </c>
      <c r="C37" s="139"/>
      <c r="D37" s="1071"/>
      <c r="E37" s="1071"/>
      <c r="F37" s="1654"/>
      <c r="G37" s="121"/>
      <c r="H37" s="121"/>
      <c r="I37" s="121"/>
    </row>
    <row r="38" spans="1:15" ht="15" thickBot="1">
      <c r="A38" s="333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1" t="s">
        <v>1326</v>
      </c>
      <c r="B45" s="3352"/>
      <c r="C45" s="3353"/>
      <c r="D45" s="147">
        <f ca="1">ROUND(H101*F45,0)</f>
        <v>3626</v>
      </c>
      <c r="E45" s="148" t="s">
        <v>1327</v>
      </c>
      <c r="F45" s="149">
        <v>1</v>
      </c>
      <c r="G45" s="150" t="s">
        <v>1328</v>
      </c>
      <c r="H45" s="121"/>
      <c r="I45" s="121"/>
      <c r="J45" s="3271" t="s">
        <v>1329</v>
      </c>
      <c r="K45" s="3271"/>
      <c r="L45" s="3271"/>
      <c r="M45" s="3271"/>
      <c r="N45" s="3271"/>
      <c r="O45" s="3271"/>
    </row>
    <row r="46" spans="1:15" ht="14.25" customHeight="1">
      <c r="A46" s="3348" t="s">
        <v>1330</v>
      </c>
      <c r="B46" s="3349"/>
      <c r="C46" s="3349"/>
      <c r="D46" s="3349"/>
      <c r="E46" s="3349"/>
      <c r="F46" s="3349"/>
      <c r="G46" s="3350"/>
      <c r="H46" s="1668"/>
      <c r="I46" s="151"/>
      <c r="J46" s="2308">
        <v>1</v>
      </c>
      <c r="K46" s="3272" t="s">
        <v>1331</v>
      </c>
      <c r="L46" s="3272"/>
      <c r="M46" s="3273"/>
      <c r="N46" s="3273"/>
      <c r="O46" s="3273"/>
    </row>
    <row r="47" spans="1:15" ht="12" customHeight="1">
      <c r="A47" s="152" t="s">
        <v>1332</v>
      </c>
      <c r="B47" s="153"/>
      <c r="C47" s="154"/>
      <c r="D47" s="1024" t="s">
        <v>1333</v>
      </c>
      <c r="E47" s="294" t="s">
        <v>1334</v>
      </c>
      <c r="F47" s="155" t="s">
        <v>1335</v>
      </c>
      <c r="G47" s="2331" t="s">
        <v>1336</v>
      </c>
      <c r="H47" s="2332"/>
      <c r="I47" s="151"/>
      <c r="J47" s="2308">
        <v>2</v>
      </c>
      <c r="K47" s="3272" t="s">
        <v>1337</v>
      </c>
      <c r="L47" s="3272"/>
      <c r="M47" s="3274">
        <f>'数据-取费表'!B2</f>
        <v>45866</v>
      </c>
      <c r="N47" s="3274"/>
      <c r="O47" s="3274"/>
    </row>
    <row r="48" spans="1:15" ht="26.4">
      <c r="A48" s="3334" t="s">
        <v>1338</v>
      </c>
      <c r="B48" s="3335"/>
      <c r="C48" s="333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72" t="s">
        <v>1340</v>
      </c>
      <c r="L48" s="3272"/>
      <c r="M48" s="3275">
        <f ca="1">H101</f>
        <v>3626</v>
      </c>
      <c r="N48" s="3275"/>
      <c r="O48" s="3275"/>
    </row>
    <row r="49" spans="1:35" ht="25.5" customHeight="1">
      <c r="A49" s="2152" t="s">
        <v>1341</v>
      </c>
      <c r="B49" s="3320" t="s">
        <v>1342</v>
      </c>
      <c r="C49" s="3320"/>
      <c r="D49" s="1478">
        <v>0</v>
      </c>
      <c r="E49" s="316" t="s">
        <v>1343</v>
      </c>
      <c r="F49" s="2231" t="s">
        <v>28</v>
      </c>
      <c r="G49" s="3303"/>
      <c r="H49" s="2134" t="s">
        <v>2134</v>
      </c>
      <c r="I49" s="2135"/>
      <c r="J49" s="2308">
        <v>4</v>
      </c>
      <c r="K49" s="3272" t="str">
        <f>IF(项目基本情况!E8="房地产抵押价值","房地产抵押价值","抵押担保权已注销时的房地产抵押价值")</f>
        <v>房地产抵押价值</v>
      </c>
      <c r="L49" s="3272"/>
      <c r="M49" s="3275">
        <f ca="1">IF(项目基本情况!E8="房地产抵押价值",H107,H109)</f>
        <v>3626</v>
      </c>
      <c r="N49" s="3275"/>
      <c r="O49" s="3275"/>
    </row>
    <row r="50" spans="1:35" ht="25.5" customHeight="1">
      <c r="A50" s="2336"/>
      <c r="B50" s="3320" t="s">
        <v>1344</v>
      </c>
      <c r="C50" s="3320"/>
      <c r="D50" s="2189"/>
      <c r="E50" s="323"/>
      <c r="F50" s="2231"/>
      <c r="G50" s="3304"/>
      <c r="H50" s="2136" t="s">
        <v>2135</v>
      </c>
      <c r="I50" s="2135"/>
      <c r="J50" s="3271" t="s">
        <v>1345</v>
      </c>
      <c r="K50" s="3271"/>
      <c r="L50" s="3271"/>
      <c r="M50" s="3271"/>
      <c r="N50" s="3271"/>
      <c r="O50" s="3271"/>
    </row>
    <row r="51" spans="1:35" ht="20.399999999999999" customHeight="1">
      <c r="A51" s="2337"/>
      <c r="B51" s="3320" t="s">
        <v>1346</v>
      </c>
      <c r="C51" s="3320"/>
      <c r="D51" s="1024"/>
      <c r="E51" s="319"/>
      <c r="F51" s="2231"/>
      <c r="G51" s="3305"/>
      <c r="H51" s="2136" t="s">
        <v>2136</v>
      </c>
      <c r="I51" s="2135"/>
      <c r="J51" s="2309" t="s">
        <v>1347</v>
      </c>
      <c r="K51" s="3272" t="s">
        <v>1348</v>
      </c>
      <c r="L51" s="3272"/>
      <c r="M51" s="2309" t="s">
        <v>1349</v>
      </c>
      <c r="N51" s="2309" t="s">
        <v>1350</v>
      </c>
      <c r="O51" s="2309" t="s">
        <v>1351</v>
      </c>
    </row>
    <row r="52" spans="1:35" ht="24" customHeight="1">
      <c r="A52" s="2153" t="s">
        <v>1352</v>
      </c>
      <c r="B52" s="3320" t="s">
        <v>1353</v>
      </c>
      <c r="C52" s="3320"/>
      <c r="D52" s="1024">
        <f ca="1">ROUND(D45*'数据-取费表'!B41/(1+'数据-取费表'!C42),0)</f>
        <v>193</v>
      </c>
      <c r="E52" s="1256" t="s">
        <v>1354</v>
      </c>
      <c r="F52" s="2338">
        <f>'数据-取费表'!B41</f>
        <v>5.6000000000000001E-2</v>
      </c>
      <c r="G52" s="2339"/>
      <c r="H52" s="2329"/>
      <c r="I52" s="1669"/>
      <c r="J52" s="2308">
        <v>1</v>
      </c>
      <c r="K52" s="3297" t="s">
        <v>1355</v>
      </c>
      <c r="L52" s="3297"/>
      <c r="M52" s="2310" t="b">
        <f>D48</f>
        <v>0</v>
      </c>
      <c r="N52" s="2308" t="str">
        <f>E48</f>
        <v>销售额×税（费）率</v>
      </c>
      <c r="O52" s="2311">
        <f>F48</f>
        <v>5.6000000000000001E-2</v>
      </c>
    </row>
    <row r="53" spans="1:35" ht="12" customHeight="1">
      <c r="A53" s="2153" t="s">
        <v>1356</v>
      </c>
      <c r="B53" s="3321" t="s">
        <v>2291</v>
      </c>
      <c r="C53" s="3322"/>
      <c r="D53" s="1024">
        <f ca="1">ROUND(D45*'数据-取费表'!B41/(1+'数据-取费表'!C42),0)</f>
        <v>193</v>
      </c>
      <c r="E53" s="1256" t="s">
        <v>1354</v>
      </c>
      <c r="F53" s="2338">
        <f>'数据-取费表'!B41</f>
        <v>5.6000000000000001E-2</v>
      </c>
      <c r="G53" s="2339"/>
      <c r="H53" s="2329"/>
      <c r="I53" s="1669"/>
      <c r="J53" s="2308">
        <v>2</v>
      </c>
      <c r="K53" s="3297" t="s">
        <v>1357</v>
      </c>
      <c r="L53" s="3297"/>
      <c r="M53" s="2310">
        <f t="shared" ref="M53:O54" ca="1" si="0">D55</f>
        <v>2</v>
      </c>
      <c r="N53" s="2308" t="str">
        <f t="shared" si="0"/>
        <v>销售额×税（费）率</v>
      </c>
      <c r="O53" s="2311" t="str">
        <f t="shared" si="0"/>
        <v>免征</v>
      </c>
    </row>
    <row r="54" spans="1:35" ht="12" customHeight="1">
      <c r="A54" s="2153" t="s">
        <v>1358</v>
      </c>
      <c r="B54" s="3321" t="s">
        <v>2292</v>
      </c>
      <c r="C54" s="3322"/>
      <c r="D54" s="1024">
        <f ca="1">C68</f>
        <v>193</v>
      </c>
      <c r="E54" s="319" t="s">
        <v>1359</v>
      </c>
      <c r="F54" s="2338">
        <f>'数据-取费表'!B41</f>
        <v>5.6000000000000001E-2</v>
      </c>
      <c r="G54" s="2339"/>
      <c r="H54" s="2340"/>
      <c r="I54" s="1669"/>
      <c r="J54" s="2308">
        <v>3</v>
      </c>
      <c r="K54" s="3297" t="s">
        <v>1360</v>
      </c>
      <c r="L54" s="3297"/>
      <c r="M54" s="2310">
        <f t="shared" ca="1" si="0"/>
        <v>2052</v>
      </c>
      <c r="N54" s="2308" t="str">
        <f t="shared" si="0"/>
        <v>增值额×税（费）率</v>
      </c>
      <c r="O54" s="2312" t="str">
        <f t="shared" si="0"/>
        <v>免征</v>
      </c>
    </row>
    <row r="55" spans="1:35" ht="24" customHeight="1">
      <c r="A55" s="3357" t="s">
        <v>1361</v>
      </c>
      <c r="B55" s="3335"/>
      <c r="C55" s="3335"/>
      <c r="D55" s="12">
        <f ca="1">IF(H55="个人住宅",0,ROUND(D45*I55,0))</f>
        <v>2</v>
      </c>
      <c r="E55" s="1256" t="s">
        <v>1362</v>
      </c>
      <c r="F55" s="2338" t="str">
        <f>IF(H55="正常",I55,"免征")</f>
        <v>免征</v>
      </c>
      <c r="G55" s="2339"/>
      <c r="H55" s="2335"/>
      <c r="I55" s="157">
        <f>'数据-取费表'!B49</f>
        <v>5.0000000000000001E-4</v>
      </c>
      <c r="J55" s="2308">
        <f>IF(H59="非个人房产","",4)</f>
        <v>4</v>
      </c>
      <c r="K55" s="3297" t="str">
        <f>IF(H59="非个人房产","——","个人所得税")</f>
        <v>个人所得税</v>
      </c>
      <c r="L55" s="3297"/>
      <c r="M55" s="2313">
        <f ca="1">D59</f>
        <v>35</v>
      </c>
      <c r="N55" s="1883" t="str">
        <f>E59</f>
        <v>差额计税</v>
      </c>
      <c r="O55" s="2314">
        <f>F59</f>
        <v>0.01</v>
      </c>
    </row>
    <row r="56" spans="1:35" ht="25.2">
      <c r="A56" s="3357" t="s">
        <v>1363</v>
      </c>
      <c r="B56" s="3335"/>
      <c r="C56" s="3335"/>
      <c r="D56" s="12">
        <f ca="1">IF(H56="个人住宅",D57,D58)</f>
        <v>2052</v>
      </c>
      <c r="E56" s="1256" t="s">
        <v>1364</v>
      </c>
      <c r="F56" s="2338" t="str">
        <f>IF(H56="正常",F58,"免征")</f>
        <v>免征</v>
      </c>
      <c r="G56" s="2341" t="s">
        <v>1365</v>
      </c>
      <c r="H56" s="2342"/>
      <c r="I56" s="1670"/>
      <c r="J56" s="2308" t="str">
        <f>IF(项目基本情况!K6="上海银行",IF(J55="",4,J55+1),"")</f>
        <v/>
      </c>
      <c r="K56" s="3278" t="str">
        <f>IF(项目基本情况!K6="上海银行","其他处置费用","")</f>
        <v/>
      </c>
      <c r="L56" s="3279"/>
      <c r="M56" s="2310" t="str">
        <f>IF(项目基本情况!K6="上海银行",M69,"")</f>
        <v/>
      </c>
      <c r="N56" s="3278" t="str">
        <f>IF(项目基本情况!K6="上海银行","包含处置中涉及的律师、诉讼、拍卖、评估等费用","")</f>
        <v/>
      </c>
      <c r="O56" s="3281"/>
    </row>
    <row r="57" spans="1:35" ht="13.2">
      <c r="A57" s="2153" t="s">
        <v>1341</v>
      </c>
      <c r="B57" s="3321" t="s">
        <v>1366</v>
      </c>
      <c r="C57" s="3322"/>
      <c r="D57" s="1478">
        <v>0</v>
      </c>
      <c r="E57" s="316" t="s">
        <v>1343</v>
      </c>
      <c r="F57" s="294"/>
      <c r="G57" s="2339"/>
      <c r="H57" s="2343"/>
      <c r="I57" s="1670"/>
      <c r="J57" s="3297">
        <f>IF(AND(J55="",J56=""),4,IF(项目基本情况!K6="上海银行",结果表!J56+1,结果表!J55+1))</f>
        <v>5</v>
      </c>
      <c r="K57" s="3297" t="s">
        <v>1367</v>
      </c>
      <c r="L57" s="2315" t="s">
        <v>1368</v>
      </c>
      <c r="M57" s="2316"/>
      <c r="N57" s="2317">
        <f ca="1">SUMIF(M52:M56,"&lt;9e307")</f>
        <v>2089</v>
      </c>
      <c r="O57" s="2318"/>
      <c r="P57" s="2462">
        <f ca="1">N57/M49</f>
        <v>0.57611693325979041</v>
      </c>
    </row>
    <row r="58" spans="1:35" ht="25.2">
      <c r="A58" s="2153" t="s">
        <v>1352</v>
      </c>
      <c r="B58" s="3321" t="s">
        <v>1369</v>
      </c>
      <c r="C58" s="3320"/>
      <c r="D58" s="12">
        <f ca="1">IF(H58="转让取得",C81,C97)</f>
        <v>2052</v>
      </c>
      <c r="E58" s="1256" t="s">
        <v>1364</v>
      </c>
      <c r="F58" s="294" t="s">
        <v>28</v>
      </c>
      <c r="G58" s="2339"/>
      <c r="H58" s="2342"/>
      <c r="I58" s="1670"/>
      <c r="J58" s="3297"/>
      <c r="K58" s="3297"/>
      <c r="L58" s="2315" t="s">
        <v>1370</v>
      </c>
      <c r="M58" s="2319"/>
      <c r="N58" s="2320" t="str">
        <f ca="1">NUMBERSTRING(INT(N57*10000),2)&amp;"元整"</f>
        <v>贰仟零捌拾玖万元整</v>
      </c>
      <c r="O58" s="2321"/>
    </row>
    <row r="59" spans="1:35" ht="24.6" thickBot="1">
      <c r="A59" s="3301" t="s">
        <v>1371</v>
      </c>
      <c r="B59" s="3302"/>
      <c r="C59" s="3302"/>
      <c r="D59" s="2344">
        <f ca="1">IF(H59="非个人房产","——",IF(H59="个人住宅（满五唯一有凭证）",0,IF(H59="个人其他（无凭证）",ROUND(D45*F59,0),ROUND(C67*F59,0))))</f>
        <v>35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299">
        <f>J57+1</f>
        <v>6</v>
      </c>
      <c r="K59" s="3297" t="s">
        <v>1372</v>
      </c>
      <c r="L59" s="2308" t="s">
        <v>1368</v>
      </c>
      <c r="M59" s="2322"/>
      <c r="N59" s="2323">
        <f ca="1">M49-N57</f>
        <v>1537</v>
      </c>
      <c r="O59" s="2324"/>
    </row>
    <row r="60" spans="1:35" ht="12" customHeight="1">
      <c r="A60" s="1671"/>
      <c r="B60" s="646"/>
      <c r="C60" s="646"/>
      <c r="D60" s="646"/>
      <c r="E60" s="1466"/>
      <c r="F60" s="1670"/>
      <c r="G60" s="1670"/>
      <c r="H60" s="151"/>
      <c r="I60" s="121"/>
      <c r="J60" s="3300"/>
      <c r="K60" s="3297"/>
      <c r="L60" s="2315" t="s">
        <v>1370</v>
      </c>
      <c r="M60" s="2319"/>
      <c r="N60" s="2320" t="str">
        <f ca="1">NUMBERSTRING(INT(N59*10000),2)&amp;"元整"</f>
        <v>壹仟伍佰叁拾柒万元整</v>
      </c>
      <c r="O60" s="2321"/>
    </row>
    <row r="61" spans="1:35" ht="13.8" thickBot="1">
      <c r="A61" s="3356" t="s">
        <v>1373</v>
      </c>
      <c r="B61" s="3356"/>
      <c r="C61" s="3356"/>
      <c r="D61" s="3356"/>
      <c r="E61" s="3356"/>
      <c r="F61" s="1670"/>
      <c r="G61" s="1670"/>
      <c r="H61" s="151"/>
      <c r="I61" s="121"/>
      <c r="J61" s="2308">
        <f>J59+1</f>
        <v>7</v>
      </c>
      <c r="K61" s="3297" t="s">
        <v>1374</v>
      </c>
      <c r="L61" s="3297"/>
      <c r="M61" s="2325"/>
      <c r="N61" s="2326">
        <f ca="1">ROUND(N59*10000/'数据-汇总表'!E3,0)</f>
        <v>8929</v>
      </c>
      <c r="O61" s="2327"/>
    </row>
    <row r="62" spans="1:35" ht="13.2">
      <c r="A62" s="3316" t="s">
        <v>1375</v>
      </c>
      <c r="B62" s="3317"/>
      <c r="C62" s="1865"/>
      <c r="D62" s="1865" t="s">
        <v>1376</v>
      </c>
      <c r="E62" s="158" t="s">
        <v>1377</v>
      </c>
      <c r="F62" s="1670"/>
      <c r="G62" s="1670"/>
      <c r="H62" s="151"/>
      <c r="I62" s="121"/>
    </row>
    <row r="63" spans="1:35" ht="13.2">
      <c r="A63" s="165" t="s">
        <v>330</v>
      </c>
      <c r="B63" s="159" t="s">
        <v>1378</v>
      </c>
      <c r="C63" s="2348">
        <f ca="1">ROUND((C64+C65)/(1+'数据-取费表'!C42),0)</f>
        <v>3453</v>
      </c>
      <c r="D63" s="159"/>
      <c r="E63" s="160"/>
      <c r="F63" s="1670"/>
      <c r="G63" s="1670"/>
      <c r="H63" s="151"/>
      <c r="I63" s="121"/>
      <c r="J63" s="3280" t="s">
        <v>1379</v>
      </c>
      <c r="K63" s="1245" t="s">
        <v>1380</v>
      </c>
      <c r="L63" s="1245">
        <f ca="1">IF(M49&gt;10000,M49*0.5%,IF(AND(M49&gt;1000,M49&lt;=10000),M49*1%,IF(AND(M49&gt;100,M49&lt;=1000),M49*3%,IF(AND(M49&gt;10,M49&lt;=100),M49*5%,M49*8%))))</f>
        <v>36.26</v>
      </c>
      <c r="M63" s="294">
        <f ca="1">ROUND(L63,1)</f>
        <v>36.299999999999997</v>
      </c>
      <c r="N63" s="2328"/>
      <c r="Z63" s="1623"/>
      <c r="AI63" s="1561"/>
    </row>
    <row r="64" spans="1:35" ht="14.25" customHeight="1">
      <c r="A64" s="161" t="s">
        <v>325</v>
      </c>
      <c r="B64" s="162" t="s">
        <v>1381</v>
      </c>
      <c r="C64" s="2349">
        <f ca="1">D45</f>
        <v>3626</v>
      </c>
      <c r="D64" s="162" t="s">
        <v>26</v>
      </c>
      <c r="E64" s="164"/>
      <c r="F64" s="1670"/>
      <c r="G64" s="1670"/>
      <c r="H64" s="151"/>
      <c r="I64" s="121"/>
      <c r="J64" s="3280"/>
      <c r="K64" s="1245" t="s">
        <v>1382</v>
      </c>
      <c r="L64" s="1245">
        <f ca="1">IF(M49&gt;2000,M49*0.5%,IF(AND(M49&gt;1000,M49&lt;=2000),M49*0.6%,IF(AND(M49&gt;500,M49&lt;=1000),M49*0.7%,IF(AND(M49&gt;200,M49&lt;=500),M49*0.8%,IF(AND(M49&gt;100,M49&lt;=200),M49*0.9%,IF(AND(M49&gt;50,M49&lt;=100),M49*1%,IF(AND(M49&gt;20,M49&lt;=50),M49*1.5%,IF(AND(M49&gt;10,M49&lt;=20),M49*2%,IF(AND(M49&gt;1,M49&lt;=10),M49*2.5%)))))))))</f>
        <v>18.13</v>
      </c>
      <c r="M64" s="294">
        <f t="shared" ref="M64:M65" ca="1" si="1">ROUND(L64,1)</f>
        <v>18.100000000000001</v>
      </c>
      <c r="N64" s="2329" t="s">
        <v>1383</v>
      </c>
      <c r="Z64" s="1623"/>
      <c r="AI64" s="1561"/>
    </row>
    <row r="65" spans="1:35" ht="14.25" customHeight="1">
      <c r="A65" s="161" t="s">
        <v>326</v>
      </c>
      <c r="B65" s="162" t="s">
        <v>1384</v>
      </c>
      <c r="C65" s="2350"/>
      <c r="D65" s="162"/>
      <c r="E65" s="164"/>
      <c r="F65" s="1670"/>
      <c r="G65" s="1670"/>
      <c r="H65" s="151"/>
      <c r="I65" s="121"/>
      <c r="J65" s="3280"/>
      <c r="K65" s="1245" t="s">
        <v>1385</v>
      </c>
      <c r="L65" s="1245">
        <f ca="1">IF(M49&gt;1000,M49*0.1%,IF(AND(M49&gt;500,M49&lt;=1000),M49*0.5%,IF(AND(M49&gt;50,M49&lt;=500),M49*1%,IF(AND(M49&gt;1,M49&lt;=50),M49*1.5%))))</f>
        <v>3.6259999999999999</v>
      </c>
      <c r="M65" s="294">
        <f t="shared" ca="1" si="1"/>
        <v>3.6</v>
      </c>
      <c r="N65" s="2329" t="s">
        <v>1383</v>
      </c>
      <c r="Z65" s="1623"/>
      <c r="AI65" s="1561"/>
    </row>
    <row r="66" spans="1:35" ht="14.25" customHeight="1">
      <c r="A66" s="165" t="s">
        <v>327</v>
      </c>
      <c r="B66" s="166" t="s">
        <v>1386</v>
      </c>
      <c r="C66" s="2351"/>
      <c r="D66" s="166" t="s">
        <v>26</v>
      </c>
      <c r="E66" s="1251" t="s">
        <v>671</v>
      </c>
      <c r="F66" s="1670"/>
      <c r="G66" s="1670"/>
      <c r="H66" s="151"/>
      <c r="I66" s="121"/>
      <c r="J66" s="3280"/>
      <c r="K66" s="1245" t="s">
        <v>1387</v>
      </c>
      <c r="L66" s="1245">
        <f ca="1">M49*0.5%</f>
        <v>18.13</v>
      </c>
      <c r="M66" s="294">
        <f ca="1">IF(L66&gt;0.5,0.5,ROUND(L66,0))</f>
        <v>0.5</v>
      </c>
      <c r="N66" s="2329" t="s">
        <v>1388</v>
      </c>
      <c r="Z66" s="1623"/>
      <c r="AI66" s="1561"/>
    </row>
    <row r="67" spans="1:35" ht="14.25" customHeight="1">
      <c r="A67" s="165" t="s">
        <v>328</v>
      </c>
      <c r="B67" s="166" t="s">
        <v>1389</v>
      </c>
      <c r="C67" s="2352">
        <f ca="1">C63-C66</f>
        <v>3453</v>
      </c>
      <c r="D67" s="162" t="s">
        <v>26</v>
      </c>
      <c r="E67" s="164"/>
      <c r="F67" s="1670"/>
      <c r="G67" s="1670"/>
      <c r="H67" s="151"/>
      <c r="I67" s="121"/>
      <c r="J67" s="3280"/>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193</v>
      </c>
      <c r="D68" s="2354">
        <f>'数据-取费表'!B41</f>
        <v>5.6000000000000001E-2</v>
      </c>
      <c r="E68" s="170"/>
      <c r="F68" s="1670"/>
      <c r="G68" s="1670"/>
      <c r="H68" s="151"/>
      <c r="I68" s="121"/>
      <c r="J68" s="3280"/>
      <c r="K68" s="1245" t="s">
        <v>1392</v>
      </c>
      <c r="L68" s="1245">
        <f ca="1">IF(M49&gt;10000,M49*0.5%,IF(AND(M49&gt;5000,M49&lt;=10000),M49*1%,IF(AND(M49&gt;1000,M49&lt;=5000),M49*2%,IF(AND(M49&gt;200,M49&lt;=1000),M49*3%,M49*5%))))</f>
        <v>72.52</v>
      </c>
      <c r="M68" s="294">
        <f ca="1">ROUND(L68,1)</f>
        <v>72.5</v>
      </c>
      <c r="N68" s="2328"/>
      <c r="Z68" s="1623"/>
      <c r="AI68" s="1561"/>
    </row>
    <row r="69" spans="1:35" ht="16.5" customHeight="1">
      <c r="A69" s="1672"/>
      <c r="B69" s="1673"/>
      <c r="C69" s="1674"/>
      <c r="D69" s="1675"/>
      <c r="E69" s="1676"/>
      <c r="F69" s="1466"/>
      <c r="G69" s="1466"/>
      <c r="H69" s="1467"/>
      <c r="I69" s="646"/>
      <c r="J69" s="3280"/>
      <c r="K69" s="1245" t="s">
        <v>1393</v>
      </c>
      <c r="L69" s="1245"/>
      <c r="M69" s="294">
        <f ca="1">ROUND(SUM(M63:M68),0)</f>
        <v>133</v>
      </c>
      <c r="N69" s="2330">
        <f ca="1">M69/M49</f>
        <v>3.6679536679536683E-2</v>
      </c>
      <c r="Z69" s="1623"/>
      <c r="AI69" s="1561"/>
    </row>
    <row r="70" spans="1:35" s="642" customFormat="1" ht="14.4"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6" t="s">
        <v>1375</v>
      </c>
      <c r="B71" s="331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3453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1" t="s">
        <v>1402</v>
      </c>
      <c r="F76" s="3320"/>
      <c r="G76" s="3320"/>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21</v>
      </c>
      <c r="D78" s="2361">
        <f>'数据-取费表'!B43</f>
        <v>6.000000000000001E-3</v>
      </c>
      <c r="E78" s="3313" t="s">
        <v>1406</v>
      </c>
      <c r="F78" s="3314"/>
      <c r="G78" s="3314"/>
      <c r="H78" s="331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3432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163.42857142857142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2052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6" t="s">
        <v>1375</v>
      </c>
      <c r="B84" s="331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3453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21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82" t="s">
        <v>2129</v>
      </c>
      <c r="H90" s="3283"/>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3" t="s">
        <v>1419</v>
      </c>
      <c r="F91" s="3314"/>
      <c r="G91" s="331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3" t="s">
        <v>1422</v>
      </c>
      <c r="F92" s="3314"/>
      <c r="G92" s="3314"/>
      <c r="H92" s="3315"/>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21</v>
      </c>
      <c r="D93" s="2361">
        <f>'数据-取费表'!B43</f>
        <v>6.000000000000001E-3</v>
      </c>
      <c r="E93" s="3313" t="s">
        <v>1406</v>
      </c>
      <c r="F93" s="3314"/>
      <c r="G93" s="3314"/>
      <c r="H93" s="331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8" t="s">
        <v>1426</v>
      </c>
      <c r="F94" s="3359"/>
      <c r="G94" s="3359"/>
      <c r="H94" s="336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3432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163.42857142857142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2052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98"/>
      <c r="E100" s="3264" t="s">
        <v>1429</v>
      </c>
      <c r="F100" s="3264"/>
      <c r="G100" s="3264"/>
      <c r="H100" s="3298"/>
      <c r="I100" s="121"/>
    </row>
    <row r="101" spans="1:35" ht="18.75" customHeight="1">
      <c r="A101" s="3306" t="s">
        <v>1430</v>
      </c>
      <c r="B101" s="3307"/>
      <c r="C101" s="2369" t="str">
        <f>C4</f>
        <v>比较法-办公</v>
      </c>
      <c r="D101" s="2370" t="str">
        <f>D4</f>
        <v>收益法 (元)</v>
      </c>
      <c r="E101" s="3276" t="s">
        <v>1431</v>
      </c>
      <c r="F101" s="3277"/>
      <c r="G101" s="1687" t="s">
        <v>1432</v>
      </c>
      <c r="H101" s="2379">
        <f ca="1">H118</f>
        <v>3626</v>
      </c>
      <c r="I101" s="121"/>
    </row>
    <row r="102" spans="1:35" ht="18.75" customHeight="1">
      <c r="A102" s="3308" t="s">
        <v>1433</v>
      </c>
      <c r="B102" s="2368" t="s">
        <v>1432</v>
      </c>
      <c r="C102" s="2369">
        <f ca="1">IF(D32="楼面单价",ROUND(C19,0),C19)</f>
        <v>4034</v>
      </c>
      <c r="D102" s="2370">
        <f ca="1">IF(D32="楼面单价",ROUND(D19,0),D19)</f>
        <v>3012</v>
      </c>
      <c r="E102" s="3276"/>
      <c r="F102" s="3277"/>
      <c r="G102" s="1687" t="s">
        <v>1434</v>
      </c>
      <c r="H102" s="2339">
        <f ca="1">I118</f>
        <v>21063</v>
      </c>
      <c r="I102" s="121"/>
    </row>
    <row r="103" spans="1:35" ht="42.75" customHeight="1">
      <c r="A103" s="3308"/>
      <c r="B103" s="2368" t="s">
        <v>1434</v>
      </c>
      <c r="C103" s="2371">
        <f ca="1">C20</f>
        <v>23438</v>
      </c>
      <c r="D103" s="2372">
        <f ca="1">D20</f>
        <v>17500</v>
      </c>
      <c r="E103" s="3269" t="s">
        <v>1435</v>
      </c>
      <c r="F103" s="3270"/>
      <c r="G103" s="1688" t="s">
        <v>1436</v>
      </c>
      <c r="H103" s="2379">
        <f>IF(D36="正常操作",H104+H105+H106,H105+H106)</f>
        <v>0</v>
      </c>
      <c r="I103" s="121"/>
    </row>
    <row r="104" spans="1:35" ht="18.75" customHeight="1">
      <c r="A104" s="3308" t="s">
        <v>1437</v>
      </c>
      <c r="B104" s="2373" t="s">
        <v>1432</v>
      </c>
      <c r="C104" s="2374">
        <f ca="1">H118</f>
        <v>3626</v>
      </c>
      <c r="D104" s="2375"/>
      <c r="E104" s="1555" t="s">
        <v>1438</v>
      </c>
      <c r="F104" s="1548"/>
      <c r="G104" s="1688" t="s">
        <v>1436</v>
      </c>
      <c r="H104" s="2380">
        <f>IF(D36="同一抵押权人同一抵押物续贷",C36&amp;"（续贷，未扣减，详见特别提示）",C36)</f>
        <v>0</v>
      </c>
      <c r="I104" s="121"/>
    </row>
    <row r="105" spans="1:35" ht="18.75" customHeight="1" thickBot="1">
      <c r="A105" s="3318"/>
      <c r="B105" s="2376" t="s">
        <v>1434</v>
      </c>
      <c r="C105" s="2377">
        <f ca="1">I118</f>
        <v>21063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9" t="str">
        <f>IF(项目基本情况!E8="已注销","——","3.房地产抵押价值")</f>
        <v>3.房地产抵押价值</v>
      </c>
      <c r="F107" s="3277"/>
      <c r="G107" s="1687" t="s">
        <v>1432</v>
      </c>
      <c r="H107" s="2379">
        <f ca="1">IF(E107="——","——",H101-H103)</f>
        <v>3626</v>
      </c>
      <c r="I107" s="121"/>
    </row>
    <row r="108" spans="1:35" ht="18.75" customHeight="1">
      <c r="A108" s="121"/>
      <c r="B108" s="121"/>
      <c r="C108" s="121"/>
      <c r="D108" s="121"/>
      <c r="E108" s="3309"/>
      <c r="F108" s="3277"/>
      <c r="G108" s="1687" t="s">
        <v>1434</v>
      </c>
      <c r="H108" s="2339">
        <f ca="1">IF(H107=H101,H102,ROUND(H107*10000/'数据-汇总表'!E3,0))</f>
        <v>21063</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277"/>
      <c r="G109" s="1687" t="s">
        <v>1432</v>
      </c>
      <c r="H109" s="2382" t="str">
        <f>IF(E109="——","——",H101-H105-H106)</f>
        <v>——</v>
      </c>
      <c r="I109" s="121"/>
    </row>
    <row r="110" spans="1:35" ht="18.75" customHeight="1">
      <c r="A110" s="121"/>
      <c r="B110" s="121"/>
      <c r="C110" s="121"/>
      <c r="D110" s="121"/>
      <c r="E110" s="3309"/>
      <c r="F110" s="3277"/>
      <c r="G110" s="1687" t="s">
        <v>1434</v>
      </c>
      <c r="H110" s="2339" t="str">
        <f>IF(H109="——","——",ROUND(H109*10000/'数据-汇总表'!E3,0))</f>
        <v>——</v>
      </c>
      <c r="I110" s="121"/>
    </row>
    <row r="111" spans="1:35" ht="18.75" customHeight="1">
      <c r="A111" s="121"/>
      <c r="B111" s="121"/>
      <c r="C111" s="121"/>
      <c r="D111" s="121"/>
      <c r="E111" s="3310" t="str">
        <f>IF(项目基本情况!E9="抵押净值",IF(OR(项目基本情况!E8="已注销",项目基本情况!E8="房地产抵押价值"),"4.抵押净值","5.抵押净值"),"——")</f>
        <v>——</v>
      </c>
      <c r="F111" s="3296"/>
      <c r="G111" s="1687" t="s">
        <v>1432</v>
      </c>
      <c r="H111" s="2379" t="str">
        <f>IF(E111="——","——",N59)</f>
        <v>——</v>
      </c>
      <c r="I111" s="121"/>
    </row>
    <row r="112" spans="1:35" ht="18.75" customHeight="1" thickBot="1">
      <c r="A112" s="121"/>
      <c r="B112" s="121"/>
      <c r="C112" s="121"/>
      <c r="D112" s="121"/>
      <c r="E112" s="3311"/>
      <c r="F112" s="3312"/>
      <c r="G112" s="1690" t="s">
        <v>1434</v>
      </c>
      <c r="H112" s="2383"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4" t="s">
        <v>1443</v>
      </c>
      <c r="B116" s="3288" t="s">
        <v>1444</v>
      </c>
      <c r="C116" s="3288" t="s">
        <v>1445</v>
      </c>
      <c r="D116" s="3294" t="s">
        <v>1446</v>
      </c>
      <c r="E116" s="3295"/>
      <c r="F116" s="3326" t="s">
        <v>1447</v>
      </c>
      <c r="G116" s="3326"/>
      <c r="H116" s="3284" t="s">
        <v>1448</v>
      </c>
      <c r="I116" s="3284"/>
    </row>
    <row r="117" spans="1:27" ht="18.75" customHeight="1">
      <c r="A117" s="3284"/>
      <c r="B117" s="3289"/>
      <c r="C117" s="3289"/>
      <c r="D117" s="2150" t="s">
        <v>1449</v>
      </c>
      <c r="E117" s="2150" t="s">
        <v>1450</v>
      </c>
      <c r="F117" s="2150" t="s">
        <v>1449</v>
      </c>
      <c r="G117" s="2150" t="s">
        <v>1451</v>
      </c>
      <c r="H117" s="2150" t="s">
        <v>1449</v>
      </c>
      <c r="I117" s="2150" t="s">
        <v>1451</v>
      </c>
    </row>
    <row r="118" spans="1:27" ht="24.75" customHeight="1">
      <c r="A118" s="2384" t="str">
        <f>项目基本情况!S2</f>
        <v>北京市海淀区上地信息路1号（北京实创高科技发展总公司1-1号）01-1幢4层A栋4层房地产</v>
      </c>
      <c r="B118" s="2150">
        <f>M18</f>
        <v>1721.28</v>
      </c>
      <c r="C118" s="2150">
        <f>M19</f>
        <v>690.56</v>
      </c>
      <c r="D118" s="2150">
        <f ca="1">ROUND(IF(D32="总价",C34,E118*B118/10000),0)</f>
        <v>2813</v>
      </c>
      <c r="E118" s="2150">
        <f ca="1">ROUND(IF(C33="自定义",IF(D32="楼面单价",C34,D118*10000/B118),I118-G118),0)</f>
        <v>16345</v>
      </c>
      <c r="F118" s="2150">
        <f ca="1">ROUND(IF(D32="总价",C35,G118*B118/10000),0)</f>
        <v>812</v>
      </c>
      <c r="G118" s="2150">
        <f ca="1">ROUND(IF(D32="楼面单价",C35,F118*10000/B118),0)</f>
        <v>4718</v>
      </c>
      <c r="H118" s="2150">
        <f ca="1">ROUND(IF(D32="总价",C32,I118*B118/10000),0)</f>
        <v>3626</v>
      </c>
      <c r="I118" s="2150">
        <f ca="1">ROUND(IF(D32="楼面单价",C32,H118*10000/B118),0)</f>
        <v>21063</v>
      </c>
    </row>
    <row r="119" spans="1:27" ht="18.75" customHeight="1">
      <c r="A119" s="3284" t="s">
        <v>1452</v>
      </c>
      <c r="B119" s="3284"/>
      <c r="C119" s="3284"/>
      <c r="D119" s="3290" t="str">
        <f ca="1">NUMBERSTRING(INT(D118*10000),2)&amp;"元整"</f>
        <v>贰仟捌佰壹拾叁万元整</v>
      </c>
      <c r="E119" s="3291"/>
      <c r="F119" s="3290" t="str">
        <f ca="1">NUMBERSTRING(INT(F118*10000),2)&amp;"元整"</f>
        <v>捌佰壹拾贰万元整</v>
      </c>
      <c r="G119" s="3291"/>
      <c r="H119" s="3290" t="str">
        <f ca="1">NUMBERSTRING(INT(H118*10000),2)&amp;"元整"</f>
        <v>叁仟陆佰贰拾陆万元整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0" t="s">
        <v>1452</v>
      </c>
      <c r="B121" s="3292"/>
      <c r="C121" s="3291"/>
      <c r="D121" s="3290" t="str">
        <f>IF(D120=0,"零元整",NUMBERSTRING(INT(D120*10000),2)&amp;"元整")</f>
        <v>零元整</v>
      </c>
      <c r="E121" s="3292"/>
      <c r="F121" s="3292"/>
      <c r="G121" s="3292"/>
      <c r="H121" s="3292"/>
      <c r="I121" s="3291"/>
      <c r="AA121" s="684"/>
    </row>
    <row r="122" spans="1:27" ht="18.75" customHeight="1">
      <c r="A122" s="3296" t="str">
        <f>IF(项目基本情况!B9="房地产市场价值","",MID(E107,3,LEN(E107)-2))</f>
        <v>房地产抵押价值</v>
      </c>
      <c r="B122" s="3296"/>
      <c r="C122" s="3296"/>
      <c r="D122" s="3285">
        <f ca="1">H107</f>
        <v>3626</v>
      </c>
      <c r="E122" s="3286"/>
      <c r="F122" s="3286"/>
      <c r="G122" s="3286"/>
      <c r="H122" s="3286"/>
      <c r="I122" s="3287"/>
      <c r="AA122" s="684"/>
    </row>
    <row r="123" spans="1:27" ht="18.75" customHeight="1">
      <c r="A123" s="3284" t="s">
        <v>1452</v>
      </c>
      <c r="B123" s="3284"/>
      <c r="C123" s="3284"/>
      <c r="D123" s="3290" t="str">
        <f ca="1">NUMBERSTRING(INT(D122*10000),2)&amp;"元整"</f>
        <v>叁仟陆佰贰拾陆万元整</v>
      </c>
      <c r="E123" s="3292"/>
      <c r="F123" s="3292"/>
      <c r="G123" s="3292"/>
      <c r="H123" s="3292"/>
      <c r="I123" s="3291"/>
      <c r="AA123" s="684"/>
    </row>
    <row r="124" spans="1:27" ht="18.75" customHeight="1">
      <c r="A124" s="3296" t="str">
        <f>IF(项目基本情况!B9="房地产市场价值","",MID(E109,3,LEN(E109)-2))</f>
        <v/>
      </c>
      <c r="B124" s="3296"/>
      <c r="C124" s="3296"/>
      <c r="D124" s="3285" t="str">
        <f>H109</f>
        <v>——</v>
      </c>
      <c r="E124" s="3286"/>
      <c r="F124" s="3286"/>
      <c r="G124" s="3286"/>
      <c r="H124" s="3286"/>
      <c r="I124" s="3287"/>
      <c r="AA124" s="684"/>
    </row>
    <row r="125" spans="1:27" ht="18.75" customHeight="1">
      <c r="A125" s="3284" t="s">
        <v>1452</v>
      </c>
      <c r="B125" s="3284"/>
      <c r="C125" s="3284"/>
      <c r="D125" s="3290" t="e">
        <f>NUMBERSTRING(INT(D124*10000),2)&amp;"元整"</f>
        <v>#VALUE!</v>
      </c>
      <c r="E125" s="3292"/>
      <c r="F125" s="3292"/>
      <c r="G125" s="3292"/>
      <c r="H125" s="3292"/>
      <c r="I125" s="3291"/>
      <c r="AA125" s="684"/>
    </row>
    <row r="126" spans="1:27" ht="18.75" customHeight="1">
      <c r="A126" s="3296" t="str">
        <f>IF(项目基本情况!B9="房地产市场价值","",MID(E111,3,LEN(E111)-2))</f>
        <v/>
      </c>
      <c r="B126" s="3296"/>
      <c r="C126" s="3296"/>
      <c r="D126" s="3285" t="str">
        <f>H111</f>
        <v>——</v>
      </c>
      <c r="E126" s="3286"/>
      <c r="F126" s="3286"/>
      <c r="G126" s="3286"/>
      <c r="H126" s="3286"/>
      <c r="I126" s="3287"/>
      <c r="AA126" s="684"/>
    </row>
    <row r="127" spans="1:27" ht="18.75" customHeight="1">
      <c r="A127" s="3284" t="s">
        <v>1452</v>
      </c>
      <c r="B127" s="3284"/>
      <c r="C127" s="3284"/>
      <c r="D127" s="3290" t="e">
        <f>NUMBERSTRING(INT(D126*10000),2)&amp;"元整"</f>
        <v>#VALUE!</v>
      </c>
      <c r="E127" s="3292"/>
      <c r="F127" s="3292"/>
      <c r="G127" s="3292"/>
      <c r="H127" s="3292"/>
      <c r="I127" s="3291"/>
      <c r="AA127" s="684"/>
    </row>
    <row r="128" spans="1:27" ht="21.75" customHeight="1">
      <c r="A128" s="3293" t="s">
        <v>1453</v>
      </c>
      <c r="B128" s="3293"/>
      <c r="C128" s="3293"/>
      <c r="D128" s="3293"/>
      <c r="E128" s="3293"/>
      <c r="F128" s="3293"/>
      <c r="G128" s="3293"/>
      <c r="H128" s="3293"/>
      <c r="I128" s="329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es2DyWT3lOlSIsW8m4p4QWgB4m7egdXMU/qkU694yh5YgjxA7eXoFVDtBToX1PC5DNB/ZoX3ClBOQG8CZ5KZyg==" saltValue="ERx9/cXWgSlyAIxxEbVtJ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-38</v>
      </c>
      <c r="C2" s="268" t="s">
        <v>1595</v>
      </c>
      <c r="D2" s="268"/>
      <c r="E2" s="2565"/>
      <c r="F2" s="2565"/>
      <c r="G2" s="2565"/>
      <c r="H2" s="2565"/>
      <c r="I2" s="2565"/>
      <c r="J2" s="2565"/>
      <c r="K2" s="2565"/>
    </row>
    <row r="3" spans="1:33" ht="18" customHeight="1" thickBot="1">
      <c r="A3" s="195" t="s">
        <v>1464</v>
      </c>
      <c r="B3" s="196">
        <f ca="1">ROUND(B2*10000/IF(C1="",'数据-汇总表'!E3,INDIRECT("'数据-取费表'!K"&amp;$K$1)),0)</f>
        <v>-221</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1721.28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1721.28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34</v>
      </c>
      <c r="D20" s="796">
        <f ca="1">IF(C1="",'数据-汇总表'!E6,IF(INDIRECT("'数据-取费表'!c"&amp;$K$1)="住宅",INDIRECT("'数据-取费表'!s"&amp;$K$1),INDIRECT("'数据-取费表'!k"&amp;$K$1)+INDIRECT("'数据-取费表'!s"&amp;$K$1)))</f>
        <v>1721.28</v>
      </c>
      <c r="E20" s="21">
        <f>'数据-取费表'!B28</f>
        <v>200</v>
      </c>
      <c r="F20" s="756"/>
      <c r="G20" s="12"/>
      <c r="H20" s="761"/>
      <c r="I20" s="761"/>
      <c r="J20" s="761"/>
      <c r="K20" s="762"/>
    </row>
    <row r="21" spans="1:33" s="755" customFormat="1" ht="13.5" customHeight="1">
      <c r="A21" s="744" t="s">
        <v>357</v>
      </c>
      <c r="B21" s="765" t="s">
        <v>1628</v>
      </c>
      <c r="C21" s="766">
        <f ca="1">C16+C17+C18</f>
        <v>34</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200-000000000000}">
      <formula1>项目类型</formula1>
    </dataValidation>
    <dataValidation type="list" allowBlank="1" showInputMessage="1" showErrorMessage="1" sqref="G18" xr:uid="{00000000-0002-0000-12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北京市海淀区上地信息路1号（北京实创高科技发展总公司1-1号）01-1幢4层A栋4层房地产抵押价值预评估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92D050"/>
    <pageSetUpPr fitToPage="1"/>
  </sheetPr>
  <dimension ref="A1:AC113"/>
  <sheetViews>
    <sheetView view="pageBreakPreview" topLeftCell="A28" zoomScale="60" zoomScaleNormal="60" workbookViewId="0">
      <selection activeCell="H58" sqref="H5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3447</v>
      </c>
      <c r="E1" s="3129" t="s">
        <v>3452</v>
      </c>
      <c r="F1" s="1735" t="s">
        <v>3453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IF(E1="项目模式",IF(C2="——",ROUND(C43*D3/10000,0),ROUND(C43*D3/10000,0)-D2),IF(E1="单套模式",IF(C2="——",ROUND(C43*D3/10000,4),ROUND(C43*D3/10000,4)-D2)))</f>
        <v>#N/A</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#N/A</v>
      </c>
      <c r="C3" s="344" t="s">
        <v>1768</v>
      </c>
      <c r="D3" s="343">
        <f>IF(D1="",'数据-汇总表'!E3,SUMIF('数据-汇总表'!$C19:$C33,D1,'数据-汇总表'!$E19:$E33))</f>
        <v>1721.28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860"/>
      <c r="M4" s="861"/>
      <c r="N4" s="861"/>
      <c r="O4" s="861"/>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c r="A5" s="348"/>
      <c r="B5" s="349"/>
      <c r="C5" s="3374" t="s">
        <v>3470</v>
      </c>
      <c r="D5" s="3375"/>
      <c r="E5" s="3372" t="str">
        <f>'售价案例-'!N4</f>
        <v>金隅嘉华大厦</v>
      </c>
      <c r="F5" s="3373"/>
      <c r="G5" s="3378" t="str">
        <f>'售价案例-'!N5</f>
        <v>群英科技园</v>
      </c>
      <c r="H5" s="3375"/>
      <c r="I5" s="3378" t="str">
        <f>'售价案例-'!N6</f>
        <v>盈创动力大厦</v>
      </c>
      <c r="J5" s="3375"/>
      <c r="K5" s="537"/>
      <c r="L5" s="860"/>
      <c r="M5" s="861"/>
      <c r="N5" s="861"/>
      <c r="O5" s="861"/>
      <c r="P5" s="3388"/>
      <c r="Q5" s="3389"/>
      <c r="R5" s="3370"/>
      <c r="S5" s="3371"/>
      <c r="T5" s="3370"/>
      <c r="U5" s="3371"/>
      <c r="V5" s="3394"/>
      <c r="W5" s="3394"/>
      <c r="X5" s="1265"/>
      <c r="Y5" s="3370"/>
      <c r="Z5" s="3371"/>
      <c r="AA5" s="3364"/>
      <c r="AB5" s="3364"/>
      <c r="AC5" s="3364"/>
    </row>
    <row r="6" spans="1:29" ht="15" thickBot="1">
      <c r="A6" s="350"/>
      <c r="B6" s="351"/>
      <c r="C6" s="3376" t="s">
        <v>1677</v>
      </c>
      <c r="D6" s="3377"/>
      <c r="E6" s="3379" t="s">
        <v>1677</v>
      </c>
      <c r="F6" s="3380"/>
      <c r="G6" s="3376" t="s">
        <v>1677</v>
      </c>
      <c r="H6" s="3377"/>
      <c r="I6" s="3376" t="s">
        <v>1677</v>
      </c>
      <c r="J6" s="3377"/>
      <c r="K6" s="537" t="s">
        <v>1678</v>
      </c>
      <c r="L6" s="860"/>
      <c r="M6" s="861"/>
      <c r="N6" s="861"/>
      <c r="O6" s="861"/>
      <c r="P6" s="3390"/>
      <c r="Q6" s="3391"/>
      <c r="R6" s="3370"/>
      <c r="S6" s="3371"/>
      <c r="T6" s="3392"/>
      <c r="U6" s="3393"/>
      <c r="V6" s="3394"/>
      <c r="W6" s="3394"/>
      <c r="X6" s="1265"/>
      <c r="Y6" s="3392"/>
      <c r="Z6" s="3393"/>
      <c r="AA6" s="3365"/>
      <c r="AB6" s="3365"/>
      <c r="AC6" s="3365"/>
    </row>
    <row r="7" spans="1:29" s="102" customFormat="1" ht="15" thickBot="1">
      <c r="A7" s="352" t="s">
        <v>1679</v>
      </c>
      <c r="B7" s="353"/>
      <c r="C7" s="354">
        <f>'数据-取费表'!B2</f>
        <v>45866</v>
      </c>
      <c r="D7" s="355">
        <v>100</v>
      </c>
      <c r="E7" s="356">
        <f>C7</f>
        <v>45866</v>
      </c>
      <c r="F7" s="357">
        <f>SUMIF(52:52,YEAR(E7)&amp;"-"&amp;MONTH(E7),53:53)</f>
        <v>100</v>
      </c>
      <c r="G7" s="356">
        <f>C7</f>
        <v>45866</v>
      </c>
      <c r="H7" s="355">
        <f>SUMIF(52:52,YEAR(G7)&amp;"-"&amp;MONTH(G7),53:53)</f>
        <v>100</v>
      </c>
      <c r="I7" s="356">
        <f>C7</f>
        <v>45866</v>
      </c>
      <c r="J7" s="355">
        <f>SUMIF(52:52,YEAR(I7)&amp;"-"&amp;MONTH(I7),53:53)</f>
        <v>100</v>
      </c>
      <c r="K7" s="38"/>
      <c r="L7" s="862"/>
      <c r="M7" s="863"/>
      <c r="N7" s="863"/>
      <c r="O7" s="863"/>
      <c r="P7" s="3366" t="s">
        <v>1680</v>
      </c>
      <c r="Q7" s="3395"/>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50">
        <f>D7/J7</f>
        <v>1</v>
      </c>
    </row>
    <row r="8" spans="1:29" s="102" customFormat="1" ht="15" thickBot="1">
      <c r="A8" s="352" t="s">
        <v>1681</v>
      </c>
      <c r="B8" s="353"/>
      <c r="C8" s="358" t="s">
        <v>3464</v>
      </c>
      <c r="D8" s="355">
        <v>100</v>
      </c>
      <c r="E8" s="358" t="s">
        <v>3465</v>
      </c>
      <c r="F8" s="357">
        <f>SUMIF(55:55,E8,56:56)-SUMIF(55:55,C8,56:56)+100</f>
        <v>102</v>
      </c>
      <c r="G8" s="358" t="s">
        <v>3465</v>
      </c>
      <c r="H8" s="355">
        <f>SUMIF(55:55,G8,56:56)-SUMIF(55:55,C8,56:56)+100</f>
        <v>102</v>
      </c>
      <c r="I8" s="358" t="s">
        <v>3465</v>
      </c>
      <c r="J8" s="355">
        <f>SUMIF(55:55,I8,56:56)-SUMIF(55:55,C8,56:56)+100</f>
        <v>102</v>
      </c>
      <c r="K8" s="38"/>
      <c r="L8" s="862"/>
      <c r="M8" s="863"/>
      <c r="N8" s="863"/>
      <c r="O8" s="863"/>
      <c r="P8" s="3366" t="s">
        <v>1683</v>
      </c>
      <c r="Q8" s="3367"/>
      <c r="R8" s="664" t="s">
        <v>14</v>
      </c>
      <c r="S8" s="665">
        <f t="shared" si="0"/>
        <v>102</v>
      </c>
      <c r="T8" s="664" t="s">
        <v>14</v>
      </c>
      <c r="U8" s="665">
        <f t="shared" si="1"/>
        <v>102</v>
      </c>
      <c r="V8" s="664" t="s">
        <v>14</v>
      </c>
      <c r="W8" s="665">
        <f t="shared" si="2"/>
        <v>102</v>
      </c>
      <c r="X8" s="666"/>
      <c r="Y8" s="3366" t="s">
        <v>1683</v>
      </c>
      <c r="Z8" s="3367"/>
      <c r="AA8" s="50">
        <f t="shared" ref="AA8:AA40" si="3">D8/F8</f>
        <v>0.98039215686274506</v>
      </c>
      <c r="AB8" s="50">
        <f t="shared" ref="AB8:AB40" si="4">D8/H8</f>
        <v>0.98039215686274506</v>
      </c>
      <c r="AC8" s="50">
        <f t="shared" ref="AC8:AC40" si="5">D8/J8</f>
        <v>0.98039215686274506</v>
      </c>
    </row>
    <row r="9" spans="1:29" s="102" customFormat="1" ht="14.4">
      <c r="A9" s="359" t="s">
        <v>1684</v>
      </c>
      <c r="B9" s="60" t="s">
        <v>1685</v>
      </c>
      <c r="C9" s="3171" t="s">
        <v>3468</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8">
      <c r="A10" s="363"/>
      <c r="B10" s="364" t="s">
        <v>1688</v>
      </c>
      <c r="C10" s="3130" t="s">
        <v>3469</v>
      </c>
      <c r="D10" s="119">
        <v>100</v>
      </c>
      <c r="E10" s="3130" t="s">
        <v>3469</v>
      </c>
      <c r="F10" s="119">
        <f>SUMIF(59:59,E10,60:60)-SUMIF(59:59,C10,60:60)+100</f>
        <v>100</v>
      </c>
      <c r="G10" s="3131" t="s">
        <v>3471</v>
      </c>
      <c r="H10" s="119">
        <f>SUMIF(59:59,G10,60:60)-SUMIF(59:59,C10,60:60)+100</f>
        <v>99</v>
      </c>
      <c r="I10" s="3130" t="s">
        <v>3469</v>
      </c>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99</v>
      </c>
      <c r="V10" s="664" t="s">
        <v>14</v>
      </c>
      <c r="W10" s="665">
        <f t="shared" si="2"/>
        <v>100</v>
      </c>
      <c r="X10" s="666"/>
      <c r="Y10" s="3339"/>
      <c r="Z10" s="50" t="str">
        <f t="shared" si="7"/>
        <v>土地使用年限（年）</v>
      </c>
      <c r="AA10" s="50">
        <f t="shared" si="3"/>
        <v>1</v>
      </c>
      <c r="AB10" s="50">
        <f t="shared" si="4"/>
        <v>1.0101010101010102</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v>2003</v>
      </c>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f>I12-2+50-2025</f>
        <v>26</v>
      </c>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7"/>
      <c r="Q16" s="1263"/>
      <c r="R16" s="667"/>
      <c r="S16" s="668"/>
      <c r="T16" s="667"/>
      <c r="U16" s="668"/>
      <c r="V16" s="667"/>
      <c r="W16" s="668"/>
      <c r="X16" s="1265"/>
      <c r="Y16" s="339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7"/>
      <c r="Q18" s="1263"/>
      <c r="R18" s="667"/>
      <c r="S18" s="668"/>
      <c r="T18" s="667"/>
      <c r="U18" s="668"/>
      <c r="V18" s="667"/>
      <c r="W18" s="668"/>
      <c r="X18" s="1265"/>
      <c r="Y18" s="339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7"/>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7"/>
      <c r="Q20" s="1263"/>
      <c r="R20" s="667"/>
      <c r="S20" s="668"/>
      <c r="T20" s="667"/>
      <c r="U20" s="668"/>
      <c r="V20" s="667"/>
      <c r="W20" s="668"/>
      <c r="X20" s="1265"/>
      <c r="Y20" s="339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7"/>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7"/>
      <c r="Q22" s="1263"/>
      <c r="R22" s="667"/>
      <c r="S22" s="668"/>
      <c r="T22" s="667"/>
      <c r="U22" s="668"/>
      <c r="V22" s="667"/>
      <c r="W22" s="668"/>
      <c r="X22" s="1265"/>
      <c r="Y22" s="339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7"/>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7"/>
      <c r="Q24" s="1263"/>
      <c r="R24" s="667"/>
      <c r="S24" s="668"/>
      <c r="T24" s="667"/>
      <c r="U24" s="668"/>
      <c r="V24" s="667"/>
      <c r="W24" s="668"/>
      <c r="X24" s="1265"/>
      <c r="Y24" s="339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7"/>
      <c r="Q25" s="1263">
        <f>B25</f>
        <v>111</v>
      </c>
      <c r="R25" s="667" t="s">
        <v>14</v>
      </c>
      <c r="S25" s="668">
        <f>F25</f>
        <v>100</v>
      </c>
      <c r="T25" s="667" t="s">
        <v>14</v>
      </c>
      <c r="U25" s="668">
        <f>H25</f>
        <v>100</v>
      </c>
      <c r="V25" s="667" t="s">
        <v>14</v>
      </c>
      <c r="W25" s="668">
        <f>J25</f>
        <v>100</v>
      </c>
      <c r="X25" s="1265"/>
      <c r="Y25" s="339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7"/>
      <c r="Q26" s="1263">
        <f t="shared" ref="Q26:Q40" si="11">B26</f>
        <v>111</v>
      </c>
      <c r="R26" s="667" t="s">
        <v>14</v>
      </c>
      <c r="S26" s="668">
        <f>F26</f>
        <v>100</v>
      </c>
      <c r="T26" s="667" t="s">
        <v>14</v>
      </c>
      <c r="U26" s="668">
        <f>H26</f>
        <v>100</v>
      </c>
      <c r="V26" s="667" t="s">
        <v>14</v>
      </c>
      <c r="W26" s="668">
        <f>J26</f>
        <v>100</v>
      </c>
      <c r="X26" s="1265"/>
      <c r="Y26" s="339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7"/>
      <c r="Q27" s="530">
        <f t="shared" si="11"/>
        <v>111</v>
      </c>
      <c r="R27" s="664" t="s">
        <v>14</v>
      </c>
      <c r="S27" s="665">
        <f>F27</f>
        <v>100</v>
      </c>
      <c r="T27" s="664" t="s">
        <v>14</v>
      </c>
      <c r="U27" s="665">
        <f>H27</f>
        <v>100</v>
      </c>
      <c r="V27" s="664" t="s">
        <v>14</v>
      </c>
      <c r="W27" s="665">
        <f>J27</f>
        <v>100</v>
      </c>
      <c r="X27" s="666"/>
      <c r="Y27" s="339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7"/>
      <c r="Q28" s="1263">
        <f t="shared" si="11"/>
        <v>111</v>
      </c>
      <c r="R28" s="667" t="s">
        <v>14</v>
      </c>
      <c r="S28" s="668">
        <f t="shared" ref="S28:S40" si="12">F28</f>
        <v>100</v>
      </c>
      <c r="T28" s="667" t="s">
        <v>14</v>
      </c>
      <c r="U28" s="668">
        <f t="shared" ref="U28:U40" si="13">H28</f>
        <v>100</v>
      </c>
      <c r="V28" s="667" t="s">
        <v>14</v>
      </c>
      <c r="W28" s="668">
        <f t="shared" ref="W28:W40" si="14">J28</f>
        <v>100</v>
      </c>
      <c r="X28" s="1265"/>
      <c r="Y28" s="339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98"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f>LOOKUP(E30,91:91,92:92)-LOOKUP(C30,91:91,92:92)+100</f>
        <v>100</v>
      </c>
      <c r="G30" s="368"/>
      <c r="H30" s="119">
        <f>LOOKUP(G30,91:91,92:92)-LOOKUP(C30,91:91,92:92)+100</f>
        <v>100</v>
      </c>
      <c r="I30" s="368"/>
      <c r="J30" s="119">
        <f>LOOKUP(I30,91:91,92:92)-LOOKUP(C30,91:91,92:92)+100</f>
        <v>100</v>
      </c>
      <c r="K30" s="539"/>
      <c r="L30" s="868"/>
      <c r="M30" s="871"/>
      <c r="N30" s="871"/>
      <c r="O30" s="872"/>
      <c r="P30" s="3399"/>
      <c r="Q30" s="531" t="str">
        <f t="shared" si="11"/>
        <v>项目建筑规模</v>
      </c>
      <c r="R30" s="669" t="s">
        <v>14</v>
      </c>
      <c r="S30" s="670">
        <f t="shared" si="12"/>
        <v>100</v>
      </c>
      <c r="T30" s="669" t="s">
        <v>14</v>
      </c>
      <c r="U30" s="670">
        <f t="shared" si="13"/>
        <v>100</v>
      </c>
      <c r="V30" s="669" t="s">
        <v>14</v>
      </c>
      <c r="W30" s="670">
        <f t="shared" si="14"/>
        <v>100</v>
      </c>
      <c r="X30" s="671"/>
      <c r="Y30" s="3399"/>
      <c r="Z30" s="672" t="str">
        <f t="shared" si="15"/>
        <v>项目建筑规模</v>
      </c>
      <c r="AA30" s="1264">
        <f t="shared" si="3"/>
        <v>1</v>
      </c>
      <c r="AB30" s="1264">
        <f t="shared" si="4"/>
        <v>1</v>
      </c>
      <c r="AC30" s="1264">
        <f t="shared" si="5"/>
        <v>1</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1" t="str">
        <f>A41</f>
        <v>成交单价（元/平方米）</v>
      </c>
      <c r="Q41" s="3381"/>
      <c r="R41" s="3394">
        <f>E41</f>
        <v>0</v>
      </c>
      <c r="S41" s="3394"/>
      <c r="T41" s="3394">
        <f>G41</f>
        <v>0</v>
      </c>
      <c r="U41" s="3394"/>
      <c r="V41" s="3394">
        <f>I41</f>
        <v>0</v>
      </c>
      <c r="W41" s="3394"/>
      <c r="X41" s="385"/>
      <c r="Y41" s="673"/>
      <c r="Z41" s="385"/>
      <c r="AA41" s="385"/>
      <c r="AB41" s="385"/>
      <c r="AC41" s="385"/>
    </row>
    <row r="42" spans="1:29" ht="1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381" t="str">
        <f>A42</f>
        <v>比较价值（元/平方米）</v>
      </c>
      <c r="Q42" s="3381"/>
      <c r="R42" s="3394" t="e">
        <f>IF(F1="售价",ROUND(PRODUCT(R41,AA7:AA40),0),ROUND(PRODUCT(R41,AA7:AA40),1))</f>
        <v>#N/A</v>
      </c>
      <c r="S42" s="3394"/>
      <c r="T42" s="3394" t="e">
        <f>IF(F1="售价",ROUND(PRODUCT(T41,AB7:AB40),0),ROUND(PRODUCT(T41,AB7:AB40),1))</f>
        <v>#N/A</v>
      </c>
      <c r="U42" s="3394"/>
      <c r="V42" s="3394" t="e">
        <f>IF(F1="售价",ROUND(PRODUCT(V41,AC7:AC40),0),ROUND(PRODUCT(V41,AC7:AC40),1))</f>
        <v>#N/A</v>
      </c>
      <c r="W42" s="3394"/>
      <c r="X42" s="385"/>
      <c r="Y42" s="385"/>
      <c r="Z42" s="385"/>
      <c r="AA42" s="385"/>
      <c r="AB42" s="385"/>
      <c r="AC42" s="385"/>
    </row>
    <row r="43" spans="1:29" ht="15" thickBot="1">
      <c r="A43" s="427" t="s">
        <v>1794</v>
      </c>
      <c r="B43" s="428"/>
      <c r="C43" s="351" t="e">
        <f>R43</f>
        <v>#N/A</v>
      </c>
      <c r="D43" s="351"/>
      <c r="E43" s="351"/>
      <c r="F43" s="351"/>
      <c r="G43" s="351"/>
      <c r="H43" s="351"/>
      <c r="I43" s="351"/>
      <c r="J43" s="351"/>
      <c r="K43" s="675"/>
      <c r="L43" s="873"/>
      <c r="M43" s="861"/>
      <c r="N43" s="861"/>
      <c r="O43" s="861"/>
      <c r="P43" s="3401" t="str">
        <f>A43</f>
        <v>估价对象XX用房的比较价值（楼面单价，元/平方米）</v>
      </c>
      <c r="Q43" s="3402"/>
      <c r="R43" s="3403" t="e">
        <f>IF(F1="售价",ROUND(IF(D42="简单平均",AVERAGE(R42:V42),R42*F42+T42*H42+V42*J42),0),ROUND(IF(D42="简单平均",AVERAGE(R42:V42),R42*F42+T42*H42+V42*J42),1))</f>
        <v>#N/A</v>
      </c>
      <c r="S43" s="3403"/>
      <c r="T43" s="3403"/>
      <c r="U43" s="3403"/>
      <c r="V43" s="3403"/>
      <c r="W43" s="340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497"/>
      <c r="L46" s="836"/>
      <c r="M46" s="861"/>
      <c r="N46" s="861"/>
      <c r="O46" s="861"/>
    </row>
    <row r="47" spans="1:29" ht="13.5" customHeight="1">
      <c r="A47" s="2485"/>
      <c r="B47" s="2485"/>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70" t="s">
        <v>3466</v>
      </c>
      <c r="E55" s="31"/>
      <c r="F55" s="31"/>
      <c r="G55" s="31"/>
      <c r="H55" s="31"/>
      <c r="I55" s="31"/>
      <c r="J55" s="31"/>
      <c r="K55" s="31"/>
      <c r="L55" s="457"/>
      <c r="M55" s="458"/>
      <c r="N55" s="878"/>
      <c r="O55" s="878"/>
      <c r="P55" s="459"/>
      <c r="Q55" s="439"/>
    </row>
    <row r="56" spans="1:17" s="102" customFormat="1" ht="14.4" thickBot="1">
      <c r="A56" s="455"/>
      <c r="B56" s="444"/>
      <c r="C56" s="563">
        <v>100</v>
      </c>
      <c r="D56" s="446">
        <v>102</v>
      </c>
      <c r="E56" s="446"/>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t="s">
        <v>3472</v>
      </c>
      <c r="D59" s="513" t="s">
        <v>3473</v>
      </c>
      <c r="E59" s="513" t="s">
        <v>3474</v>
      </c>
      <c r="F59" s="513" t="s">
        <v>3475</v>
      </c>
      <c r="G59" s="513" t="s">
        <v>3476</v>
      </c>
      <c r="H59" s="513"/>
      <c r="I59" s="513"/>
      <c r="J59" s="513"/>
      <c r="K59" s="514"/>
      <c r="L59" s="515"/>
      <c r="M59" s="516"/>
      <c r="N59" s="879"/>
      <c r="O59" s="879"/>
      <c r="P59" s="40"/>
      <c r="Q59" s="439"/>
    </row>
    <row r="60" spans="1:17" ht="14.4" thickBot="1">
      <c r="A60" s="367"/>
      <c r="B60" s="474"/>
      <c r="C60" s="467">
        <f t="shared" ref="C60:E60" si="17">D60-1</f>
        <v>96</v>
      </c>
      <c r="D60" s="467">
        <f t="shared" si="17"/>
        <v>97</v>
      </c>
      <c r="E60" s="467">
        <f t="shared" si="17"/>
        <v>98</v>
      </c>
      <c r="F60" s="467">
        <f>G60-1</f>
        <v>99</v>
      </c>
      <c r="G60" s="467">
        <v>100</v>
      </c>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8">D62&amp;"（含）"&amp;"-"&amp;E62</f>
        <v>2（含）-</v>
      </c>
      <c r="E61" s="478" t="str">
        <f t="shared" si="18"/>
        <v>（含）-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20">C89-$K29</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6">
        <f t="shared" si="20"/>
        <v>100</v>
      </c>
      <c r="N89" s="880"/>
      <c r="O89" s="880"/>
      <c r="P89" s="40"/>
      <c r="Q89" s="439"/>
    </row>
    <row r="90" spans="1:17" ht="28.2" thickTop="1">
      <c r="A90" s="367"/>
      <c r="B90" s="469" t="s">
        <v>1737</v>
      </c>
      <c r="C90" s="509" t="str">
        <f>C91&amp;"(含)"&amp;"-"&amp;D91</f>
        <v>0(含)-100</v>
      </c>
      <c r="D90" s="509" t="str">
        <f t="shared" ref="D90:L90" si="21">D91&amp;"(含)"&amp;"-"&amp;E91</f>
        <v>100(含)-300</v>
      </c>
      <c r="E90" s="509" t="str">
        <f t="shared" si="21"/>
        <v>300(含)-500</v>
      </c>
      <c r="F90" s="509" t="str">
        <f t="shared" si="21"/>
        <v>500(含)-1000</v>
      </c>
      <c r="G90" s="509" t="str">
        <f t="shared" si="21"/>
        <v>1000(含)-1500</v>
      </c>
      <c r="H90" s="509" t="str">
        <f t="shared" si="21"/>
        <v>1500(含)-2000</v>
      </c>
      <c r="I90" s="509" t="str">
        <f t="shared" si="21"/>
        <v>2000(含)-2500</v>
      </c>
      <c r="J90" s="509" t="str">
        <f t="shared" si="21"/>
        <v>2500(含)-</v>
      </c>
      <c r="K90" s="509" t="str">
        <f t="shared" si="21"/>
        <v>(含)-</v>
      </c>
      <c r="L90" s="509" t="str">
        <f t="shared" si="21"/>
        <v>(含)-</v>
      </c>
      <c r="M90" s="547" t="str">
        <f>M91&amp;"(含)"&amp;"-"&amp;P91</f>
        <v>(含)-</v>
      </c>
      <c r="N90" s="878"/>
      <c r="O90" s="878"/>
      <c r="P90" s="40"/>
      <c r="Q90" s="439"/>
    </row>
    <row r="91" spans="1:17" s="408" customFormat="1">
      <c r="A91" s="406"/>
      <c r="B91" s="523"/>
      <c r="C91" s="6">
        <v>0</v>
      </c>
      <c r="D91" s="6">
        <v>100</v>
      </c>
      <c r="E91" s="6">
        <v>300</v>
      </c>
      <c r="F91" s="6">
        <v>500</v>
      </c>
      <c r="G91" s="6">
        <v>1000</v>
      </c>
      <c r="H91" s="6">
        <v>1500</v>
      </c>
      <c r="I91" s="6">
        <v>2000</v>
      </c>
      <c r="J91" s="524">
        <v>2500</v>
      </c>
      <c r="K91" s="524"/>
      <c r="L91" s="525"/>
      <c r="M91" s="526"/>
      <c r="N91" s="881"/>
      <c r="O91" s="881"/>
      <c r="P91" s="489"/>
      <c r="Q91" s="490"/>
    </row>
    <row r="92" spans="1:17" s="408" customFormat="1" ht="14.4" thickBot="1">
      <c r="A92" s="484"/>
      <c r="B92" s="474"/>
      <c r="C92" s="491">
        <v>100</v>
      </c>
      <c r="D92" s="467">
        <f>C92-1</f>
        <v>99</v>
      </c>
      <c r="E92" s="467">
        <f t="shared" ref="E92:J92" si="22">D92-1</f>
        <v>98</v>
      </c>
      <c r="F92" s="467">
        <f t="shared" si="22"/>
        <v>97</v>
      </c>
      <c r="G92" s="467">
        <f t="shared" si="22"/>
        <v>96</v>
      </c>
      <c r="H92" s="467">
        <f t="shared" si="22"/>
        <v>95</v>
      </c>
      <c r="I92" s="467">
        <f t="shared" si="22"/>
        <v>94</v>
      </c>
      <c r="J92" s="467">
        <f t="shared" si="22"/>
        <v>93</v>
      </c>
      <c r="K92" s="467"/>
      <c r="L92" s="467"/>
      <c r="M92" s="468"/>
      <c r="N92" s="880"/>
      <c r="O92" s="880"/>
      <c r="P92" s="489"/>
      <c r="Q92" s="490"/>
    </row>
    <row r="93" spans="1:17" ht="15" thickTop="1">
      <c r="A93" s="409"/>
      <c r="B93" s="469" t="s">
        <v>1738</v>
      </c>
      <c r="C93" s="3172" t="s">
        <v>3477</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3">C94-$K31</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4">C96-$K32</f>
        <v>100</v>
      </c>
      <c r="E96" s="475">
        <f t="shared" si="24"/>
        <v>100</v>
      </c>
      <c r="F96" s="475">
        <f t="shared" si="24"/>
        <v>100</v>
      </c>
      <c r="G96" s="475">
        <f t="shared" si="24"/>
        <v>100</v>
      </c>
      <c r="H96" s="475">
        <f t="shared" si="24"/>
        <v>100</v>
      </c>
      <c r="I96" s="475">
        <f t="shared" si="24"/>
        <v>100</v>
      </c>
      <c r="J96" s="475">
        <f t="shared" si="24"/>
        <v>100</v>
      </c>
      <c r="K96" s="475">
        <f t="shared" si="24"/>
        <v>100</v>
      </c>
      <c r="L96" s="475">
        <f t="shared" si="24"/>
        <v>100</v>
      </c>
      <c r="M96" s="476">
        <f t="shared" si="24"/>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5">D99+$K33</f>
        <v>100</v>
      </c>
      <c r="F99" s="475">
        <f t="shared" si="25"/>
        <v>100</v>
      </c>
      <c r="G99" s="475">
        <f t="shared" si="25"/>
        <v>100</v>
      </c>
      <c r="H99" s="475">
        <f t="shared" si="25"/>
        <v>100</v>
      </c>
      <c r="I99" s="475">
        <f t="shared" si="25"/>
        <v>100</v>
      </c>
      <c r="J99" s="475">
        <f t="shared" si="25"/>
        <v>100</v>
      </c>
      <c r="K99" s="475">
        <f t="shared" si="25"/>
        <v>100</v>
      </c>
      <c r="L99" s="475">
        <f t="shared" si="25"/>
        <v>100</v>
      </c>
      <c r="M99" s="475">
        <f t="shared" si="25"/>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6">D101-$K34</f>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7">C103-$K35</f>
        <v>100</v>
      </c>
      <c r="E103" s="475">
        <f t="shared" si="27"/>
        <v>100</v>
      </c>
      <c r="F103" s="475">
        <f t="shared" si="27"/>
        <v>100</v>
      </c>
      <c r="G103" s="475">
        <f t="shared" si="27"/>
        <v>100</v>
      </c>
      <c r="H103" s="475">
        <f t="shared" si="27"/>
        <v>100</v>
      </c>
      <c r="I103" s="475">
        <f t="shared" si="27"/>
        <v>100</v>
      </c>
      <c r="J103" s="475">
        <f t="shared" si="27"/>
        <v>100</v>
      </c>
      <c r="K103" s="475">
        <f t="shared" si="27"/>
        <v>100</v>
      </c>
      <c r="L103" s="475">
        <f t="shared" si="27"/>
        <v>100</v>
      </c>
      <c r="M103" s="476">
        <f t="shared" si="27"/>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8">C107-$K37</f>
        <v>100</v>
      </c>
      <c r="E107" s="475">
        <f t="shared" si="28"/>
        <v>100</v>
      </c>
      <c r="F107" s="475">
        <f t="shared" si="28"/>
        <v>100</v>
      </c>
      <c r="G107" s="475">
        <f t="shared" si="28"/>
        <v>100</v>
      </c>
      <c r="H107" s="475">
        <f t="shared" si="28"/>
        <v>100</v>
      </c>
      <c r="I107" s="475">
        <f t="shared" si="28"/>
        <v>100</v>
      </c>
      <c r="J107" s="475">
        <f t="shared" si="28"/>
        <v>100</v>
      </c>
      <c r="K107" s="475">
        <f t="shared" si="28"/>
        <v>100</v>
      </c>
      <c r="L107" s="475">
        <f t="shared" si="28"/>
        <v>100</v>
      </c>
      <c r="M107" s="475">
        <f t="shared" si="28"/>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300-000000000000}">
      <formula1>项目类型</formula1>
    </dataValidation>
    <dataValidation type="list" allowBlank="1" showInputMessage="1" showErrorMessage="1" sqref="C20 G20 E20 I20" xr:uid="{00000000-0002-0000-1300-000001000000}">
      <formula1>公共配套设施</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4 G24 I24 C24" xr:uid="{00000000-0002-0000-1300-000003000000}">
      <formula1>环境</formula1>
    </dataValidation>
    <dataValidation type="list" allowBlank="1" showInputMessage="1" showErrorMessage="1" sqref="C8 E8 G8 I8" xr:uid="{00000000-0002-0000-1300-000004000000}">
      <formula1>工业交易情况</formula1>
    </dataValidation>
    <dataValidation type="list" allowBlank="1" showInputMessage="1" showErrorMessage="1" sqref="E9 G9 I9" xr:uid="{00000000-0002-0000-1300-000005000000}">
      <formula1>工业用途</formula1>
    </dataValidation>
    <dataValidation type="list" allowBlank="1" showInputMessage="1" showErrorMessage="1" sqref="C29 E29 G29 I29" xr:uid="{00000000-0002-0000-1300-000006000000}">
      <formula1>工业建筑类型</formula1>
    </dataValidation>
    <dataValidation type="list" allowBlank="1" showInputMessage="1" showErrorMessage="1" sqref="C31 E31 G31 I31" xr:uid="{00000000-0002-0000-1300-000007000000}">
      <formula1>工业建筑结构</formula1>
    </dataValidation>
    <dataValidation type="list" allowBlank="1" showInputMessage="1" showErrorMessage="1" sqref="C32 E32 G32 I32" xr:uid="{00000000-0002-0000-1300-000008000000}">
      <formula1>工业公共部分装修</formula1>
    </dataValidation>
    <dataValidation type="list" allowBlank="1" showInputMessage="1" showErrorMessage="1" sqref="C34 E34 G34 I34" xr:uid="{00000000-0002-0000-1300-000009000000}">
      <formula1>工业物业管理</formula1>
    </dataValidation>
    <dataValidation type="list" allowBlank="1" showInputMessage="1" showErrorMessage="1" sqref="C35 E35 G35 I35" xr:uid="{00000000-0002-0000-1300-00000A000000}">
      <formula1>工业基础设施水平</formula1>
    </dataValidation>
    <dataValidation type="list" allowBlank="1" showInputMessage="1" showErrorMessage="1" sqref="C36 E36 G36 I36" xr:uid="{00000000-0002-0000-1300-00000B000000}">
      <formula1>工业内部装修</formula1>
    </dataValidation>
    <dataValidation type="list" allowBlank="1" showInputMessage="1" showErrorMessage="1" sqref="C37 E37 G37 I37" xr:uid="{00000000-0002-0000-1300-00000C000000}">
      <formula1>内部装修维护情况</formula1>
    </dataValidation>
    <dataValidation type="list" allowBlank="1" showInputMessage="1" showErrorMessage="1" sqref="C16 E16 G16 I16" xr:uid="{00000000-0002-0000-1300-00000D000000}">
      <formula1>产业集聚程度</formula1>
    </dataValidation>
    <dataValidation type="list" allowBlank="1" showInputMessage="1" showErrorMessage="1" sqref="C22 E22 G22 I22" xr:uid="{00000000-0002-0000-1300-00000E000000}">
      <formula1>基础设施水平</formula1>
    </dataValidation>
    <dataValidation type="list" allowBlank="1" showInputMessage="1" showErrorMessage="1" sqref="F1" xr:uid="{00000000-0002-0000-1300-00000F000000}">
      <formula1>"售价,租金"</formula1>
    </dataValidation>
    <dataValidation type="list" allowBlank="1" showInputMessage="1" showErrorMessage="1" sqref="C2" xr:uid="{00000000-0002-0000-1300-000010000000}">
      <formula1>"需扣减承租人权益,——"</formula1>
    </dataValidation>
    <dataValidation type="list" allowBlank="1" showInputMessage="1" showErrorMessage="1" sqref="F2" xr:uid="{00000000-0002-0000-1300-000011000000}">
      <formula1>估价方法</formula1>
    </dataValidation>
    <dataValidation type="list" allowBlank="1" showInputMessage="1" showErrorMessage="1" sqref="D42" xr:uid="{00000000-0002-0000-1300-000012000000}">
      <formula1>"简单平均,加权平均"</formula1>
    </dataValidation>
    <dataValidation type="list" allowBlank="1" showInputMessage="1" showErrorMessage="1" sqref="E1" xr:uid="{00000000-0002-0000-1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activeCell="F12" sqref="F1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3447</v>
      </c>
      <c r="D1" s="1271" t="s">
        <v>43</v>
      </c>
      <c r="E1" s="1272" t="s">
        <v>678</v>
      </c>
      <c r="F1" s="999">
        <f ca="1">J53</f>
        <v>24.7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3013</v>
      </c>
      <c r="C2" s="1289" t="s">
        <v>805</v>
      </c>
      <c r="D2" s="1289"/>
      <c r="E2" s="1295"/>
      <c r="F2" s="1296"/>
      <c r="G2" s="2476"/>
      <c r="H2" s="2466"/>
      <c r="I2" s="2466"/>
      <c r="J2" s="2466"/>
      <c r="K2" s="2467"/>
      <c r="L2" s="2466"/>
      <c r="M2" s="2466"/>
    </row>
    <row r="3" spans="1:37" ht="18" customHeight="1" thickBot="1">
      <c r="A3" s="1297" t="s">
        <v>806</v>
      </c>
      <c r="B3" s="1298">
        <f ca="1">IF(ISERROR(B2*10000/F43),0,ROUND(B2*10000/F43,0))</f>
        <v>17504</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226</v>
      </c>
      <c r="D5" s="1273" t="s">
        <v>693</v>
      </c>
      <c r="E5" s="1008"/>
      <c r="F5" s="1009"/>
      <c r="G5" s="1292"/>
      <c r="H5" s="291">
        <v>1</v>
      </c>
      <c r="I5" s="292" t="s">
        <v>692</v>
      </c>
      <c r="J5" s="1007">
        <f ca="1">J6+J10+J12</f>
        <v>0</v>
      </c>
      <c r="K5" s="1273" t="s">
        <v>693</v>
      </c>
      <c r="L5" s="1008"/>
      <c r="M5" s="1009"/>
    </row>
    <row r="6" spans="1:37" ht="18" customHeight="1">
      <c r="A6" s="1006" t="s">
        <v>398</v>
      </c>
      <c r="B6" s="3406" t="s">
        <v>694</v>
      </c>
      <c r="C6" s="1011">
        <f ca="1">ROUND(F6*F8*F7*(1-F9)/10000,0)</f>
        <v>226</v>
      </c>
      <c r="D6" s="147" t="s">
        <v>2109</v>
      </c>
      <c r="E6" s="294" t="s">
        <v>696</v>
      </c>
      <c r="F6" s="295">
        <f ca="1">INDIRECT("'数据-取费表'!u"&amp;$G$1)</f>
        <v>4</v>
      </c>
      <c r="G6" s="1292"/>
      <c r="H6" s="1006" t="s">
        <v>398</v>
      </c>
      <c r="I6" s="3406" t="s">
        <v>694</v>
      </c>
      <c r="J6" s="293">
        <f ca="1">ROUND(M6*M8*M7*(1-M9)/10000,0)</f>
        <v>0</v>
      </c>
      <c r="K6" s="147" t="s">
        <v>2108</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1721.28</v>
      </c>
      <c r="G7" s="1292"/>
      <c r="H7" s="296"/>
      <c r="I7" s="3407"/>
      <c r="J7" s="298"/>
      <c r="K7" s="299"/>
      <c r="L7" s="294" t="s">
        <v>697</v>
      </c>
      <c r="M7" s="295">
        <f ca="1">F7</f>
        <v>1721.28</v>
      </c>
    </row>
    <row r="8" spans="1:37" ht="18" customHeight="1">
      <c r="A8" s="296"/>
      <c r="B8" s="3407"/>
      <c r="C8" s="298"/>
      <c r="D8" s="299"/>
      <c r="E8" s="294" t="s">
        <v>698</v>
      </c>
      <c r="F8" s="295">
        <f ca="1">INDIRECT("'数据-取费表'!ai"&amp;$G$1)</f>
        <v>365</v>
      </c>
      <c r="G8" s="1292"/>
      <c r="H8" s="296"/>
      <c r="I8" s="3407"/>
      <c r="J8" s="298"/>
      <c r="K8" s="299"/>
      <c r="L8" s="294" t="s">
        <v>698</v>
      </c>
      <c r="M8" s="295">
        <f ca="1">INDIRECT("'数据-取费表'!ai"&amp;$G$1)</f>
        <v>365</v>
      </c>
    </row>
    <row r="9" spans="1:37" ht="18" customHeight="1">
      <c r="A9" s="296"/>
      <c r="B9" s="3408"/>
      <c r="C9" s="298"/>
      <c r="D9" s="299"/>
      <c r="E9" s="294" t="s">
        <v>699</v>
      </c>
      <c r="F9" s="304">
        <f ca="1">INDIRECT("'数据-取费表'!w"&amp;$G$1)</f>
        <v>0.1</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3449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583</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602</v>
      </c>
      <c r="D14" s="1257" t="s">
        <v>708</v>
      </c>
      <c r="E14" s="1255"/>
      <c r="F14" s="311"/>
      <c r="G14" s="1292"/>
      <c r="H14" s="928" t="s">
        <v>398</v>
      </c>
      <c r="I14" s="294" t="s">
        <v>709</v>
      </c>
      <c r="J14" s="21">
        <f ca="1">C29</f>
        <v>845</v>
      </c>
      <c r="K14" s="12"/>
      <c r="L14" s="759"/>
      <c r="M14" s="760"/>
    </row>
    <row r="15" spans="1:37" s="1304" customFormat="1" ht="18" customHeight="1" thickBot="1">
      <c r="A15" s="928" t="s">
        <v>399</v>
      </c>
      <c r="B15" s="294" t="s">
        <v>710</v>
      </c>
      <c r="C15" s="21">
        <f ca="1">ROUND(C14*F15,0)</f>
        <v>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v>
      </c>
      <c r="K16" s="1024" t="s">
        <v>715</v>
      </c>
      <c r="L16" s="1025"/>
      <c r="M16" s="1009"/>
    </row>
    <row r="17" spans="1:37" s="1304" customFormat="1" ht="18" customHeight="1">
      <c r="A17" s="928" t="s">
        <v>681</v>
      </c>
      <c r="B17" s="294" t="s">
        <v>716</v>
      </c>
      <c r="C17" s="21">
        <f ca="1">ROUND(F17*(F43+INDIRECT("'数据-取费表'!S"&amp;$G$1))/10000,0)</f>
        <v>34</v>
      </c>
      <c r="D17" s="294" t="s">
        <v>717</v>
      </c>
      <c r="E17" s="294" t="s">
        <v>718</v>
      </c>
      <c r="F17" s="23">
        <f>'数据-取费表'!B35</f>
        <v>200</v>
      </c>
      <c r="G17" s="1303"/>
      <c r="H17" s="928" t="s">
        <v>398</v>
      </c>
      <c r="I17" s="294" t="s">
        <v>719</v>
      </c>
      <c r="J17" s="2140">
        <f ca="1">ROUND(IF(AND(项目基本情况!B11="自然人",项目基本情况!B10="北京市"),J6*M17/(1+'数据-取费表'!C42),J18+J19+J20),2)</f>
        <v>0.21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678</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14</v>
      </c>
      <c r="D20" s="315" t="s">
        <v>729</v>
      </c>
      <c r="E20" s="294" t="s">
        <v>712</v>
      </c>
      <c r="F20" s="314">
        <f>'数据-取费表'!B37</f>
        <v>0.02</v>
      </c>
      <c r="G20" s="1303"/>
      <c r="H20" s="928" t="s">
        <v>680</v>
      </c>
      <c r="I20" s="147" t="s">
        <v>730</v>
      </c>
      <c r="J20" s="22">
        <f ca="1">ROUND(M20*M21/10000,2)</f>
        <v>0.21</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690.56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2.54</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v>
      </c>
      <c r="K25" s="1032" t="s">
        <v>753</v>
      </c>
      <c r="L25" s="1033"/>
      <c r="M25" s="1034"/>
    </row>
    <row r="26" spans="1:37">
      <c r="A26" s="928" t="s">
        <v>397</v>
      </c>
      <c r="B26" s="294" t="s">
        <v>754</v>
      </c>
      <c r="C26" s="21">
        <f ca="1">ROUND((C19+C20)*F26,0)</f>
        <v>69</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845</v>
      </c>
      <c r="D29" s="1029"/>
      <c r="E29" s="1027"/>
      <c r="F29" s="1030"/>
      <c r="G29" s="1303"/>
      <c r="H29" s="325" t="s">
        <v>396</v>
      </c>
      <c r="I29" s="326" t="s">
        <v>768</v>
      </c>
      <c r="J29" s="327">
        <f ca="1">ROUND(J26/(1+F40)^F41,0)</f>
        <v>0</v>
      </c>
      <c r="K29" s="328" t="s">
        <v>769</v>
      </c>
      <c r="L29" s="329"/>
      <c r="M29" s="330">
        <f ca="1">INDIRECT("'数据-取费表'!k"&amp;$G$1)</f>
        <v>1721.28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43</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38.090000000000003</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12.05</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25.83</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0.21</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690.56</v>
      </c>
      <c r="G35" s="1292"/>
      <c r="H35" s="2468"/>
      <c r="I35" s="1305"/>
      <c r="J35" s="1306"/>
      <c r="K35" s="2472"/>
      <c r="L35" s="2471"/>
      <c r="M35" s="2471"/>
    </row>
    <row r="36" spans="1:18" ht="18" customHeight="1">
      <c r="A36" s="1039" t="s">
        <v>402</v>
      </c>
      <c r="B36" s="294" t="s">
        <v>738</v>
      </c>
      <c r="C36" s="21">
        <f ca="1">ROUND(C29*F36,2)</f>
        <v>2.54</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ROUND(C13*F37,2)</f>
        <v>0.57999999999999996</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2.2599999999999998</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183</v>
      </c>
      <c r="D39" s="1032" t="s">
        <v>773</v>
      </c>
      <c r="E39" s="1033"/>
      <c r="F39" s="1034"/>
      <c r="G39" s="1292"/>
      <c r="H39" s="2471"/>
      <c r="I39" s="1305"/>
      <c r="J39" s="1306"/>
      <c r="K39" s="2469"/>
      <c r="L39" s="2471"/>
      <c r="M39" s="2471"/>
    </row>
    <row r="40" spans="1:18" ht="18" customHeight="1">
      <c r="A40" s="291" t="s">
        <v>395</v>
      </c>
      <c r="B40" s="292" t="s">
        <v>774</v>
      </c>
      <c r="C40" s="293">
        <f ca="1">ROUND(C39*(1-((1+F42)/(1+F40))^F41)/(F40-F42),0)</f>
        <v>2956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24.7</v>
      </c>
      <c r="G41" s="1292"/>
      <c r="H41" s="121">
        <f ca="1">C39/C5</f>
        <v>0.80973451327433632</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17173</v>
      </c>
      <c r="D43" s="328" t="s">
        <v>777</v>
      </c>
      <c r="E43" s="329" t="s">
        <v>778</v>
      </c>
      <c r="F43" s="330">
        <f ca="1">INDIRECT("'数据-取费表'!k"&amp;$G$1)</f>
        <v>1721.28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-2996</v>
      </c>
      <c r="D46" s="1313" t="str">
        <f>C2</f>
        <v>万元</v>
      </c>
      <c r="E46" s="1307"/>
      <c r="F46" s="1307"/>
      <c r="I46" s="1314" t="s">
        <v>810</v>
      </c>
      <c r="J46" s="1315"/>
      <c r="K46" s="1316"/>
      <c r="L46" s="1317">
        <f ca="1">IF(M47="住宅",0,IF(L48&gt;J51,L60,J60))</f>
        <v>57</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2956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3450</v>
      </c>
      <c r="K48" s="1330" t="s">
        <v>820</v>
      </c>
      <c r="L48" s="1331">
        <f ca="1">INDIRECT("'数据-取费表'!f"&amp;$G$1)</f>
        <v>24.7</v>
      </c>
      <c r="O48" s="1325" t="s">
        <v>404</v>
      </c>
      <c r="P48" s="1326" t="s">
        <v>821</v>
      </c>
      <c r="Q48" s="1327">
        <f ca="1">J60</f>
        <v>57</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'数据-取费表'!N17</f>
        <v>2000</v>
      </c>
      <c r="K49" s="1330" t="s">
        <v>824</v>
      </c>
      <c r="L49" s="1333"/>
      <c r="O49" s="1334" t="s">
        <v>405</v>
      </c>
      <c r="P49" s="1326" t="s">
        <v>825</v>
      </c>
      <c r="Q49" s="1327">
        <f ca="1">C29</f>
        <v>845</v>
      </c>
      <c r="R49" s="1327" t="s">
        <v>818</v>
      </c>
    </row>
    <row r="50" spans="1:18" s="1292" customFormat="1" ht="13.8" thickBot="1">
      <c r="A50" s="922"/>
      <c r="B50" s="925"/>
      <c r="C50" s="1055"/>
      <c r="D50" s="899"/>
      <c r="E50" s="993" t="s">
        <v>697</v>
      </c>
      <c r="F50" s="994">
        <f ca="1">F7</f>
        <v>1721.28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2328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24.7</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24.7</v>
      </c>
      <c r="K53" s="3404" t="s">
        <v>837</v>
      </c>
      <c r="L53" s="3405"/>
      <c r="O53" s="1325" t="s">
        <v>409</v>
      </c>
      <c r="P53" s="1326" t="s">
        <v>838</v>
      </c>
      <c r="Q53" s="1327">
        <f ca="1">Q47+Q48</f>
        <v>3013</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0.17199999999999999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583</v>
      </c>
      <c r="D56" s="1352"/>
      <c r="E56" s="1353"/>
      <c r="F56" s="1345"/>
      <c r="I56" s="1354" t="s">
        <v>842</v>
      </c>
      <c r="J56" s="1355" t="s">
        <v>3451</v>
      </c>
      <c r="K56" s="1328" t="s">
        <v>843</v>
      </c>
      <c r="L56" s="1331" t="str">
        <f ca="1">IF(L48&lt;J51,"——",L48-J53)</f>
        <v>——</v>
      </c>
      <c r="O56" s="1325" t="s">
        <v>403</v>
      </c>
      <c r="P56" s="1326" t="s">
        <v>817</v>
      </c>
      <c r="Q56" s="1327">
        <f ca="1">C40+J29</f>
        <v>2956</v>
      </c>
      <c r="R56" s="1327" t="s">
        <v>818</v>
      </c>
    </row>
    <row r="57" spans="1:18" s="1292" customFormat="1" ht="24.6" thickBot="1">
      <c r="A57" s="1356"/>
      <c r="B57" s="896" t="s">
        <v>767</v>
      </c>
      <c r="C57" s="230">
        <f ca="1">C29</f>
        <v>845</v>
      </c>
      <c r="D57" s="1357"/>
      <c r="E57" s="1358"/>
      <c r="F57" s="1359"/>
      <c r="I57" s="1360" t="s">
        <v>844</v>
      </c>
      <c r="J57" s="1361">
        <f ca="1">IF(OR(M47="住宅",J51&lt;L48,J56="是"),"——",J51-L48)</f>
        <v>10.3</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338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57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0.21</v>
      </c>
      <c r="D62" s="911" t="s">
        <v>786</v>
      </c>
      <c r="E62" s="896" t="s">
        <v>787</v>
      </c>
      <c r="F62" s="317">
        <f t="shared" si="0"/>
        <v>3</v>
      </c>
      <c r="I62" s="1367" t="s">
        <v>858</v>
      </c>
      <c r="J62" s="610" t="s">
        <v>859</v>
      </c>
      <c r="K62" s="610" t="s">
        <v>860</v>
      </c>
      <c r="L62" s="610" t="s">
        <v>861</v>
      </c>
      <c r="M62" s="1368" t="s">
        <v>862</v>
      </c>
      <c r="O62" s="1325" t="s">
        <v>409</v>
      </c>
      <c r="P62" s="1326" t="s">
        <v>863</v>
      </c>
      <c r="Q62" s="1327">
        <f ca="1">Q56+Q57</f>
        <v>2956</v>
      </c>
      <c r="R62" s="1327" t="s">
        <v>410</v>
      </c>
    </row>
    <row r="63" spans="1:18" s="1292" customFormat="1" ht="13.8" thickBot="1">
      <c r="A63" s="318"/>
      <c r="B63" s="902"/>
      <c r="C63" s="26"/>
      <c r="D63" s="912"/>
      <c r="E63" s="896" t="s">
        <v>788</v>
      </c>
      <c r="F63" s="295">
        <f t="shared" ca="1" si="0"/>
        <v>690.56</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2.54</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0.57999999999999996</v>
      </c>
      <c r="D65" s="910" t="s">
        <v>743</v>
      </c>
      <c r="E65" s="896" t="s">
        <v>744</v>
      </c>
      <c r="F65" s="321">
        <f t="shared" ca="1" si="0"/>
        <v>1E-3</v>
      </c>
      <c r="I65" s="1367" t="s">
        <v>867</v>
      </c>
      <c r="J65" s="610">
        <v>40</v>
      </c>
      <c r="K65" s="610">
        <v>30</v>
      </c>
      <c r="L65" s="610">
        <v>50</v>
      </c>
      <c r="M65" s="1369">
        <v>0.02</v>
      </c>
      <c r="O65" s="1325" t="s">
        <v>403</v>
      </c>
      <c r="P65" s="1326" t="s">
        <v>868</v>
      </c>
      <c r="Q65" s="1327">
        <f ca="1">C40+J29</f>
        <v>2956</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v>
      </c>
      <c r="D67" s="909" t="s">
        <v>753</v>
      </c>
      <c r="E67" s="914"/>
      <c r="F67" s="915"/>
      <c r="O67" s="1334" t="s">
        <v>405</v>
      </c>
      <c r="P67" s="1326" t="s">
        <v>850</v>
      </c>
      <c r="Q67" s="1370">
        <f ca="1">L51</f>
        <v>2328</v>
      </c>
      <c r="R67" s="1327" t="s">
        <v>870</v>
      </c>
    </row>
    <row r="68" spans="1:18" s="1292" customFormat="1" ht="16.2" thickBot="1">
      <c r="A68" s="893" t="s">
        <v>395</v>
      </c>
      <c r="B68" s="894" t="s">
        <v>774</v>
      </c>
      <c r="C68" s="293">
        <f ca="1">ROUND(C67*(1-((1+F70)/(1+F68))^F69)/(F68-F70),0)</f>
        <v>-40</v>
      </c>
      <c r="D68" s="911" t="s">
        <v>758</v>
      </c>
      <c r="E68" s="896" t="s">
        <v>759</v>
      </c>
      <c r="F68" s="304">
        <f ca="1">F40</f>
        <v>5.5E-2</v>
      </c>
      <c r="O68" s="1334" t="s">
        <v>406</v>
      </c>
      <c r="P68" s="1371" t="s">
        <v>871</v>
      </c>
      <c r="Q68" s="1327">
        <f ca="1">ROUND(Q69-Q70*Q71,0)</f>
        <v>142</v>
      </c>
      <c r="R68" s="1327" t="s">
        <v>414</v>
      </c>
    </row>
    <row r="69" spans="1:18" s="1292" customFormat="1" ht="13.8" thickBot="1">
      <c r="A69" s="897"/>
      <c r="B69" s="898"/>
      <c r="C69" s="298"/>
      <c r="D69" s="916" t="s">
        <v>762</v>
      </c>
      <c r="E69" s="896" t="s">
        <v>763</v>
      </c>
      <c r="F69" s="324">
        <f ca="1">F41</f>
        <v>24.7</v>
      </c>
      <c r="O69" s="1334" t="s">
        <v>411</v>
      </c>
      <c r="P69" s="1371" t="s">
        <v>872</v>
      </c>
      <c r="Q69" s="1327">
        <f ca="1">C39</f>
        <v>183</v>
      </c>
      <c r="R69" s="1327" t="s">
        <v>818</v>
      </c>
    </row>
    <row r="70" spans="1:18" s="1292" customFormat="1" ht="13.8" thickBot="1">
      <c r="A70" s="900"/>
      <c r="B70" s="901"/>
      <c r="C70" s="302"/>
      <c r="D70" s="912"/>
      <c r="E70" s="896" t="s">
        <v>766</v>
      </c>
      <c r="F70" s="991"/>
      <c r="O70" s="1334" t="s">
        <v>412</v>
      </c>
      <c r="P70" s="1371" t="s">
        <v>873</v>
      </c>
      <c r="Q70" s="1327">
        <f ca="1">C13</f>
        <v>583</v>
      </c>
      <c r="R70" s="1327" t="s">
        <v>818</v>
      </c>
    </row>
    <row r="71" spans="1:18" s="1292" customFormat="1" ht="13.8" thickBot="1">
      <c r="A71" s="917" t="s">
        <v>396</v>
      </c>
      <c r="B71" s="918" t="s">
        <v>776</v>
      </c>
      <c r="C71" s="327">
        <f ca="1">ROUND(C68*10000/F71,0)</f>
        <v>-232</v>
      </c>
      <c r="D71" s="919" t="s">
        <v>777</v>
      </c>
      <c r="E71" s="920" t="s">
        <v>778</v>
      </c>
      <c r="F71" s="330">
        <f ca="1">F43</f>
        <v>1721.28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41</v>
      </c>
      <c r="D75" s="1292"/>
      <c r="E75" s="1292"/>
      <c r="F75" s="1292"/>
      <c r="K75" s="1309"/>
      <c r="L75" s="1292"/>
      <c r="O75" s="1325" t="s">
        <v>409</v>
      </c>
      <c r="P75" s="1326" t="s">
        <v>838</v>
      </c>
      <c r="Q75" s="1327">
        <f ca="1">Q65+Q66</f>
        <v>2956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0.77600000000000002</v>
      </c>
    </row>
    <row r="80" spans="1:18">
      <c r="B80" s="331" t="s">
        <v>800</v>
      </c>
      <c r="C80" s="266">
        <f ca="1">ROUND(C75/C39,3)</f>
        <v>0.224</v>
      </c>
    </row>
    <row r="81" spans="2:3">
      <c r="B81" s="262" t="s">
        <v>801</v>
      </c>
      <c r="C81" s="230"/>
    </row>
    <row r="82" spans="2:3">
      <c r="B82" s="265" t="s">
        <v>802</v>
      </c>
      <c r="C82" s="267">
        <f ca="1">1-C83</f>
        <v>0.80299999999999994</v>
      </c>
    </row>
    <row r="83" spans="2:3">
      <c r="B83" s="265" t="s">
        <v>803</v>
      </c>
      <c r="C83" s="266">
        <f ca="1">ROUND(C13/C40,3)</f>
        <v>0.19700000000000001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409" t="s">
        <v>2317</v>
      </c>
      <c r="K2" s="3410"/>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11" t="s">
        <v>2327</v>
      </c>
      <c r="K3" s="3412"/>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11" t="s">
        <v>2329</v>
      </c>
      <c r="K4" s="3412"/>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13" t="s">
        <v>2333</v>
      </c>
      <c r="B6" s="3414"/>
      <c r="C6" s="3415"/>
      <c r="D6" s="2619"/>
      <c r="E6" s="2620"/>
      <c r="F6" s="2621"/>
      <c r="G6" s="2622"/>
      <c r="H6" s="2597"/>
      <c r="I6" s="2598"/>
      <c r="J6" s="3416">
        <v>1</v>
      </c>
      <c r="K6" s="3417"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6"/>
      <c r="K7" s="3418"/>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0" t="s">
        <v>2347</v>
      </c>
      <c r="C8" s="3421"/>
      <c r="D8" s="2638" t="s">
        <v>2348</v>
      </c>
      <c r="E8" s="2639" t="s">
        <v>2349</v>
      </c>
      <c r="F8" s="2640" t="s">
        <v>2350</v>
      </c>
      <c r="G8" s="2641"/>
      <c r="H8" s="2597"/>
      <c r="I8" s="2598"/>
      <c r="J8" s="3416"/>
      <c r="K8" s="3418"/>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0" t="s">
        <v>2353</v>
      </c>
      <c r="C9" s="3421"/>
      <c r="D9" s="2638">
        <f>ROUND(D6*E9,0)</f>
        <v>0</v>
      </c>
      <c r="E9" s="2642"/>
      <c r="F9" s="2643" t="s">
        <v>2354</v>
      </c>
      <c r="G9" s="2622"/>
      <c r="H9" s="2597"/>
      <c r="I9" s="2598"/>
      <c r="J9" s="3416"/>
      <c r="K9" s="3418"/>
      <c r="L9" s="2632" t="s">
        <v>2355</v>
      </c>
      <c r="M9" s="2633"/>
      <c r="N9" s="2609"/>
      <c r="O9" s="2634"/>
      <c r="P9" s="2634"/>
      <c r="Q9" s="2635">
        <v>365</v>
      </c>
      <c r="R9" s="2636">
        <f t="shared" si="0"/>
        <v>0</v>
      </c>
      <c r="S9" s="2590"/>
      <c r="T9" s="2590"/>
      <c r="U9" s="2590"/>
      <c r="V9" s="2598"/>
    </row>
    <row r="10" spans="1:22" s="2602" customFormat="1" ht="13.2" customHeight="1">
      <c r="A10" s="2637">
        <v>2</v>
      </c>
      <c r="B10" s="3420" t="s">
        <v>2356</v>
      </c>
      <c r="C10" s="3421"/>
      <c r="D10" s="2638">
        <f>ROUND(D6*E10,0)</f>
        <v>0</v>
      </c>
      <c r="E10" s="2642"/>
      <c r="F10" s="2643" t="s">
        <v>2357</v>
      </c>
      <c r="G10" s="2622"/>
      <c r="H10" s="2597"/>
      <c r="I10" s="2598"/>
      <c r="J10" s="3416"/>
      <c r="K10" s="3418"/>
      <c r="L10" s="2632" t="s">
        <v>2358</v>
      </c>
      <c r="M10" s="2633"/>
      <c r="N10" s="2609"/>
      <c r="O10" s="2634"/>
      <c r="P10" s="2634"/>
      <c r="Q10" s="2635">
        <v>365</v>
      </c>
      <c r="R10" s="2636">
        <f t="shared" si="0"/>
        <v>0</v>
      </c>
      <c r="S10" s="2590"/>
      <c r="T10" s="2590"/>
      <c r="U10" s="2590"/>
      <c r="V10" s="2598"/>
    </row>
    <row r="11" spans="1:22" s="2602" customFormat="1" ht="13.2" customHeight="1">
      <c r="A11" s="2637">
        <v>3</v>
      </c>
      <c r="B11" s="3420" t="s">
        <v>2359</v>
      </c>
      <c r="C11" s="3421"/>
      <c r="D11" s="2638">
        <f>D12+D14+D15+D16</f>
        <v>0</v>
      </c>
      <c r="E11" s="2644" t="e">
        <f>D11/D6</f>
        <v>#DIV/0!</v>
      </c>
      <c r="F11" s="2640"/>
      <c r="G11" s="2641"/>
      <c r="H11" s="2597"/>
      <c r="I11" s="2598"/>
      <c r="J11" s="3416"/>
      <c r="K11" s="3418"/>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22" t="s">
        <v>2362</v>
      </c>
      <c r="C12" s="3423"/>
      <c r="D12" s="2646">
        <f>ROUND(D13*1.2%*(1-30%),0)</f>
        <v>0</v>
      </c>
      <c r="E12" s="2647">
        <v>1.2E-2</v>
      </c>
      <c r="F12" s="2640" t="s">
        <v>2363</v>
      </c>
      <c r="G12" s="2641"/>
      <c r="H12" s="2597"/>
      <c r="I12" s="2598"/>
      <c r="J12" s="3416"/>
      <c r="K12" s="3418"/>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6"/>
      <c r="K13" s="3418"/>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22" t="s">
        <v>2368</v>
      </c>
      <c r="C14" s="3423"/>
      <c r="D14" s="2646">
        <f>ROUND(E14*B5/10000,0)</f>
        <v>0</v>
      </c>
      <c r="E14" s="2635"/>
      <c r="F14" s="2640" t="s">
        <v>2369</v>
      </c>
      <c r="G14" s="2641"/>
      <c r="H14" s="2597"/>
      <c r="I14" s="2598"/>
      <c r="J14" s="3416"/>
      <c r="K14" s="3419"/>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22" t="s">
        <v>2372</v>
      </c>
      <c r="C15" s="3423"/>
      <c r="D15" s="2646">
        <f>ROUND(D6*E15,0)</f>
        <v>0</v>
      </c>
      <c r="E15" s="2647">
        <v>5.5E-2</v>
      </c>
      <c r="F15" s="2640" t="s">
        <v>2373</v>
      </c>
      <c r="G15" s="2622"/>
      <c r="H15" s="2597"/>
      <c r="I15" s="2598"/>
      <c r="J15" s="3416">
        <v>2</v>
      </c>
      <c r="K15" s="3417"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22" t="s">
        <v>2381</v>
      </c>
      <c r="C16" s="3423"/>
      <c r="D16" s="2657">
        <f>D6*E16</f>
        <v>0</v>
      </c>
      <c r="E16" s="2658"/>
      <c r="F16" s="2643" t="s">
        <v>2382</v>
      </c>
      <c r="G16" s="2622"/>
      <c r="H16" s="2597"/>
      <c r="I16" s="2598"/>
      <c r="J16" s="3416"/>
      <c r="K16" s="3418"/>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24" t="s">
        <v>2384</v>
      </c>
      <c r="C17" s="3425"/>
      <c r="D17" s="2660">
        <f>ROUND(D6*E17,0)</f>
        <v>0</v>
      </c>
      <c r="E17" s="2661"/>
      <c r="F17" s="2662" t="s">
        <v>2385</v>
      </c>
      <c r="G17" s="2622"/>
      <c r="H17" s="2597"/>
      <c r="I17" s="2598"/>
      <c r="J17" s="3416"/>
      <c r="K17" s="3418"/>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6"/>
      <c r="K18" s="3418"/>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6"/>
      <c r="K19" s="3419"/>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6">
        <v>3</v>
      </c>
      <c r="K20" s="3417"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6"/>
      <c r="K21" s="3418"/>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6"/>
      <c r="K22" s="3418"/>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6"/>
      <c r="K23" s="3418"/>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6"/>
      <c r="K24" s="3419"/>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26">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2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09" t="s">
        <v>2317</v>
      </c>
      <c r="K32" s="3410"/>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11" t="s">
        <v>2327</v>
      </c>
      <c r="K33" s="3412"/>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11" t="s">
        <v>2329</v>
      </c>
      <c r="K34" s="341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6">
        <v>1</v>
      </c>
      <c r="K36" s="3417"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6"/>
      <c r="K37" s="3418"/>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6"/>
      <c r="K38" s="3418"/>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6"/>
      <c r="K39" s="3418"/>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6"/>
      <c r="K40" s="3419"/>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26">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2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3012.2107999999998</v>
      </c>
      <c r="C2" s="1729" t="s">
        <v>1651</v>
      </c>
      <c r="D2" s="1730" t="s">
        <v>1652</v>
      </c>
      <c r="E2" s="2391">
        <f>SUM(E6:E13)</f>
        <v>1721.28</v>
      </c>
      <c r="F2" s="2477"/>
      <c r="G2" s="459"/>
      <c r="H2" s="459"/>
      <c r="I2" s="459"/>
      <c r="J2" s="459"/>
      <c r="K2" s="459"/>
      <c r="L2" s="459"/>
      <c r="M2" s="459"/>
      <c r="N2" s="459"/>
      <c r="O2" s="459"/>
      <c r="P2" s="459"/>
      <c r="Q2" s="459"/>
      <c r="R2" s="459"/>
      <c r="S2" s="459"/>
    </row>
    <row r="3" spans="1:22" ht="15.6">
      <c r="A3" s="1728" t="s">
        <v>686</v>
      </c>
      <c r="B3" s="2385">
        <f ca="1">ROUND(B2*10000/E2,0)</f>
        <v>17500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28" t="s">
        <v>1654</v>
      </c>
      <c r="C5" s="342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3012.2107999999998</v>
      </c>
      <c r="C6" s="1729" t="s">
        <v>1651</v>
      </c>
      <c r="D6" s="2477"/>
      <c r="E6" s="2390">
        <f>IF(OR(A6=0,F6="否"),0,'数据-取费表'!K6+'数据-取费表'!S6)</f>
        <v>1721.28</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1721.28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2" t="s">
        <v>1667</v>
      </c>
      <c r="D4" s="3383"/>
      <c r="E4" s="3384" t="s">
        <v>1668</v>
      </c>
      <c r="F4" s="3385"/>
      <c r="G4" s="3382" t="s">
        <v>1669</v>
      </c>
      <c r="H4" s="3383"/>
      <c r="I4" s="3382" t="s">
        <v>1670</v>
      </c>
      <c r="J4" s="3383"/>
      <c r="K4" s="1744" t="s">
        <v>1671</v>
      </c>
      <c r="L4" s="2484"/>
      <c r="M4" s="2485"/>
      <c r="N4" s="2485"/>
      <c r="O4" s="2485"/>
      <c r="P4" s="3386" t="s">
        <v>1672</v>
      </c>
      <c r="Q4" s="3387"/>
      <c r="R4" s="3368" t="s">
        <v>1668</v>
      </c>
      <c r="S4" s="3369"/>
      <c r="T4" s="3368" t="s">
        <v>1669</v>
      </c>
      <c r="U4" s="3369"/>
      <c r="V4" s="3394" t="s">
        <v>1670</v>
      </c>
      <c r="W4" s="3394"/>
      <c r="X4" s="1265"/>
      <c r="Y4" s="3368" t="s">
        <v>1672</v>
      </c>
      <c r="Z4" s="3369"/>
      <c r="AA4" s="3363" t="s">
        <v>1668</v>
      </c>
      <c r="AB4" s="3363" t="s">
        <v>1669</v>
      </c>
      <c r="AC4" s="3363" t="s">
        <v>1670</v>
      </c>
    </row>
    <row r="5" spans="1:29">
      <c r="A5" s="348"/>
      <c r="B5" s="349"/>
      <c r="C5" s="3378" t="s">
        <v>1673</v>
      </c>
      <c r="D5" s="3375"/>
      <c r="E5" s="3372" t="s">
        <v>1674</v>
      </c>
      <c r="F5" s="3373"/>
      <c r="G5" s="3378" t="s">
        <v>1675</v>
      </c>
      <c r="H5" s="3375"/>
      <c r="I5" s="3378" t="s">
        <v>1676</v>
      </c>
      <c r="J5" s="3375"/>
      <c r="K5" s="1745"/>
      <c r="L5" s="2484"/>
      <c r="M5" s="2485"/>
      <c r="N5" s="2485"/>
      <c r="O5" s="2485"/>
      <c r="P5" s="3388"/>
      <c r="Q5" s="3389"/>
      <c r="R5" s="3370"/>
      <c r="S5" s="3371"/>
      <c r="T5" s="3370"/>
      <c r="U5" s="3371"/>
      <c r="V5" s="3394"/>
      <c r="W5" s="3394"/>
      <c r="X5" s="1265"/>
      <c r="Y5" s="3370"/>
      <c r="Z5" s="3371"/>
      <c r="AA5" s="3364"/>
      <c r="AB5" s="3364"/>
      <c r="AC5" s="3364"/>
    </row>
    <row r="6" spans="1:29" ht="15" thickBot="1">
      <c r="A6" s="350"/>
      <c r="B6" s="351"/>
      <c r="C6" s="3376" t="s">
        <v>1677</v>
      </c>
      <c r="D6" s="3377"/>
      <c r="E6" s="3379" t="s">
        <v>1677</v>
      </c>
      <c r="F6" s="3380"/>
      <c r="G6" s="3376" t="s">
        <v>1677</v>
      </c>
      <c r="H6" s="3377"/>
      <c r="I6" s="3376" t="s">
        <v>1677</v>
      </c>
      <c r="J6" s="3377"/>
      <c r="K6" s="1745" t="s">
        <v>1678</v>
      </c>
      <c r="L6" s="2484"/>
      <c r="M6" s="2485"/>
      <c r="N6" s="2485"/>
      <c r="O6" s="2485"/>
      <c r="P6" s="3390"/>
      <c r="Q6" s="3391"/>
      <c r="R6" s="3370"/>
      <c r="S6" s="3371"/>
      <c r="T6" s="3392"/>
      <c r="U6" s="3393"/>
      <c r="V6" s="3394"/>
      <c r="W6" s="3394"/>
      <c r="X6" s="1265"/>
      <c r="Y6" s="3392"/>
      <c r="Z6" s="3393"/>
      <c r="AA6" s="3365"/>
      <c r="AB6" s="3365"/>
      <c r="AC6" s="3365"/>
    </row>
    <row r="7" spans="1:29" s="102" customFormat="1" ht="15" thickBot="1">
      <c r="A7" s="352" t="s">
        <v>1679</v>
      </c>
      <c r="B7" s="353"/>
      <c r="C7" s="354">
        <f>'数据-取费表'!B2</f>
        <v>45866</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66" t="s">
        <v>1680</v>
      </c>
      <c r="Q7" s="3395"/>
      <c r="R7" s="664" t="s">
        <v>20</v>
      </c>
      <c r="S7" s="665">
        <f t="shared" ref="S7:S15" si="0">F7</f>
        <v>0</v>
      </c>
      <c r="T7" s="664" t="s">
        <v>20</v>
      </c>
      <c r="U7" s="665">
        <f t="shared" ref="U7:U15" si="1">H7</f>
        <v>0</v>
      </c>
      <c r="V7" s="664" t="s">
        <v>20</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66" t="s">
        <v>1683</v>
      </c>
      <c r="Q8" s="3367"/>
      <c r="R8" s="664" t="s">
        <v>20</v>
      </c>
      <c r="S8" s="665">
        <f t="shared" si="0"/>
        <v>100</v>
      </c>
      <c r="T8" s="664" t="s">
        <v>20</v>
      </c>
      <c r="U8" s="665">
        <f t="shared" si="1"/>
        <v>100</v>
      </c>
      <c r="V8" s="664" t="s">
        <v>20</v>
      </c>
      <c r="W8" s="665">
        <f t="shared" si="2"/>
        <v>100</v>
      </c>
      <c r="X8" s="666"/>
      <c r="Y8" s="3366" t="s">
        <v>1683</v>
      </c>
      <c r="Z8" s="336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30"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30"/>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30"/>
      <c r="Q11" s="530" t="str">
        <f t="shared" si="6"/>
        <v>容积率</v>
      </c>
      <c r="R11" s="664" t="s">
        <v>18</v>
      </c>
      <c r="S11" s="665" t="e">
        <f t="shared" si="0"/>
        <v>#N/A</v>
      </c>
      <c r="T11" s="664" t="s">
        <v>18</v>
      </c>
      <c r="U11" s="665" t="e">
        <f t="shared" si="1"/>
        <v>#N/A</v>
      </c>
      <c r="V11" s="664" t="s">
        <v>18</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30"/>
      <c r="Q12" s="530">
        <f t="shared" si="6"/>
        <v>111</v>
      </c>
      <c r="R12" s="664" t="s">
        <v>18</v>
      </c>
      <c r="S12" s="665">
        <f t="shared" si="0"/>
        <v>100</v>
      </c>
      <c r="T12" s="664" t="s">
        <v>18</v>
      </c>
      <c r="U12" s="665">
        <f t="shared" si="1"/>
        <v>100</v>
      </c>
      <c r="V12" s="664" t="s">
        <v>18</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30"/>
      <c r="Q13" s="530">
        <f t="shared" si="6"/>
        <v>111</v>
      </c>
      <c r="R13" s="664" t="s">
        <v>18</v>
      </c>
      <c r="S13" s="665">
        <f t="shared" si="0"/>
        <v>100</v>
      </c>
      <c r="T13" s="664" t="s">
        <v>18</v>
      </c>
      <c r="U13" s="665">
        <f t="shared" si="1"/>
        <v>100</v>
      </c>
      <c r="V13" s="664" t="s">
        <v>18</v>
      </c>
      <c r="W13" s="665">
        <f t="shared" si="2"/>
        <v>100</v>
      </c>
      <c r="X13" s="666"/>
      <c r="Y13" s="333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30"/>
      <c r="Q14" s="530">
        <f t="shared" si="6"/>
        <v>111</v>
      </c>
      <c r="R14" s="664" t="s">
        <v>18</v>
      </c>
      <c r="S14" s="665">
        <f t="shared" si="0"/>
        <v>100</v>
      </c>
      <c r="T14" s="664" t="s">
        <v>18</v>
      </c>
      <c r="U14" s="665">
        <f t="shared" si="1"/>
        <v>100</v>
      </c>
      <c r="V14" s="664" t="s">
        <v>18</v>
      </c>
      <c r="W14" s="665">
        <f t="shared" si="2"/>
        <v>100</v>
      </c>
      <c r="X14" s="666"/>
      <c r="Y14" s="333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4" t="s">
        <v>1691</v>
      </c>
      <c r="Q15" s="1263" t="str">
        <f t="shared" si="6"/>
        <v>居住社区成熟度</v>
      </c>
      <c r="R15" s="667" t="s">
        <v>18</v>
      </c>
      <c r="S15" s="668">
        <f t="shared" si="0"/>
        <v>100</v>
      </c>
      <c r="T15" s="667" t="s">
        <v>18</v>
      </c>
      <c r="U15" s="668">
        <f t="shared" si="1"/>
        <v>100</v>
      </c>
      <c r="V15" s="667" t="s">
        <v>18</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35"/>
      <c r="Q16" s="1263"/>
      <c r="R16" s="667"/>
      <c r="S16" s="668"/>
      <c r="T16" s="667"/>
      <c r="U16" s="668"/>
      <c r="V16" s="667"/>
      <c r="W16" s="668"/>
      <c r="X16" s="1265"/>
      <c r="Y16" s="339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5"/>
      <c r="Q17" s="1263" t="str">
        <f>B17</f>
        <v>交通便捷度</v>
      </c>
      <c r="R17" s="667" t="s">
        <v>18</v>
      </c>
      <c r="S17" s="668">
        <f>F17</f>
        <v>100</v>
      </c>
      <c r="T17" s="667" t="s">
        <v>18</v>
      </c>
      <c r="U17" s="668">
        <f>H17</f>
        <v>100</v>
      </c>
      <c r="V17" s="667" t="s">
        <v>18</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35"/>
      <c r="Q18" s="1263"/>
      <c r="R18" s="667"/>
      <c r="S18" s="668"/>
      <c r="T18" s="667"/>
      <c r="U18" s="668"/>
      <c r="V18" s="667"/>
      <c r="W18" s="668"/>
      <c r="X18" s="1265"/>
      <c r="Y18" s="339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5"/>
      <c r="Q19" s="1263" t="str">
        <f>B19</f>
        <v>公共配套设施</v>
      </c>
      <c r="R19" s="667" t="s">
        <v>18</v>
      </c>
      <c r="S19" s="668">
        <f>F19</f>
        <v>100</v>
      </c>
      <c r="T19" s="667" t="s">
        <v>18</v>
      </c>
      <c r="U19" s="668">
        <f>H19</f>
        <v>100</v>
      </c>
      <c r="V19" s="667" t="s">
        <v>18</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35"/>
      <c r="Q20" s="1263"/>
      <c r="R20" s="667"/>
      <c r="S20" s="668"/>
      <c r="T20" s="667"/>
      <c r="U20" s="668"/>
      <c r="V20" s="667"/>
      <c r="W20" s="668"/>
      <c r="X20" s="1265"/>
      <c r="Y20" s="339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35"/>
      <c r="Q22" s="1263"/>
      <c r="R22" s="667"/>
      <c r="S22" s="668"/>
      <c r="T22" s="667"/>
      <c r="U22" s="668"/>
      <c r="V22" s="667"/>
      <c r="W22" s="668"/>
      <c r="X22" s="1265"/>
      <c r="Y22" s="339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5"/>
      <c r="Q23" s="1263" t="str">
        <f>B23</f>
        <v>自然及人文环境</v>
      </c>
      <c r="R23" s="667" t="s">
        <v>18</v>
      </c>
      <c r="S23" s="668">
        <f>F23</f>
        <v>100</v>
      </c>
      <c r="T23" s="667" t="s">
        <v>18</v>
      </c>
      <c r="U23" s="668">
        <f>H23</f>
        <v>100</v>
      </c>
      <c r="V23" s="667" t="s">
        <v>18</v>
      </c>
      <c r="W23" s="668">
        <f>J23</f>
        <v>100</v>
      </c>
      <c r="X23" s="1265"/>
      <c r="Y23" s="339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35"/>
      <c r="Q24" s="1263"/>
      <c r="R24" s="667"/>
      <c r="S24" s="668"/>
      <c r="T24" s="667"/>
      <c r="U24" s="668"/>
      <c r="V24" s="667"/>
      <c r="W24" s="668"/>
      <c r="X24" s="1265"/>
      <c r="Y24" s="339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3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35"/>
      <c r="Q26" s="1263" t="str">
        <f t="shared" si="11"/>
        <v>朝向</v>
      </c>
      <c r="R26" s="667" t="s">
        <v>18</v>
      </c>
      <c r="S26" s="668">
        <f t="shared" si="12"/>
        <v>100</v>
      </c>
      <c r="T26" s="667" t="s">
        <v>18</v>
      </c>
      <c r="U26" s="668">
        <f t="shared" si="13"/>
        <v>100</v>
      </c>
      <c r="V26" s="667" t="s">
        <v>18</v>
      </c>
      <c r="W26" s="668">
        <f t="shared" si="14"/>
        <v>100</v>
      </c>
      <c r="X26" s="1265"/>
      <c r="Y26" s="339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35"/>
      <c r="Q27" s="530">
        <f t="shared" si="11"/>
        <v>111</v>
      </c>
      <c r="R27" s="664" t="s">
        <v>18</v>
      </c>
      <c r="S27" s="665">
        <f t="shared" si="12"/>
        <v>100</v>
      </c>
      <c r="T27" s="664" t="s">
        <v>18</v>
      </c>
      <c r="U27" s="665">
        <f t="shared" si="13"/>
        <v>100</v>
      </c>
      <c r="V27" s="664" t="s">
        <v>18</v>
      </c>
      <c r="W27" s="665">
        <f t="shared" si="14"/>
        <v>100</v>
      </c>
      <c r="X27" s="666"/>
      <c r="Y27" s="339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35"/>
      <c r="Q28" s="1263">
        <f t="shared" si="11"/>
        <v>111</v>
      </c>
      <c r="R28" s="667" t="s">
        <v>18</v>
      </c>
      <c r="S28" s="668">
        <f t="shared" si="12"/>
        <v>100</v>
      </c>
      <c r="T28" s="667" t="s">
        <v>18</v>
      </c>
      <c r="U28" s="668">
        <f t="shared" si="13"/>
        <v>100</v>
      </c>
      <c r="V28" s="667" t="s">
        <v>18</v>
      </c>
      <c r="W28" s="668">
        <f t="shared" si="14"/>
        <v>100</v>
      </c>
      <c r="X28" s="1265"/>
      <c r="Y28" s="339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35"/>
      <c r="Q29" s="1263">
        <f t="shared" si="11"/>
        <v>111</v>
      </c>
      <c r="R29" s="667" t="s">
        <v>18</v>
      </c>
      <c r="S29" s="668">
        <f t="shared" si="12"/>
        <v>100</v>
      </c>
      <c r="T29" s="667" t="s">
        <v>18</v>
      </c>
      <c r="U29" s="668">
        <f t="shared" si="13"/>
        <v>100</v>
      </c>
      <c r="V29" s="667" t="s">
        <v>18</v>
      </c>
      <c r="W29" s="668">
        <f t="shared" si="14"/>
        <v>100</v>
      </c>
      <c r="X29" s="1265"/>
      <c r="Y29" s="339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35"/>
      <c r="Q30" s="1263">
        <f t="shared" si="11"/>
        <v>111</v>
      </c>
      <c r="R30" s="667" t="s">
        <v>18</v>
      </c>
      <c r="S30" s="668">
        <f t="shared" si="12"/>
        <v>100</v>
      </c>
      <c r="T30" s="667" t="s">
        <v>18</v>
      </c>
      <c r="U30" s="668">
        <f t="shared" si="13"/>
        <v>100</v>
      </c>
      <c r="V30" s="667" t="s">
        <v>18</v>
      </c>
      <c r="W30" s="668">
        <f t="shared" si="14"/>
        <v>100</v>
      </c>
      <c r="X30" s="1265"/>
      <c r="Y30" s="339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35"/>
      <c r="Q31" s="1263">
        <f t="shared" si="11"/>
        <v>111</v>
      </c>
      <c r="R31" s="667" t="s">
        <v>18</v>
      </c>
      <c r="S31" s="668">
        <f t="shared" si="12"/>
        <v>100</v>
      </c>
      <c r="T31" s="667" t="s">
        <v>18</v>
      </c>
      <c r="U31" s="668">
        <f t="shared" si="13"/>
        <v>100</v>
      </c>
      <c r="V31" s="667" t="s">
        <v>18</v>
      </c>
      <c r="W31" s="668">
        <f t="shared" si="14"/>
        <v>100</v>
      </c>
      <c r="X31" s="1265"/>
      <c r="Y31" s="339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1"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2"/>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2"/>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2"/>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2"/>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2"/>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2"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2"/>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2"/>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2"/>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2"/>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2"/>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2"/>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2"/>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3"/>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81" t="str">
        <f>A47</f>
        <v>成交单价（元/平方米）</v>
      </c>
      <c r="Q47" s="3381"/>
      <c r="R47" s="3394">
        <f>E47</f>
        <v>0</v>
      </c>
      <c r="S47" s="3394"/>
      <c r="T47" s="3394">
        <f>G47</f>
        <v>0</v>
      </c>
      <c r="U47" s="3394"/>
      <c r="V47" s="3394">
        <f>I47</f>
        <v>0</v>
      </c>
      <c r="W47" s="339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81" t="str">
        <f>A48</f>
        <v>比较价值（元/平方米）</v>
      </c>
      <c r="Q48" s="3381"/>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1721.28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2" t="s">
        <v>1770</v>
      </c>
      <c r="D4" s="3383"/>
      <c r="E4" s="3384" t="s">
        <v>1771</v>
      </c>
      <c r="F4" s="3385"/>
      <c r="G4" s="3382" t="s">
        <v>1772</v>
      </c>
      <c r="H4" s="3383"/>
      <c r="I4" s="3382" t="s">
        <v>1773</v>
      </c>
      <c r="J4" s="3383"/>
      <c r="K4" s="537" t="s">
        <v>1774</v>
      </c>
      <c r="L4" s="2484"/>
      <c r="M4" s="2485"/>
      <c r="N4" s="2485"/>
      <c r="O4" s="2485"/>
      <c r="P4" s="3386" t="s">
        <v>1775</v>
      </c>
      <c r="Q4" s="3387"/>
      <c r="R4" s="3368" t="s">
        <v>1771</v>
      </c>
      <c r="S4" s="3369"/>
      <c r="T4" s="3368" t="s">
        <v>1772</v>
      </c>
      <c r="U4" s="3369"/>
      <c r="V4" s="3394" t="s">
        <v>1773</v>
      </c>
      <c r="W4" s="3394"/>
      <c r="X4" s="1265"/>
      <c r="Y4" s="3368" t="s">
        <v>1775</v>
      </c>
      <c r="Z4" s="3369"/>
      <c r="AA4" s="3363" t="s">
        <v>1771</v>
      </c>
      <c r="AB4" s="3394" t="s">
        <v>1772</v>
      </c>
      <c r="AC4" s="3363" t="s">
        <v>1773</v>
      </c>
    </row>
    <row r="5" spans="1:29">
      <c r="A5" s="348"/>
      <c r="B5" s="349"/>
      <c r="C5" s="3378" t="s">
        <v>1673</v>
      </c>
      <c r="D5" s="3375"/>
      <c r="E5" s="3372" t="s">
        <v>1674</v>
      </c>
      <c r="F5" s="3373"/>
      <c r="G5" s="3378" t="s">
        <v>1675</v>
      </c>
      <c r="H5" s="3375"/>
      <c r="I5" s="3378" t="s">
        <v>1676</v>
      </c>
      <c r="J5" s="3375"/>
      <c r="K5" s="537"/>
      <c r="L5" s="2484"/>
      <c r="M5" s="2485"/>
      <c r="N5" s="2485"/>
      <c r="O5" s="2485"/>
      <c r="P5" s="3388"/>
      <c r="Q5" s="3389"/>
      <c r="R5" s="3370"/>
      <c r="S5" s="3371"/>
      <c r="T5" s="3370"/>
      <c r="U5" s="3371"/>
      <c r="V5" s="3394"/>
      <c r="W5" s="3394"/>
      <c r="X5" s="1265"/>
      <c r="Y5" s="3370"/>
      <c r="Z5" s="3371"/>
      <c r="AA5" s="3364"/>
      <c r="AB5" s="3394"/>
      <c r="AC5" s="3364"/>
    </row>
    <row r="6" spans="1:29" ht="15" thickBot="1">
      <c r="A6" s="350"/>
      <c r="B6" s="351"/>
      <c r="C6" s="3376" t="s">
        <v>1677</v>
      </c>
      <c r="D6" s="3377"/>
      <c r="E6" s="3379" t="s">
        <v>1677</v>
      </c>
      <c r="F6" s="3380"/>
      <c r="G6" s="3376" t="s">
        <v>1677</v>
      </c>
      <c r="H6" s="3377"/>
      <c r="I6" s="3376" t="s">
        <v>1677</v>
      </c>
      <c r="J6" s="3377"/>
      <c r="K6" s="537" t="s">
        <v>1678</v>
      </c>
      <c r="L6" s="2484"/>
      <c r="M6" s="2485"/>
      <c r="N6" s="2485"/>
      <c r="O6" s="2485"/>
      <c r="P6" s="3390"/>
      <c r="Q6" s="3391"/>
      <c r="R6" s="3370"/>
      <c r="S6" s="3371"/>
      <c r="T6" s="3392"/>
      <c r="U6" s="3393"/>
      <c r="V6" s="3394"/>
      <c r="W6" s="3394"/>
      <c r="X6" s="1265"/>
      <c r="Y6" s="3392"/>
      <c r="Z6" s="3393"/>
      <c r="AA6" s="3365"/>
      <c r="AB6" s="3394"/>
      <c r="AC6" s="3365"/>
    </row>
    <row r="7" spans="1:29" s="102" customFormat="1" ht="15" thickBot="1">
      <c r="A7" s="352" t="s">
        <v>1679</v>
      </c>
      <c r="B7" s="353"/>
      <c r="C7" s="354">
        <f>'数据-取费表'!B2</f>
        <v>45866</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6" t="s">
        <v>1680</v>
      </c>
      <c r="Q7" s="3395"/>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6" t="s">
        <v>1683</v>
      </c>
      <c r="Q8" s="3367"/>
      <c r="R8" s="664" t="s">
        <v>14</v>
      </c>
      <c r="S8" s="665">
        <f t="shared" si="0"/>
        <v>100</v>
      </c>
      <c r="T8" s="664" t="s">
        <v>14</v>
      </c>
      <c r="U8" s="665">
        <f t="shared" si="1"/>
        <v>100</v>
      </c>
      <c r="V8" s="664" t="s">
        <v>14</v>
      </c>
      <c r="W8" s="665">
        <f t="shared" si="2"/>
        <v>100</v>
      </c>
      <c r="X8" s="666"/>
      <c r="Y8" s="3366" t="s">
        <v>1683</v>
      </c>
      <c r="Z8" s="336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30"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30"/>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30"/>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30"/>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30"/>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30"/>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4" t="s">
        <v>1691</v>
      </c>
      <c r="Q15" s="1263" t="str">
        <f t="shared" si="6"/>
        <v>商业繁华度</v>
      </c>
      <c r="R15" s="667" t="s">
        <v>14</v>
      </c>
      <c r="S15" s="668">
        <f t="shared" si="0"/>
        <v>100</v>
      </c>
      <c r="T15" s="667" t="s">
        <v>14</v>
      </c>
      <c r="U15" s="668">
        <f t="shared" si="1"/>
        <v>100</v>
      </c>
      <c r="V15" s="667" t="s">
        <v>14</v>
      </c>
      <c r="W15" s="668">
        <f t="shared" si="2"/>
        <v>100</v>
      </c>
      <c r="X15" s="1265"/>
      <c r="Y15" s="339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5"/>
      <c r="Q16" s="1263"/>
      <c r="R16" s="667"/>
      <c r="S16" s="668"/>
      <c r="T16" s="667"/>
      <c r="U16" s="668"/>
      <c r="V16" s="667"/>
      <c r="W16" s="668"/>
      <c r="X16" s="1265"/>
      <c r="Y16" s="339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35"/>
      <c r="Q18" s="1263"/>
      <c r="R18" s="667"/>
      <c r="S18" s="668"/>
      <c r="T18" s="667"/>
      <c r="U18" s="668"/>
      <c r="V18" s="667"/>
      <c r="W18" s="668"/>
      <c r="X18" s="1265"/>
      <c r="Y18" s="339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35"/>
      <c r="Q20" s="1263"/>
      <c r="R20" s="667"/>
      <c r="S20" s="668"/>
      <c r="T20" s="667"/>
      <c r="U20" s="668"/>
      <c r="V20" s="667"/>
      <c r="W20" s="668"/>
      <c r="X20" s="1265"/>
      <c r="Y20" s="339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35"/>
      <c r="Q22" s="1263"/>
      <c r="R22" s="667"/>
      <c r="S22" s="668"/>
      <c r="T22" s="667"/>
      <c r="U22" s="668"/>
      <c r="V22" s="667"/>
      <c r="W22" s="668"/>
      <c r="X22" s="1265"/>
      <c r="Y22" s="339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5"/>
      <c r="Q23" s="1263" t="str">
        <f>B23</f>
        <v>自然及人文环境</v>
      </c>
      <c r="R23" s="667" t="s">
        <v>14</v>
      </c>
      <c r="S23" s="668">
        <f>F23</f>
        <v>100</v>
      </c>
      <c r="T23" s="667" t="s">
        <v>14</v>
      </c>
      <c r="U23" s="668">
        <f>H23</f>
        <v>100</v>
      </c>
      <c r="V23" s="667" t="s">
        <v>14</v>
      </c>
      <c r="W23" s="668">
        <f>J23</f>
        <v>100</v>
      </c>
      <c r="X23" s="1265"/>
      <c r="Y23" s="339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35"/>
      <c r="Q24" s="1263"/>
      <c r="R24" s="667"/>
      <c r="S24" s="668"/>
      <c r="T24" s="667"/>
      <c r="U24" s="668"/>
      <c r="V24" s="667"/>
      <c r="W24" s="668"/>
      <c r="X24" s="1265"/>
      <c r="Y24" s="339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5"/>
      <c r="Q25" s="1263" t="str">
        <f t="shared" ref="Q25:Q46" si="11">B25</f>
        <v>临街状况</v>
      </c>
      <c r="R25" s="667" t="s">
        <v>14</v>
      </c>
      <c r="S25" s="668">
        <f>F25</f>
        <v>100</v>
      </c>
      <c r="T25" s="667" t="s">
        <v>14</v>
      </c>
      <c r="U25" s="668">
        <f>H25</f>
        <v>100</v>
      </c>
      <c r="V25" s="667" t="s">
        <v>14</v>
      </c>
      <c r="W25" s="668">
        <f>J25</f>
        <v>100</v>
      </c>
      <c r="X25" s="1265"/>
      <c r="Y25" s="339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5"/>
      <c r="Q26" s="1263" t="str">
        <f t="shared" si="11"/>
        <v>平面位置/可视性</v>
      </c>
      <c r="R26" s="667" t="s">
        <v>14</v>
      </c>
      <c r="S26" s="668">
        <f>F26</f>
        <v>100</v>
      </c>
      <c r="T26" s="667" t="s">
        <v>14</v>
      </c>
      <c r="U26" s="668">
        <f>H26</f>
        <v>100</v>
      </c>
      <c r="V26" s="667" t="s">
        <v>14</v>
      </c>
      <c r="W26" s="668">
        <f>J26</f>
        <v>100</v>
      </c>
      <c r="X26" s="1265"/>
      <c r="Y26" s="339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35"/>
      <c r="Q27" s="530" t="str">
        <f t="shared" si="11"/>
        <v>人流量</v>
      </c>
      <c r="R27" s="664" t="s">
        <v>14</v>
      </c>
      <c r="S27" s="665">
        <f>F27</f>
        <v>100</v>
      </c>
      <c r="T27" s="664" t="s">
        <v>14</v>
      </c>
      <c r="U27" s="665">
        <f>H27</f>
        <v>100</v>
      </c>
      <c r="V27" s="664" t="s">
        <v>14</v>
      </c>
      <c r="W27" s="665">
        <f>J27</f>
        <v>100</v>
      </c>
      <c r="X27" s="666"/>
      <c r="Y27" s="339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5"/>
      <c r="Q29" s="1263">
        <f t="shared" si="11"/>
        <v>111</v>
      </c>
      <c r="R29" s="667" t="s">
        <v>14</v>
      </c>
      <c r="S29" s="668">
        <f t="shared" si="12"/>
        <v>100</v>
      </c>
      <c r="T29" s="667" t="s">
        <v>14</v>
      </c>
      <c r="U29" s="668">
        <f t="shared" si="13"/>
        <v>100</v>
      </c>
      <c r="V29" s="667" t="s">
        <v>14</v>
      </c>
      <c r="W29" s="668">
        <f t="shared" si="14"/>
        <v>100</v>
      </c>
      <c r="X29" s="1265"/>
      <c r="Y29" s="339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1" t="s">
        <v>1696</v>
      </c>
      <c r="Q32" s="1263" t="str">
        <f t="shared" si="11"/>
        <v>商业类型</v>
      </c>
      <c r="R32" s="667" t="s">
        <v>14</v>
      </c>
      <c r="S32" s="668">
        <f t="shared" si="12"/>
        <v>100</v>
      </c>
      <c r="T32" s="667" t="s">
        <v>14</v>
      </c>
      <c r="U32" s="668">
        <f t="shared" si="13"/>
        <v>100</v>
      </c>
      <c r="V32" s="667" t="s">
        <v>14</v>
      </c>
      <c r="W32" s="668">
        <f t="shared" si="14"/>
        <v>100</v>
      </c>
      <c r="X32" s="1265"/>
      <c r="Y32" s="339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2"/>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2"/>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2"/>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2"/>
      <c r="Q36" s="1263" t="str">
        <f t="shared" si="11"/>
        <v>成新度</v>
      </c>
      <c r="R36" s="667" t="s">
        <v>14</v>
      </c>
      <c r="S36" s="668" t="e">
        <f t="shared" si="12"/>
        <v>#N/A</v>
      </c>
      <c r="T36" s="667" t="s">
        <v>14</v>
      </c>
      <c r="U36" s="668" t="e">
        <f t="shared" si="13"/>
        <v>#N/A</v>
      </c>
      <c r="V36" s="667" t="s">
        <v>14</v>
      </c>
      <c r="W36" s="668" t="e">
        <f t="shared" si="14"/>
        <v>#N/A</v>
      </c>
      <c r="X36" s="1265"/>
      <c r="Y36" s="339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2"/>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2"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2"/>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2"/>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2"/>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2"/>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2"/>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2"/>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2"/>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3"/>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81" t="str">
        <f>A47</f>
        <v>成交单价（元/平方米）</v>
      </c>
      <c r="Q47" s="3381"/>
      <c r="R47" s="3394">
        <f>E47</f>
        <v>0</v>
      </c>
      <c r="S47" s="3394"/>
      <c r="T47" s="3394">
        <f>G47</f>
        <v>0</v>
      </c>
      <c r="U47" s="3394"/>
      <c r="V47" s="3394">
        <f>I47</f>
        <v>0</v>
      </c>
      <c r="W47" s="339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81" t="str">
        <f>A48</f>
        <v>比较价值（元/平方米）</v>
      </c>
      <c r="Q48" s="3381"/>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C5" sqref="C5:D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3447</v>
      </c>
      <c r="E1" s="3129" t="s">
        <v>3452</v>
      </c>
      <c r="F1" s="1735" t="s">
        <v>3453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4034.3361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23438</v>
      </c>
      <c r="C3" s="344" t="s">
        <v>1768</v>
      </c>
      <c r="D3" s="343">
        <f>IF(D1="",'数据-汇总表'!E3,SUMIF('数据-汇总表'!$C19:$C33,D1,'数据-汇总表'!$E19:$E33))</f>
        <v>1721.28</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2" t="s">
        <v>1770</v>
      </c>
      <c r="D4" s="3383"/>
      <c r="E4" s="3384" t="s">
        <v>1771</v>
      </c>
      <c r="F4" s="3385"/>
      <c r="G4" s="3382" t="s">
        <v>1772</v>
      </c>
      <c r="H4" s="3383"/>
      <c r="I4" s="3382" t="s">
        <v>1773</v>
      </c>
      <c r="J4" s="3383"/>
      <c r="K4" s="537" t="s">
        <v>1774</v>
      </c>
      <c r="L4" s="2484"/>
      <c r="M4" s="2485"/>
      <c r="N4" s="2485"/>
      <c r="O4" s="2485"/>
      <c r="P4" s="3442" t="s">
        <v>1775</v>
      </c>
      <c r="Q4" s="3443"/>
      <c r="R4" s="3437" t="s">
        <v>1771</v>
      </c>
      <c r="S4" s="3438"/>
      <c r="T4" s="3437" t="s">
        <v>1772</v>
      </c>
      <c r="U4" s="3438"/>
      <c r="V4" s="3446" t="s">
        <v>1773</v>
      </c>
      <c r="W4" s="3446"/>
      <c r="X4" s="1809"/>
      <c r="Y4" s="3437" t="s">
        <v>1775</v>
      </c>
      <c r="Z4" s="3438"/>
      <c r="AA4" s="3436" t="s">
        <v>1771</v>
      </c>
      <c r="AB4" s="3436" t="s">
        <v>1772</v>
      </c>
      <c r="AC4" s="3439" t="s">
        <v>1773</v>
      </c>
    </row>
    <row r="5" spans="1:29" ht="13.95" customHeight="1">
      <c r="A5" s="348"/>
      <c r="B5" s="349"/>
      <c r="C5" s="3374" t="s">
        <v>3526</v>
      </c>
      <c r="D5" s="3375"/>
      <c r="E5" s="3372" t="str">
        <f>'售价案例-'!N4</f>
        <v>金隅嘉华大厦</v>
      </c>
      <c r="F5" s="3373"/>
      <c r="G5" s="3378" t="str">
        <f>'售价案例-'!N5</f>
        <v>群英科技园</v>
      </c>
      <c r="H5" s="3375"/>
      <c r="I5" s="3378" t="str">
        <f>'售价案例-'!N6</f>
        <v>盈创动力大厦</v>
      </c>
      <c r="J5" s="3375"/>
      <c r="K5" s="537"/>
      <c r="L5" s="2484"/>
      <c r="M5" s="2485"/>
      <c r="N5" s="2485"/>
      <c r="O5" s="2485"/>
      <c r="P5" s="3444"/>
      <c r="Q5" s="3389"/>
      <c r="R5" s="3370"/>
      <c r="S5" s="3371"/>
      <c r="T5" s="3370"/>
      <c r="U5" s="3371"/>
      <c r="V5" s="3394"/>
      <c r="W5" s="3394"/>
      <c r="X5" s="1265"/>
      <c r="Y5" s="3370"/>
      <c r="Z5" s="3371"/>
      <c r="AA5" s="3364"/>
      <c r="AB5" s="3364"/>
      <c r="AC5" s="3440"/>
    </row>
    <row r="6" spans="1:29" ht="15" thickBot="1">
      <c r="A6" s="350"/>
      <c r="B6" s="351"/>
      <c r="C6" s="3376" t="s">
        <v>1677</v>
      </c>
      <c r="D6" s="3377"/>
      <c r="E6" s="3379" t="s">
        <v>1677</v>
      </c>
      <c r="F6" s="3380"/>
      <c r="G6" s="3376" t="s">
        <v>1677</v>
      </c>
      <c r="H6" s="3377"/>
      <c r="I6" s="3376" t="s">
        <v>1677</v>
      </c>
      <c r="J6" s="3377"/>
      <c r="K6" s="537" t="s">
        <v>1678</v>
      </c>
      <c r="L6" s="2484"/>
      <c r="M6" s="2485"/>
      <c r="N6" s="2485"/>
      <c r="O6" s="2485"/>
      <c r="P6" s="3445"/>
      <c r="Q6" s="3391"/>
      <c r="R6" s="3370"/>
      <c r="S6" s="3371"/>
      <c r="T6" s="3392"/>
      <c r="U6" s="3393"/>
      <c r="V6" s="3394"/>
      <c r="W6" s="3394"/>
      <c r="X6" s="1265"/>
      <c r="Y6" s="3392"/>
      <c r="Z6" s="3393"/>
      <c r="AA6" s="3365"/>
      <c r="AB6" s="3365"/>
      <c r="AC6" s="3441"/>
    </row>
    <row r="7" spans="1:29" s="102" customFormat="1" ht="15" thickBot="1">
      <c r="A7" s="352" t="s">
        <v>1679</v>
      </c>
      <c r="B7" s="353"/>
      <c r="C7" s="354">
        <f>'数据-取费表'!B2</f>
        <v>45866</v>
      </c>
      <c r="D7" s="355">
        <v>100</v>
      </c>
      <c r="E7" s="356">
        <f>C7</f>
        <v>45866</v>
      </c>
      <c r="F7" s="357">
        <f>SUMIF(59:59,YEAR(E7)&amp;"-"&amp;MONTH(E7),60:60)</f>
        <v>100</v>
      </c>
      <c r="G7" s="356">
        <f>C7</f>
        <v>45866</v>
      </c>
      <c r="H7" s="355">
        <f>SUMIF(59:59,YEAR(G7)&amp;"-"&amp;MONTH(G7),60:60)</f>
        <v>100</v>
      </c>
      <c r="I7" s="356">
        <f>C7</f>
        <v>45866</v>
      </c>
      <c r="J7" s="355">
        <f>SUMIF(59:59,YEAR(I7)&amp;"-"&amp;MONTH(I7),60:60)</f>
        <v>100</v>
      </c>
      <c r="K7" s="38"/>
      <c r="L7" s="2486"/>
      <c r="M7" s="2438"/>
      <c r="N7" s="2438"/>
      <c r="O7" s="2438"/>
      <c r="P7" s="3447" t="s">
        <v>1680</v>
      </c>
      <c r="Q7" s="3395"/>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802">
        <f>D7/J7</f>
        <v>1</v>
      </c>
    </row>
    <row r="8" spans="1:29" s="102" customFormat="1" ht="15" thickBot="1">
      <c r="A8" s="352" t="s">
        <v>1681</v>
      </c>
      <c r="B8" s="353"/>
      <c r="C8" s="358" t="s">
        <v>3464</v>
      </c>
      <c r="D8" s="355">
        <v>100</v>
      </c>
      <c r="E8" s="358" t="s">
        <v>3465</v>
      </c>
      <c r="F8" s="357">
        <f>SUMIF(62:62,E8,63:63)-SUMIF(62:62,C8,63:63)+100</f>
        <v>103</v>
      </c>
      <c r="G8" s="358" t="s">
        <v>3465</v>
      </c>
      <c r="H8" s="355">
        <f>SUMIF(62:62,G8,63:63)-SUMIF(62:62,C8,63:63)+100</f>
        <v>103</v>
      </c>
      <c r="I8" s="358" t="s">
        <v>3465</v>
      </c>
      <c r="J8" s="355">
        <f>SUMIF(62:62,I8,63:63)-SUMIF(62:62,C8,63:63)+100</f>
        <v>103</v>
      </c>
      <c r="K8" s="38"/>
      <c r="L8" s="2486"/>
      <c r="M8" s="2438"/>
      <c r="N8" s="2438"/>
      <c r="O8" s="2438"/>
      <c r="P8" s="3447" t="s">
        <v>1683</v>
      </c>
      <c r="Q8" s="3367"/>
      <c r="R8" s="664" t="s">
        <v>14</v>
      </c>
      <c r="S8" s="665">
        <f t="shared" si="0"/>
        <v>103</v>
      </c>
      <c r="T8" s="664" t="s">
        <v>14</v>
      </c>
      <c r="U8" s="665">
        <f t="shared" si="1"/>
        <v>103</v>
      </c>
      <c r="V8" s="664" t="s">
        <v>14</v>
      </c>
      <c r="W8" s="665">
        <f t="shared" si="2"/>
        <v>103</v>
      </c>
      <c r="X8" s="666"/>
      <c r="Y8" s="3366" t="s">
        <v>1683</v>
      </c>
      <c r="Z8" s="3367"/>
      <c r="AA8" s="50">
        <f t="shared" ref="AA8:AA47" si="3">D8/F8</f>
        <v>0.970873786407767</v>
      </c>
      <c r="AB8" s="50">
        <f t="shared" ref="AB8:AB47" si="4">D8/H8</f>
        <v>0.970873786407767</v>
      </c>
      <c r="AC8" s="802">
        <f t="shared" ref="AC8:AC47" si="5">D8/J8</f>
        <v>0.970873786407767</v>
      </c>
    </row>
    <row r="9" spans="1:29" s="102" customFormat="1" ht="14.4">
      <c r="A9" s="359" t="s">
        <v>1684</v>
      </c>
      <c r="B9" s="60" t="s">
        <v>1685</v>
      </c>
      <c r="C9" s="3171" t="s">
        <v>3479</v>
      </c>
      <c r="D9" s="59">
        <v>100</v>
      </c>
      <c r="E9" s="362" t="s">
        <v>21</v>
      </c>
      <c r="F9" s="59">
        <f>SUMIF(64:64,E9,65:65)-SUMIF(64:64,C9,65:65)+100</f>
        <v>105</v>
      </c>
      <c r="G9" s="361" t="s">
        <v>3478</v>
      </c>
      <c r="H9" s="59">
        <f>SUMIF(64:64,G9,65:65)-SUMIF(64:64,C9,65:65)+100</f>
        <v>100</v>
      </c>
      <c r="I9" s="361" t="s">
        <v>3478</v>
      </c>
      <c r="J9" s="59">
        <f>SUMIF(64:64,I9,65:65)-SUMIF(64:64,C9,65:65)+100</f>
        <v>100</v>
      </c>
      <c r="K9" s="38"/>
      <c r="L9" s="2486"/>
      <c r="M9" s="2438"/>
      <c r="N9" s="2438"/>
      <c r="O9" s="2438"/>
      <c r="P9" s="3430" t="s">
        <v>1686</v>
      </c>
      <c r="Q9" s="530" t="str">
        <f t="shared" ref="Q9:Q15" si="6">B9</f>
        <v>用途</v>
      </c>
      <c r="R9" s="664" t="s">
        <v>14</v>
      </c>
      <c r="S9" s="665">
        <f t="shared" si="0"/>
        <v>105</v>
      </c>
      <c r="T9" s="664" t="s">
        <v>14</v>
      </c>
      <c r="U9" s="665">
        <f t="shared" si="1"/>
        <v>100</v>
      </c>
      <c r="V9" s="664" t="s">
        <v>14</v>
      </c>
      <c r="W9" s="665">
        <f t="shared" si="2"/>
        <v>100</v>
      </c>
      <c r="X9" s="666"/>
      <c r="Y9" s="3339" t="s">
        <v>1687</v>
      </c>
      <c r="Z9" s="50" t="str">
        <f t="shared" ref="Z9:Z15" si="7">Q9</f>
        <v>用途</v>
      </c>
      <c r="AA9" s="50">
        <f t="shared" si="3"/>
        <v>0.95238095238095233</v>
      </c>
      <c r="AB9" s="50">
        <f t="shared" si="4"/>
        <v>1</v>
      </c>
      <c r="AC9" s="802">
        <f t="shared" si="5"/>
        <v>1</v>
      </c>
    </row>
    <row r="10" spans="1:29" s="366" customFormat="1" ht="28.8">
      <c r="A10" s="363"/>
      <c r="B10" s="364" t="s">
        <v>1688</v>
      </c>
      <c r="C10" s="3130" t="s">
        <v>3469</v>
      </c>
      <c r="D10" s="119">
        <v>100</v>
      </c>
      <c r="E10" s="3130" t="s">
        <v>3469</v>
      </c>
      <c r="F10" s="119">
        <f>SUMIF(66:66,E10,67:67)-SUMIF(66:66,C10,67:67)+100</f>
        <v>100</v>
      </c>
      <c r="G10" s="3131" t="s">
        <v>3471</v>
      </c>
      <c r="H10" s="119">
        <f>SUMIF(66:66,G10,67:67)-SUMIF(66:66,C10,67:67)+100</f>
        <v>95</v>
      </c>
      <c r="I10" s="3130" t="s">
        <v>3469</v>
      </c>
      <c r="J10" s="119">
        <f>SUMIF(66:66,I10,67:67)-SUMIF(66:66,C10,67:67)+100</f>
        <v>100</v>
      </c>
      <c r="K10" s="38"/>
      <c r="L10" s="2487"/>
      <c r="M10" s="2488"/>
      <c r="N10" s="2488"/>
      <c r="O10" s="2488"/>
      <c r="P10" s="3430"/>
      <c r="Q10" s="530" t="str">
        <f t="shared" si="6"/>
        <v>土地使用年限（年）</v>
      </c>
      <c r="R10" s="664" t="s">
        <v>14</v>
      </c>
      <c r="S10" s="665">
        <f t="shared" si="0"/>
        <v>100</v>
      </c>
      <c r="T10" s="664" t="s">
        <v>14</v>
      </c>
      <c r="U10" s="665">
        <f t="shared" si="1"/>
        <v>95</v>
      </c>
      <c r="V10" s="664" t="s">
        <v>14</v>
      </c>
      <c r="W10" s="665">
        <f t="shared" si="2"/>
        <v>100</v>
      </c>
      <c r="X10" s="666"/>
      <c r="Y10" s="3339"/>
      <c r="Z10" s="50" t="str">
        <f t="shared" si="7"/>
        <v>土地使用年限（年）</v>
      </c>
      <c r="AA10" s="50">
        <f t="shared" si="3"/>
        <v>1</v>
      </c>
      <c r="AB10" s="50">
        <f t="shared" si="4"/>
        <v>1.0526315789473684</v>
      </c>
      <c r="AC10" s="802">
        <f t="shared" si="5"/>
        <v>1</v>
      </c>
    </row>
    <row r="11" spans="1:29" ht="15">
      <c r="A11" s="367"/>
      <c r="B11" s="364" t="s">
        <v>1689</v>
      </c>
      <c r="C11" s="368"/>
      <c r="D11" s="119">
        <v>100</v>
      </c>
      <c r="E11" s="368">
        <f>E13-2+50-2025</f>
        <v>26</v>
      </c>
      <c r="F11" s="119">
        <f>LOOKUP(E11,69:69,70:70)-LOOKUP(C11,69:69,70:70)+100</f>
        <v>100</v>
      </c>
      <c r="G11" s="369"/>
      <c r="H11" s="119">
        <f>LOOKUP(G11,69:69,70:70)-LOOKUP(C11,69:69,70:70)+100</f>
        <v>100</v>
      </c>
      <c r="I11" s="368"/>
      <c r="J11" s="119">
        <f>LOOKUP(I11,69:69,70:70)-LOOKUP(C11,69:69,70:70)+100</f>
        <v>100</v>
      </c>
      <c r="K11" s="538"/>
      <c r="L11" s="2489"/>
      <c r="M11" s="2485"/>
      <c r="N11" s="2485"/>
      <c r="O11" s="2485"/>
      <c r="P11" s="3430"/>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802">
        <f t="shared" si="5"/>
        <v>1</v>
      </c>
    </row>
    <row r="12" spans="1:29" s="102" customFormat="1" ht="15">
      <c r="A12" s="370"/>
      <c r="B12" s="447">
        <v>111</v>
      </c>
      <c r="C12" s="371"/>
      <c r="D12" s="372">
        <v>100</v>
      </c>
      <c r="E12" s="1810">
        <f>ROUND(1-(1-0)*(2025-E13)/60,2)</f>
        <v>0.63</v>
      </c>
      <c r="F12" s="119">
        <f>SUMIF(71:71,E12,72:72)-SUMIF(71:71,C12,72:72)+100</f>
        <v>100</v>
      </c>
      <c r="G12" s="1810">
        <f>ROUND(1-(1-0)*(2025-G13)/60,2)</f>
        <v>0.6</v>
      </c>
      <c r="H12" s="119">
        <f>SUMIF(71:71,G12,72:72)-SUMIF(71:71,C12,72:72)+100</f>
        <v>100</v>
      </c>
      <c r="I12" s="1810">
        <f>ROUND(1-(1-0)*(2025-I13)/60,2)</f>
        <v>0.63</v>
      </c>
      <c r="J12" s="119">
        <f>SUMIF(71:71,I12,72:72)-SUMIF(71:71,C12,72:72)+100</f>
        <v>100</v>
      </c>
      <c r="K12" s="539"/>
      <c r="L12" s="2486"/>
      <c r="M12" s="2438"/>
      <c r="N12" s="2438"/>
      <c r="O12" s="2438"/>
      <c r="P12" s="3430"/>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802">
        <f>D12/J12</f>
        <v>1</v>
      </c>
    </row>
    <row r="13" spans="1:29" ht="15">
      <c r="A13" s="367"/>
      <c r="B13" s="447">
        <v>111</v>
      </c>
      <c r="C13" s="373"/>
      <c r="D13" s="374">
        <v>100</v>
      </c>
      <c r="E13" s="371">
        <v>2003</v>
      </c>
      <c r="F13" s="119">
        <f>SUMIF(73:73,E13,74:74)-SUMIF(73:73,C13,74:74)+100</f>
        <v>100</v>
      </c>
      <c r="G13" s="1810">
        <v>2001</v>
      </c>
      <c r="H13" s="374">
        <f>SUMIF(73:73,G13,74:74)-SUMIF(73:73,C13,74:74)+100</f>
        <v>100</v>
      </c>
      <c r="I13" s="371">
        <v>2003</v>
      </c>
      <c r="J13" s="374">
        <f>SUMIF(73:73,I13,74:74)-SUMIF(73:73,C13,74:74)+100</f>
        <v>100</v>
      </c>
      <c r="K13" s="539"/>
      <c r="L13" s="2490"/>
      <c r="M13" s="2485"/>
      <c r="N13" s="2485"/>
      <c r="O13" s="2485"/>
      <c r="P13" s="3430"/>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30"/>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34" t="s">
        <v>1691</v>
      </c>
      <c r="Q15" s="1263" t="str">
        <f t="shared" si="6"/>
        <v>办公集聚程度</v>
      </c>
      <c r="R15" s="667" t="s">
        <v>14</v>
      </c>
      <c r="S15" s="668">
        <f t="shared" si="0"/>
        <v>100</v>
      </c>
      <c r="T15" s="667" t="s">
        <v>14</v>
      </c>
      <c r="U15" s="668">
        <f t="shared" si="1"/>
        <v>100</v>
      </c>
      <c r="V15" s="667" t="s">
        <v>14</v>
      </c>
      <c r="W15" s="668">
        <f t="shared" si="2"/>
        <v>100</v>
      </c>
      <c r="X15" s="1265"/>
      <c r="Y15" s="3396" t="s">
        <v>1691</v>
      </c>
      <c r="Z15" s="1264" t="str">
        <f t="shared" si="7"/>
        <v>办公集聚程度</v>
      </c>
      <c r="AA15" s="1264">
        <f t="shared" si="3"/>
        <v>1</v>
      </c>
      <c r="AB15" s="1264">
        <f t="shared" si="4"/>
        <v>1</v>
      </c>
      <c r="AC15" s="1812">
        <f t="shared" si="5"/>
        <v>1</v>
      </c>
    </row>
    <row r="16" spans="1:29" ht="15">
      <c r="A16" s="367"/>
      <c r="B16" s="555"/>
      <c r="C16" s="1758" t="s">
        <v>3438</v>
      </c>
      <c r="D16" s="387"/>
      <c r="E16" s="386" t="s">
        <v>3438</v>
      </c>
      <c r="F16" s="387"/>
      <c r="G16" s="1758" t="s">
        <v>3438</v>
      </c>
      <c r="H16" s="389"/>
      <c r="I16" s="386" t="s">
        <v>3438</v>
      </c>
      <c r="J16" s="387"/>
      <c r="K16" s="541"/>
      <c r="L16" s="2490"/>
      <c r="M16" s="2485"/>
      <c r="N16" s="2485"/>
      <c r="O16" s="2485"/>
      <c r="P16" s="3435"/>
      <c r="Q16" s="1263"/>
      <c r="R16" s="667"/>
      <c r="S16" s="668"/>
      <c r="T16" s="667"/>
      <c r="U16" s="668"/>
      <c r="V16" s="667"/>
      <c r="W16" s="668"/>
      <c r="X16" s="1265"/>
      <c r="Y16" s="339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3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812">
        <f t="shared" si="5"/>
        <v>1</v>
      </c>
    </row>
    <row r="18" spans="1:29" ht="15">
      <c r="A18" s="367"/>
      <c r="B18" s="401"/>
      <c r="C18" s="1814" t="s">
        <v>3438</v>
      </c>
      <c r="D18" s="389"/>
      <c r="E18" s="1756" t="s">
        <v>3438</v>
      </c>
      <c r="F18" s="389"/>
      <c r="G18" s="1756" t="s">
        <v>3438</v>
      </c>
      <c r="H18" s="387"/>
      <c r="I18" s="1756" t="s">
        <v>3438</v>
      </c>
      <c r="J18" s="387"/>
      <c r="K18" s="541"/>
      <c r="L18" s="2490"/>
      <c r="M18" s="2485"/>
      <c r="N18" s="2485"/>
      <c r="O18" s="2485"/>
      <c r="P18" s="3435"/>
      <c r="Q18" s="1263"/>
      <c r="R18" s="667"/>
      <c r="S18" s="668"/>
      <c r="T18" s="667"/>
      <c r="U18" s="668"/>
      <c r="V18" s="667"/>
      <c r="W18" s="668"/>
      <c r="X18" s="1265"/>
      <c r="Y18" s="339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3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812">
        <f t="shared" si="5"/>
        <v>1</v>
      </c>
    </row>
    <row r="20" spans="1:29" ht="15">
      <c r="A20" s="367"/>
      <c r="B20" s="401"/>
      <c r="C20" s="1758" t="s">
        <v>3439</v>
      </c>
      <c r="D20" s="387"/>
      <c r="E20" s="1758" t="s">
        <v>3439</v>
      </c>
      <c r="F20" s="387"/>
      <c r="G20" s="1758" t="s">
        <v>3439</v>
      </c>
      <c r="H20" s="387"/>
      <c r="I20" s="1758" t="s">
        <v>3439</v>
      </c>
      <c r="J20" s="387"/>
      <c r="K20" s="541"/>
      <c r="L20" s="2490"/>
      <c r="M20" s="2485"/>
      <c r="N20" s="2485"/>
      <c r="O20" s="2485"/>
      <c r="P20" s="3435"/>
      <c r="Q20" s="1263"/>
      <c r="R20" s="667"/>
      <c r="S20" s="668"/>
      <c r="T20" s="667"/>
      <c r="U20" s="668"/>
      <c r="V20" s="667"/>
      <c r="W20" s="668"/>
      <c r="X20" s="1265"/>
      <c r="Y20" s="339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3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812">
        <f t="shared" ref="AC21" si="10">D21/J21</f>
        <v>1</v>
      </c>
    </row>
    <row r="22" spans="1:29" ht="15">
      <c r="A22" s="367"/>
      <c r="B22" s="557"/>
      <c r="C22" s="1814" t="s">
        <v>3498</v>
      </c>
      <c r="D22" s="387"/>
      <c r="E22" s="386" t="s">
        <v>3498</v>
      </c>
      <c r="F22" s="387"/>
      <c r="G22" s="1758" t="s">
        <v>3498</v>
      </c>
      <c r="H22" s="387"/>
      <c r="I22" s="1758" t="s">
        <v>3498</v>
      </c>
      <c r="J22" s="387"/>
      <c r="K22" s="1064"/>
      <c r="L22" s="2490"/>
      <c r="M22" s="2485"/>
      <c r="N22" s="2485"/>
      <c r="O22" s="2485"/>
      <c r="P22" s="3435"/>
      <c r="Q22" s="1263"/>
      <c r="R22" s="667"/>
      <c r="S22" s="668"/>
      <c r="T22" s="667"/>
      <c r="U22" s="668"/>
      <c r="V22" s="667"/>
      <c r="W22" s="668"/>
      <c r="X22" s="1265"/>
      <c r="Y22" s="339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35"/>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812">
        <f t="shared" si="5"/>
        <v>1</v>
      </c>
    </row>
    <row r="24" spans="1:29" ht="15">
      <c r="A24" s="367"/>
      <c r="B24" s="557"/>
      <c r="C24" s="1758" t="s">
        <v>3439</v>
      </c>
      <c r="D24" s="387"/>
      <c r="E24" s="1758" t="s">
        <v>3439</v>
      </c>
      <c r="F24" s="387"/>
      <c r="G24" s="1758" t="s">
        <v>3439</v>
      </c>
      <c r="H24" s="387"/>
      <c r="I24" s="1758" t="s">
        <v>3439</v>
      </c>
      <c r="J24" s="387"/>
      <c r="K24" s="541"/>
      <c r="L24" s="2490"/>
      <c r="M24" s="2485"/>
      <c r="N24" s="2485"/>
      <c r="O24" s="2485"/>
      <c r="P24" s="3435"/>
      <c r="Q24" s="1263"/>
      <c r="R24" s="667"/>
      <c r="S24" s="668"/>
      <c r="T24" s="667"/>
      <c r="U24" s="668"/>
      <c r="V24" s="667"/>
      <c r="W24" s="668"/>
      <c r="X24" s="1265"/>
      <c r="Y24" s="339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35"/>
      <c r="Q25" s="1263" t="str">
        <f>B25</f>
        <v>毗邻道路的类型与等级</v>
      </c>
      <c r="R25" s="667" t="s">
        <v>14</v>
      </c>
      <c r="S25" s="668">
        <f>F25</f>
        <v>100</v>
      </c>
      <c r="T25" s="667" t="s">
        <v>14</v>
      </c>
      <c r="U25" s="668">
        <f>H25</f>
        <v>100</v>
      </c>
      <c r="V25" s="667" t="s">
        <v>14</v>
      </c>
      <c r="W25" s="668">
        <f>J25</f>
        <v>100</v>
      </c>
      <c r="X25" s="1265"/>
      <c r="Y25" s="339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35"/>
      <c r="Q26" s="1263"/>
      <c r="R26" s="667"/>
      <c r="S26" s="668"/>
      <c r="T26" s="667"/>
      <c r="U26" s="668"/>
      <c r="V26" s="667"/>
      <c r="W26" s="668"/>
      <c r="X26" s="1265"/>
      <c r="Y26" s="3397"/>
      <c r="Z26" s="1264"/>
      <c r="AA26" s="1264">
        <v>1</v>
      </c>
      <c r="AB26" s="1264">
        <v>1</v>
      </c>
      <c r="AC26" s="1812">
        <v>1</v>
      </c>
    </row>
    <row r="27" spans="1:29" ht="15">
      <c r="A27" s="367"/>
      <c r="B27" s="401" t="s">
        <v>1783</v>
      </c>
      <c r="C27" s="558" t="s">
        <v>3499</v>
      </c>
      <c r="D27" s="374">
        <v>100</v>
      </c>
      <c r="E27" s="542" t="s">
        <v>3501</v>
      </c>
      <c r="F27" s="374">
        <f>SUMIF(89:89,E27,90:90)-SUMIF(89:89,C27,90:90)+100</f>
        <v>102</v>
      </c>
      <c r="G27" s="558" t="s">
        <v>3499</v>
      </c>
      <c r="H27" s="374">
        <f>SUMIF(89:89,G27,90:90)-SUMIF(89:89,C27,90:90)+100</f>
        <v>100</v>
      </c>
      <c r="I27" s="542" t="s">
        <v>3499</v>
      </c>
      <c r="J27" s="374">
        <f>SUMIF(89:89,I27,90:90)-SUMIF(89:89,C27,90:90)+100</f>
        <v>100</v>
      </c>
      <c r="K27" s="538">
        <v>2</v>
      </c>
      <c r="L27" s="2490"/>
      <c r="M27" s="2485"/>
      <c r="N27" s="2485"/>
      <c r="O27" s="2485"/>
      <c r="P27" s="3435"/>
      <c r="Q27" s="1263" t="str">
        <f t="shared" ref="Q27:Q47" si="11">B27</f>
        <v>楼层</v>
      </c>
      <c r="R27" s="667" t="s">
        <v>14</v>
      </c>
      <c r="S27" s="668">
        <f>F27</f>
        <v>102</v>
      </c>
      <c r="T27" s="667" t="s">
        <v>14</v>
      </c>
      <c r="U27" s="668">
        <f>H27</f>
        <v>100</v>
      </c>
      <c r="V27" s="667" t="s">
        <v>14</v>
      </c>
      <c r="W27" s="668">
        <f>J27</f>
        <v>100</v>
      </c>
      <c r="X27" s="1265"/>
      <c r="Y27" s="3397"/>
      <c r="Z27" s="1264" t="str">
        <f>Q27</f>
        <v>楼层</v>
      </c>
      <c r="AA27" s="1264">
        <f t="shared" si="3"/>
        <v>0.98039215686274506</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35"/>
      <c r="Q28" s="530" t="str">
        <f t="shared" si="11"/>
        <v>朝向</v>
      </c>
      <c r="R28" s="664" t="s">
        <v>14</v>
      </c>
      <c r="S28" s="665">
        <f>F28</f>
        <v>100</v>
      </c>
      <c r="T28" s="664" t="s">
        <v>14</v>
      </c>
      <c r="U28" s="665">
        <f>H28</f>
        <v>100</v>
      </c>
      <c r="V28" s="664" t="s">
        <v>14</v>
      </c>
      <c r="W28" s="665">
        <f>J28</f>
        <v>100</v>
      </c>
      <c r="X28" s="666"/>
      <c r="Y28" s="339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5"/>
      <c r="Q29" s="1263">
        <f t="shared" si="11"/>
        <v>111</v>
      </c>
      <c r="R29" s="667" t="s">
        <v>14</v>
      </c>
      <c r="S29" s="668">
        <f t="shared" ref="S29:S47" si="12">F29</f>
        <v>100</v>
      </c>
      <c r="T29" s="667" t="s">
        <v>14</v>
      </c>
      <c r="U29" s="668">
        <f t="shared" ref="U29:U47" si="13">H29</f>
        <v>100</v>
      </c>
      <c r="V29" s="667" t="s">
        <v>14</v>
      </c>
      <c r="W29" s="668">
        <f t="shared" ref="W29:W47" si="14">J29</f>
        <v>100</v>
      </c>
      <c r="X29" s="1265"/>
      <c r="Y29" s="339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5"/>
      <c r="Q32" s="1263">
        <f t="shared" si="11"/>
        <v>111</v>
      </c>
      <c r="R32" s="667" t="s">
        <v>14</v>
      </c>
      <c r="S32" s="668">
        <f t="shared" si="12"/>
        <v>100</v>
      </c>
      <c r="T32" s="667" t="s">
        <v>14</v>
      </c>
      <c r="U32" s="668">
        <f t="shared" si="13"/>
        <v>100</v>
      </c>
      <c r="V32" s="667" t="s">
        <v>14</v>
      </c>
      <c r="W32" s="668">
        <f t="shared" si="14"/>
        <v>100</v>
      </c>
      <c r="X32" s="1265"/>
      <c r="Y32" s="339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31" t="s">
        <v>1696</v>
      </c>
      <c r="Q33" s="1263" t="str">
        <f t="shared" si="11"/>
        <v>建筑类型</v>
      </c>
      <c r="R33" s="667" t="s">
        <v>14</v>
      </c>
      <c r="S33" s="668">
        <f t="shared" si="12"/>
        <v>100</v>
      </c>
      <c r="T33" s="667" t="s">
        <v>14</v>
      </c>
      <c r="U33" s="668">
        <f t="shared" si="13"/>
        <v>100</v>
      </c>
      <c r="V33" s="667" t="s">
        <v>14</v>
      </c>
      <c r="W33" s="668">
        <f t="shared" si="14"/>
        <v>100</v>
      </c>
      <c r="X33" s="1265"/>
      <c r="Y33" s="339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1721.28</v>
      </c>
      <c r="D34" s="119">
        <v>100</v>
      </c>
      <c r="E34" s="369">
        <f>'售价案例-'!P4</f>
        <v>1800</v>
      </c>
      <c r="F34" s="364">
        <f>LOOKUP(E34,104:104,105:105)-LOOKUP(C34,104:104,105:105)+100</f>
        <v>100</v>
      </c>
      <c r="G34" s="368">
        <f>'售价案例-'!P5</f>
        <v>2196.71</v>
      </c>
      <c r="H34" s="119">
        <f>LOOKUP(G34,104:104,105:105)-LOOKUP(C34,104:104,105:105)+100</f>
        <v>99</v>
      </c>
      <c r="I34" s="368">
        <f>'售价案例-'!P6</f>
        <v>1280</v>
      </c>
      <c r="J34" s="119">
        <f>LOOKUP(I34,104:104,105:105)-LOOKUP(C34,104:104,105:105)+100</f>
        <v>101</v>
      </c>
      <c r="K34" s="539"/>
      <c r="L34" s="2489"/>
      <c r="M34" s="2491"/>
      <c r="N34" s="2491"/>
      <c r="O34" s="2491"/>
      <c r="P34" s="3432"/>
      <c r="Q34" s="531" t="str">
        <f t="shared" si="11"/>
        <v>项目建筑规模</v>
      </c>
      <c r="R34" s="669" t="s">
        <v>14</v>
      </c>
      <c r="S34" s="670">
        <f t="shared" si="12"/>
        <v>100</v>
      </c>
      <c r="T34" s="669" t="s">
        <v>14</v>
      </c>
      <c r="U34" s="670">
        <f t="shared" si="13"/>
        <v>99</v>
      </c>
      <c r="V34" s="669" t="s">
        <v>14</v>
      </c>
      <c r="W34" s="670">
        <f t="shared" si="14"/>
        <v>101</v>
      </c>
      <c r="X34" s="671"/>
      <c r="Y34" s="3399"/>
      <c r="Z34" s="672" t="str">
        <f t="shared" si="15"/>
        <v>项目建筑规模</v>
      </c>
      <c r="AA34" s="1264">
        <f t="shared" si="3"/>
        <v>1</v>
      </c>
      <c r="AB34" s="1264">
        <f t="shared" si="4"/>
        <v>1.0101010101010102</v>
      </c>
      <c r="AC34" s="1812">
        <f t="shared" si="5"/>
        <v>0.99009900990099009</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32"/>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32"/>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E12</f>
        <v>0.63</v>
      </c>
      <c r="F37" s="400">
        <f>LOOKUP(E37,111:111,112:112)-LOOKUP(C37,111:111,112:112)+100</f>
        <v>100</v>
      </c>
      <c r="G37" s="411">
        <v>0.6</v>
      </c>
      <c r="H37" s="400">
        <f>LOOKUP(G37,111:111,112:112)-LOOKUP(C37,111:111,112:112)+100</f>
        <v>100</v>
      </c>
      <c r="I37" s="411">
        <v>0.63</v>
      </c>
      <c r="J37" s="374">
        <f>LOOKUP(I37,111:111,112:112)-LOOKUP(C37,111:111,112:112)+100</f>
        <v>100</v>
      </c>
      <c r="K37" s="538">
        <v>1</v>
      </c>
      <c r="L37" s="2490"/>
      <c r="M37" s="2485"/>
      <c r="N37" s="2485"/>
      <c r="O37" s="2485"/>
      <c r="P37" s="3432"/>
      <c r="Q37" s="1263" t="str">
        <f t="shared" si="11"/>
        <v>成新度</v>
      </c>
      <c r="R37" s="667" t="s">
        <v>14</v>
      </c>
      <c r="S37" s="668">
        <f t="shared" si="12"/>
        <v>100</v>
      </c>
      <c r="T37" s="667" t="s">
        <v>14</v>
      </c>
      <c r="U37" s="668">
        <f t="shared" si="13"/>
        <v>100</v>
      </c>
      <c r="V37" s="667" t="s">
        <v>14</v>
      </c>
      <c r="W37" s="668">
        <f t="shared" si="14"/>
        <v>100</v>
      </c>
      <c r="X37" s="1265"/>
      <c r="Y37" s="339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32"/>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1819</v>
      </c>
      <c r="C39" s="399" t="s">
        <v>3500</v>
      </c>
      <c r="D39" s="374">
        <v>100</v>
      </c>
      <c r="E39" s="399" t="s">
        <v>3500</v>
      </c>
      <c r="F39" s="400">
        <f>SUMIF(115:115,E39,116:116)-SUMIF(115:115,C39,116:116)+100</f>
        <v>100</v>
      </c>
      <c r="G39" s="399" t="s">
        <v>3500</v>
      </c>
      <c r="H39" s="374">
        <f>SUMIF(115:115,G39,116:116)-SUMIF(115:115,C39,116:116)+100</f>
        <v>100</v>
      </c>
      <c r="I39" s="399" t="s">
        <v>3500</v>
      </c>
      <c r="J39" s="374">
        <f>SUMIF(115:115,I39,116:116)-SUMIF(115:115,C39,116:116)+100</f>
        <v>100</v>
      </c>
      <c r="K39" s="538">
        <v>2</v>
      </c>
      <c r="L39" s="2490"/>
      <c r="M39" s="2485"/>
      <c r="N39" s="2485"/>
      <c r="O39" s="2485"/>
      <c r="P39" s="3432"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32"/>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
      <c r="A41" s="409"/>
      <c r="B41" s="364" t="s">
        <v>1789</v>
      </c>
      <c r="C41" s="542" t="s">
        <v>3524</v>
      </c>
      <c r="D41" s="374">
        <v>100</v>
      </c>
      <c r="E41" s="542" t="s">
        <v>3524</v>
      </c>
      <c r="F41" s="400">
        <f>SUMIF(119:119,E41,120:120)-SUMIF(119:119,C41,120:120)+100</f>
        <v>100</v>
      </c>
      <c r="G41" s="542" t="s">
        <v>3524</v>
      </c>
      <c r="H41" s="374">
        <f>SUMIF(119:119,G41,120:120)-SUMIF(119:119,C41,120:120)+100</f>
        <v>100</v>
      </c>
      <c r="I41" s="542" t="s">
        <v>3524</v>
      </c>
      <c r="J41" s="374">
        <f>SUMIF(119:119,I41,120:120)-SUMIF(119:119,C41,120:120)+100</f>
        <v>100</v>
      </c>
      <c r="K41" s="538">
        <v>5</v>
      </c>
      <c r="L41" s="2490"/>
      <c r="M41" s="2485"/>
      <c r="N41" s="2485"/>
      <c r="O41" s="2485"/>
      <c r="P41" s="3432"/>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2"/>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
      <c r="A43" s="409"/>
      <c r="B43" s="364" t="s">
        <v>1792</v>
      </c>
      <c r="C43" s="399" t="s">
        <v>3502</v>
      </c>
      <c r="D43" s="374">
        <v>100</v>
      </c>
      <c r="E43" s="399" t="s">
        <v>3502</v>
      </c>
      <c r="F43" s="400">
        <f>SUMIF(123:123,E43,124:124)-SUMIF(123:123,C43,124:124)+100</f>
        <v>100</v>
      </c>
      <c r="G43" s="399" t="s">
        <v>3502</v>
      </c>
      <c r="H43" s="374">
        <f>SUMIF(123:123,G43,124:124)-SUMIF(123:123,C43,124:124)+100</f>
        <v>100</v>
      </c>
      <c r="I43" s="399" t="s">
        <v>3502</v>
      </c>
      <c r="J43" s="374">
        <f>SUMIF(123:123,I43,124:124)-SUMIF(123:123,C43,124:124)+100</f>
        <v>100</v>
      </c>
      <c r="K43" s="538">
        <v>2</v>
      </c>
      <c r="L43" s="2490"/>
      <c r="M43" s="2485"/>
      <c r="N43" s="2485"/>
      <c r="O43" s="2485"/>
      <c r="P43" s="3432"/>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28.8">
      <c r="A44" s="409"/>
      <c r="B44" s="364" t="s">
        <v>1707</v>
      </c>
      <c r="C44" s="399" t="s">
        <v>3438</v>
      </c>
      <c r="D44" s="374">
        <v>100</v>
      </c>
      <c r="E44" s="399" t="s">
        <v>3438</v>
      </c>
      <c r="F44" s="400">
        <f>SUMIF(125:125,E44,126:126)-SUMIF(125:125,C44,126:126)+100</f>
        <v>100</v>
      </c>
      <c r="G44" s="399" t="s">
        <v>3438</v>
      </c>
      <c r="H44" s="374">
        <f>SUMIF(125:125,G44,126:126)-SUMIF(125:125,C44,126:126)+100</f>
        <v>100</v>
      </c>
      <c r="I44" s="1760" t="s">
        <v>3438</v>
      </c>
      <c r="J44" s="374">
        <f>SUMIF(125:125,I44,126:126)-SUMIF(125:125,C44,126:126)+100</f>
        <v>100</v>
      </c>
      <c r="K44" s="538">
        <v>2</v>
      </c>
      <c r="L44" s="2490"/>
      <c r="M44" s="2485"/>
      <c r="N44" s="2485"/>
      <c r="O44" s="2485"/>
      <c r="P44" s="3432"/>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2"/>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2"/>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3"/>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ht="14.4">
      <c r="A48" s="416" t="s">
        <v>1708</v>
      </c>
      <c r="B48" s="417"/>
      <c r="C48" s="1081" t="s">
        <v>0</v>
      </c>
      <c r="D48" s="418"/>
      <c r="E48" s="419">
        <f>'售价案例-'!Q4</f>
        <v>26000</v>
      </c>
      <c r="F48" s="420"/>
      <c r="G48" s="421">
        <f>'售价案例-'!Q5</f>
        <v>22001</v>
      </c>
      <c r="H48" s="422"/>
      <c r="I48" s="419">
        <f>'售价案例-'!Q6</f>
        <v>25000</v>
      </c>
      <c r="J48" s="422"/>
      <c r="K48" s="674"/>
      <c r="L48" s="2492"/>
      <c r="M48" s="2485"/>
      <c r="N48" s="2485"/>
      <c r="O48" s="2485"/>
      <c r="P48" s="3430" t="str">
        <f>A48</f>
        <v>成交单价（元/平方米）</v>
      </c>
      <c r="Q48" s="3381"/>
      <c r="R48" s="3394">
        <f>E48</f>
        <v>26000</v>
      </c>
      <c r="S48" s="3394"/>
      <c r="T48" s="3394">
        <f>G48</f>
        <v>22001</v>
      </c>
      <c r="U48" s="3394"/>
      <c r="V48" s="3394">
        <f>I48</f>
        <v>25000</v>
      </c>
      <c r="W48" s="3394"/>
      <c r="X48" s="385"/>
      <c r="Y48" s="673"/>
      <c r="Z48" s="385"/>
      <c r="AA48" s="385"/>
      <c r="AB48" s="385"/>
      <c r="AC48" s="555"/>
    </row>
    <row r="49" spans="1:29" ht="15" thickBot="1">
      <c r="A49" s="423" t="s">
        <v>1793</v>
      </c>
      <c r="B49" s="424"/>
      <c r="C49" s="1082">
        <f>R50</f>
        <v>23438</v>
      </c>
      <c r="D49" s="2141" t="s">
        <v>2138</v>
      </c>
      <c r="E49" s="1083">
        <f>R49</f>
        <v>23569</v>
      </c>
      <c r="F49" s="2142"/>
      <c r="G49" s="1082">
        <f>T49</f>
        <v>22712</v>
      </c>
      <c r="H49" s="2142"/>
      <c r="I49" s="1083">
        <f>V49</f>
        <v>24032</v>
      </c>
      <c r="J49" s="2142"/>
      <c r="K49" s="2144">
        <f>F49+H49+J49</f>
        <v>0</v>
      </c>
      <c r="L49" s="2492"/>
      <c r="M49" s="2485"/>
      <c r="N49" s="2485"/>
      <c r="O49" s="2485"/>
      <c r="P49" s="3430" t="str">
        <f>A49</f>
        <v>比较价值（元/平方米）</v>
      </c>
      <c r="Q49" s="3381"/>
      <c r="R49" s="3394">
        <f>IF(F1="售价",ROUND(PRODUCT(R48,AA7:AA47),0),ROUND(PRODUCT(R48,AA7:AA47),1))</f>
        <v>23569</v>
      </c>
      <c r="S49" s="3394"/>
      <c r="T49" s="3394">
        <f>IF(F1="售价",ROUND(PRODUCT(T48,AB7:AB47),0),ROUND(PRODUCT(T48,AB7:AB47),1))</f>
        <v>22712</v>
      </c>
      <c r="U49" s="3394"/>
      <c r="V49" s="3394">
        <f>IF(F1="售价",ROUND(PRODUCT(V48,AC7:AC47),0),ROUND(PRODUCT(V48,AC7:AC47),1))</f>
        <v>24032</v>
      </c>
      <c r="W49" s="3394"/>
      <c r="X49" s="385"/>
      <c r="Y49" s="385"/>
      <c r="Z49" s="385"/>
      <c r="AA49" s="385"/>
      <c r="AB49" s="385"/>
      <c r="AC49" s="555"/>
    </row>
    <row r="50" spans="1:29" ht="15" thickBot="1">
      <c r="A50" s="427" t="s">
        <v>1794</v>
      </c>
      <c r="B50" s="428"/>
      <c r="C50" s="351">
        <f>R50</f>
        <v>23438</v>
      </c>
      <c r="D50" s="351"/>
      <c r="E50" s="351"/>
      <c r="F50" s="351"/>
      <c r="G50" s="351"/>
      <c r="H50" s="351"/>
      <c r="I50" s="351"/>
      <c r="J50" s="429"/>
      <c r="K50" s="675"/>
      <c r="L50" s="2492"/>
      <c r="M50" s="2485"/>
      <c r="N50" s="2485"/>
      <c r="O50" s="2485"/>
      <c r="P50" s="3448" t="str">
        <f>A50</f>
        <v>估价对象XX用房的比较价值（楼面单价，元/平方米）</v>
      </c>
      <c r="Q50" s="3449"/>
      <c r="R50" s="3450">
        <f>IF(F1="售价",ROUND(IF(D49="简单平均",AVERAGE(R49:V49),R49*F49+T49*H49+V49*J49),0),ROUND(IF(D49="简单平均",AVERAGE(R49:V49),R49*F49+T49*H49+V49*J49),1))</f>
        <v>23438</v>
      </c>
      <c r="S50" s="3450"/>
      <c r="T50" s="3450"/>
      <c r="U50" s="3450"/>
      <c r="V50" s="3450"/>
      <c r="W50" s="345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0.10314396028681738</v>
      </c>
      <c r="F53" s="435" t="str">
        <f>IF(OR(E53&gt;=0.3,E53&lt;=-0.3),"超过30%","")</f>
        <v/>
      </c>
      <c r="G53" s="434">
        <f>IF(G48&lt;G49,G49/G48-1,G48/G49-1)</f>
        <v>3.231671287668747E-2</v>
      </c>
      <c r="H53" s="435" t="str">
        <f>IF(OR(G53&gt;=0.3,G53&lt;=-0.3),"超过30%","")</f>
        <v/>
      </c>
      <c r="I53" s="434">
        <f>IF(I48&lt;I49,I49/I48-1,I48/I49-1)</f>
        <v>4.0279627163781528E-2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3.7733356815780272E-2</v>
      </c>
      <c r="F54" s="435" t="str">
        <f>IF(OR(E54&gt;=0.2,E54&lt;=-0.2),"超过20%","")</f>
        <v/>
      </c>
      <c r="G54" s="434">
        <f>IF(G49&lt;I49,I49/G49-1,G49/I49-1)</f>
        <v>5.8119056005635716E-2</v>
      </c>
      <c r="H54" s="435" t="str">
        <f>IF(OR(G54&gt;=0.2,G54&lt;=-0.2),"超过20%","")</f>
        <v/>
      </c>
      <c r="I54" s="434">
        <f>IF(I49&lt;E49,E49/I49-1,I49/E49-1)</f>
        <v>1.9644448215876853E-2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0.18176446525157952</v>
      </c>
      <c r="F55" s="435" t="str">
        <f>IF(OR(E55&gt;=0.3,E55&lt;=-0.3),"超过30%","")</f>
        <v/>
      </c>
      <c r="G55" s="434">
        <f>IF(G48&lt;I48,I48/G48-1,G48/I48-1)</f>
        <v>0.13631198581882642</v>
      </c>
      <c r="H55" s="435" t="str">
        <f>IF(OR(G55&gt;=0.3,G55&lt;=-0.3),"超过30%","")</f>
        <v/>
      </c>
      <c r="I55" s="434">
        <f>IF(I48&lt;E48,E48/I48-1,I48/E48-1)</f>
        <v>4.0000000000000036E-2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70" t="s">
        <v>3466</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103</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工业（办公）</v>
      </c>
      <c r="D64" s="3174" t="s">
        <v>3508</v>
      </c>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v>105</v>
      </c>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3472</v>
      </c>
      <c r="D66" s="513" t="s">
        <v>3473</v>
      </c>
      <c r="E66" s="513" t="s">
        <v>3474</v>
      </c>
      <c r="F66" s="513" t="s">
        <v>3475</v>
      </c>
      <c r="G66" s="513" t="s">
        <v>3476</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73" t="s">
        <v>3480</v>
      </c>
      <c r="D87" s="3172" t="s">
        <v>3481</v>
      </c>
      <c r="E87" s="3172" t="s">
        <v>3482</v>
      </c>
      <c r="F87" s="3172" t="s">
        <v>3483</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2" t="s">
        <v>3484</v>
      </c>
      <c r="D89" s="3172" t="s">
        <v>3486</v>
      </c>
      <c r="E89" s="3172" t="s">
        <v>3485</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4" t="s">
        <v>3487</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0(含)-500</v>
      </c>
      <c r="D103" s="509" t="str">
        <f t="shared" ref="D103:L103" si="24">D104&amp;"(含)"&amp;"-"&amp;E104</f>
        <v>500(含)-800</v>
      </c>
      <c r="E103" s="509" t="str">
        <f t="shared" si="24"/>
        <v>800(含)-1500</v>
      </c>
      <c r="F103" s="509" t="str">
        <f t="shared" si="24"/>
        <v>1500(含)-2000</v>
      </c>
      <c r="G103" s="509" t="str">
        <f t="shared" si="24"/>
        <v>2000(含)-2500</v>
      </c>
      <c r="H103" s="509" t="str">
        <f t="shared" si="24"/>
        <v>2500(含)-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500</v>
      </c>
      <c r="E104" s="6">
        <v>800</v>
      </c>
      <c r="F104" s="6">
        <v>1500</v>
      </c>
      <c r="G104" s="6">
        <v>2000</v>
      </c>
      <c r="H104" s="6">
        <v>2500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J105" si="25">D105-1</f>
        <v>98</v>
      </c>
      <c r="F105" s="467">
        <f t="shared" si="25"/>
        <v>97</v>
      </c>
      <c r="G105" s="467">
        <f t="shared" si="25"/>
        <v>96</v>
      </c>
      <c r="H105" s="467">
        <f t="shared" si="25"/>
        <v>95</v>
      </c>
      <c r="I105" s="467">
        <f t="shared" si="25"/>
        <v>94</v>
      </c>
      <c r="J105" s="467">
        <f t="shared" si="25"/>
        <v>93</v>
      </c>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3477</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2" t="s">
        <v>3488</v>
      </c>
      <c r="D115" s="3172" t="s">
        <v>3489</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5" t="s">
        <v>3490</v>
      </c>
      <c r="D119" s="3175" t="s">
        <v>3491</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3492</v>
      </c>
      <c r="D123" s="3172" t="s">
        <v>3493</v>
      </c>
      <c r="E123" s="3172" t="s">
        <v>3494</v>
      </c>
      <c r="F123" s="3175" t="s">
        <v>3495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2" priority="16" stopIfTrue="1">
      <formula>$F$53="超过30%"</formula>
    </cfRule>
  </conditionalFormatting>
  <conditionalFormatting sqref="E54">
    <cfRule type="expression" dxfId="81" priority="15" stopIfTrue="1">
      <formula>$F$54="超过20%"</formula>
    </cfRule>
  </conditionalFormatting>
  <conditionalFormatting sqref="E55">
    <cfRule type="expression" dxfId="80" priority="14" stopIfTrue="1">
      <formula>$F$55="超过30%"</formula>
    </cfRule>
  </conditionalFormatting>
  <conditionalFormatting sqref="F7:F47 H7:H47 J7:J47">
    <cfRule type="cellIs" dxfId="79" priority="1" operator="notEqual">
      <formula>100</formula>
    </cfRule>
  </conditionalFormatting>
  <conditionalFormatting sqref="F49">
    <cfRule type="expression" dxfId="78" priority="4">
      <formula>$D$49="简单平均"</formula>
    </cfRule>
  </conditionalFormatting>
  <conditionalFormatting sqref="F53:F55 H53:H55">
    <cfRule type="containsText" dxfId="77" priority="17" stopIfTrue="1" operator="containsText" text="超过">
      <formula>NOT(ISERROR(SEARCH("超过",F53)))</formula>
    </cfRule>
  </conditionalFormatting>
  <conditionalFormatting sqref="G53">
    <cfRule type="expression" dxfId="76" priority="12" stopIfTrue="1">
      <formula>$H$53="超过30%"</formula>
    </cfRule>
  </conditionalFormatting>
  <conditionalFormatting sqref="G54">
    <cfRule type="expression" dxfId="75" priority="11" stopIfTrue="1">
      <formula>$H$54="超过20%"</formula>
    </cfRule>
  </conditionalFormatting>
  <conditionalFormatting sqref="G55">
    <cfRule type="expression" dxfId="74" priority="13" stopIfTrue="1">
      <formula>$H$55="超过30%"</formula>
    </cfRule>
  </conditionalFormatting>
  <conditionalFormatting sqref="H49">
    <cfRule type="expression" dxfId="73" priority="3">
      <formula>$D$49="简单平均"</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J49">
    <cfRule type="expression" dxfId="69" priority="2">
      <formula>$D$49="简单平均"</formula>
    </cfRule>
  </conditionalFormatting>
  <conditionalFormatting sqref="J53:J55">
    <cfRule type="containsText" dxfId="68"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4"/>
      <c r="M4" s="2485"/>
      <c r="N4" s="2485"/>
      <c r="O4" s="2485"/>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c r="A5" s="348"/>
      <c r="B5" s="349"/>
      <c r="C5" s="3378" t="s">
        <v>1673</v>
      </c>
      <c r="D5" s="3375"/>
      <c r="E5" s="3372" t="s">
        <v>1674</v>
      </c>
      <c r="F5" s="3373"/>
      <c r="G5" s="3378" t="s">
        <v>1675</v>
      </c>
      <c r="H5" s="3375"/>
      <c r="I5" s="3378" t="s">
        <v>1676</v>
      </c>
      <c r="J5" s="3375"/>
      <c r="K5" s="537"/>
      <c r="L5" s="2484"/>
      <c r="M5" s="2485"/>
      <c r="N5" s="2485"/>
      <c r="O5" s="2485"/>
      <c r="P5" s="3388"/>
      <c r="Q5" s="3389"/>
      <c r="R5" s="3370"/>
      <c r="S5" s="3371"/>
      <c r="T5" s="3370"/>
      <c r="U5" s="3371"/>
      <c r="V5" s="3394"/>
      <c r="W5" s="3394"/>
      <c r="X5" s="1265"/>
      <c r="Y5" s="3370"/>
      <c r="Z5" s="3371"/>
      <c r="AA5" s="3364"/>
      <c r="AB5" s="3364"/>
      <c r="AC5" s="3364"/>
    </row>
    <row r="6" spans="1:29" ht="15" thickBot="1">
      <c r="A6" s="350"/>
      <c r="B6" s="351"/>
      <c r="C6" s="3376" t="s">
        <v>1677</v>
      </c>
      <c r="D6" s="3377"/>
      <c r="E6" s="3379" t="s">
        <v>1677</v>
      </c>
      <c r="F6" s="3380"/>
      <c r="G6" s="3376" t="s">
        <v>1677</v>
      </c>
      <c r="H6" s="3377"/>
      <c r="I6" s="3376" t="s">
        <v>1677</v>
      </c>
      <c r="J6" s="3377"/>
      <c r="K6" s="537" t="s">
        <v>1678</v>
      </c>
      <c r="L6" s="2484"/>
      <c r="M6" s="2485"/>
      <c r="N6" s="2485"/>
      <c r="O6" s="2485"/>
      <c r="P6" s="3390"/>
      <c r="Q6" s="3391"/>
      <c r="R6" s="3370"/>
      <c r="S6" s="3371"/>
      <c r="T6" s="3392"/>
      <c r="U6" s="3393"/>
      <c r="V6" s="3394"/>
      <c r="W6" s="3394"/>
      <c r="X6" s="1265"/>
      <c r="Y6" s="3392"/>
      <c r="Z6" s="3393"/>
      <c r="AA6" s="3365"/>
      <c r="AB6" s="3365"/>
      <c r="AC6" s="3365"/>
    </row>
    <row r="7" spans="1:29" s="102" customFormat="1" ht="15" thickBot="1">
      <c r="A7" s="352" t="s">
        <v>1679</v>
      </c>
      <c r="B7" s="353"/>
      <c r="C7" s="354">
        <f>'数据-取费表'!B2</f>
        <v>45866</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6" t="s">
        <v>1680</v>
      </c>
      <c r="Q7" s="3395"/>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6" t="s">
        <v>1683</v>
      </c>
      <c r="Q8" s="3367"/>
      <c r="R8" s="664" t="s">
        <v>14</v>
      </c>
      <c r="S8" s="665">
        <f t="shared" si="0"/>
        <v>100</v>
      </c>
      <c r="T8" s="664" t="s">
        <v>14</v>
      </c>
      <c r="U8" s="665">
        <f t="shared" si="1"/>
        <v>100</v>
      </c>
      <c r="V8" s="664" t="s">
        <v>14</v>
      </c>
      <c r="W8" s="665">
        <f t="shared" si="2"/>
        <v>100</v>
      </c>
      <c r="X8" s="666"/>
      <c r="Y8" s="3366" t="s">
        <v>1683</v>
      </c>
      <c r="Z8" s="336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1"/>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7"/>
      <c r="Q15" s="1263"/>
      <c r="R15" s="667"/>
      <c r="S15" s="668"/>
      <c r="T15" s="667"/>
      <c r="U15" s="668"/>
      <c r="V15" s="667"/>
      <c r="W15" s="668"/>
      <c r="X15" s="1265"/>
      <c r="Y15" s="339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7"/>
      <c r="Q17" s="1263"/>
      <c r="R17" s="667"/>
      <c r="S17" s="668"/>
      <c r="T17" s="667"/>
      <c r="U17" s="668"/>
      <c r="V17" s="667"/>
      <c r="W17" s="668"/>
      <c r="X17" s="1265"/>
      <c r="Y17" s="339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7"/>
      <c r="Q19" s="1263"/>
      <c r="R19" s="667"/>
      <c r="S19" s="668"/>
      <c r="T19" s="667"/>
      <c r="U19" s="668"/>
      <c r="V19" s="667"/>
      <c r="W19" s="668"/>
      <c r="X19" s="1265"/>
      <c r="Y19" s="339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7"/>
      <c r="Q21" s="1263"/>
      <c r="R21" s="667"/>
      <c r="S21" s="668"/>
      <c r="T21" s="667"/>
      <c r="U21" s="668"/>
      <c r="V21" s="667"/>
      <c r="W21" s="668"/>
      <c r="X21" s="1265"/>
      <c r="Y21" s="339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7"/>
      <c r="Q24" s="1263">
        <f t="shared" ref="Q24:Q36"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39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381" t="str">
        <f>A37</f>
        <v>成交单价</v>
      </c>
      <c r="Q37" s="3381"/>
      <c r="R37" s="3394">
        <f>E37</f>
        <v>0</v>
      </c>
      <c r="S37" s="3394"/>
      <c r="T37" s="3394">
        <f>G37</f>
        <v>0</v>
      </c>
      <c r="U37" s="3394"/>
      <c r="V37" s="3394">
        <f>I37</f>
        <v>0</v>
      </c>
      <c r="W37" s="339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81" t="str">
        <f>A38</f>
        <v>比较价值（元/平方米）</v>
      </c>
      <c r="Q38" s="3381"/>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01" t="str">
        <f>A39</f>
        <v>估价对象XX用房的比较价值（楼面单价，元/平方米）</v>
      </c>
      <c r="Q39" s="3402"/>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G17 C17 E17 I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B37" xr:uid="{00000000-0002-0000-1A00-00000C000000}">
      <formula1>"元/平方米,元/车位"</formula1>
    </dataValidation>
    <dataValidation type="list" allowBlank="1" showInputMessage="1" showErrorMessage="1" sqref="C21 E21 G21 I21" xr:uid="{00000000-0002-0000-1A00-00000D000000}">
      <formula1>环境</formula1>
    </dataValidation>
    <dataValidation type="list" allowBlank="1" showInputMessage="1" showErrorMessage="1" sqref="C19 E19 G19 I19"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38"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4"/>
      <c r="M4" s="2485"/>
      <c r="N4" s="2485"/>
      <c r="O4" s="2485"/>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c r="A5" s="348"/>
      <c r="B5" s="349"/>
      <c r="C5" s="3378" t="s">
        <v>1673</v>
      </c>
      <c r="D5" s="3375"/>
      <c r="E5" s="3372" t="s">
        <v>1674</v>
      </c>
      <c r="F5" s="3373"/>
      <c r="G5" s="3378" t="s">
        <v>1675</v>
      </c>
      <c r="H5" s="3375"/>
      <c r="I5" s="3378" t="s">
        <v>1676</v>
      </c>
      <c r="J5" s="3375"/>
      <c r="K5" s="537"/>
      <c r="L5" s="2484"/>
      <c r="M5" s="2485"/>
      <c r="N5" s="2485"/>
      <c r="O5" s="2485"/>
      <c r="P5" s="3388"/>
      <c r="Q5" s="3389"/>
      <c r="R5" s="3370"/>
      <c r="S5" s="3371"/>
      <c r="T5" s="3370"/>
      <c r="U5" s="3371"/>
      <c r="V5" s="3394"/>
      <c r="W5" s="3394"/>
      <c r="X5" s="1265"/>
      <c r="Y5" s="3370"/>
      <c r="Z5" s="3371"/>
      <c r="AA5" s="3364"/>
      <c r="AB5" s="3364"/>
      <c r="AC5" s="3364"/>
    </row>
    <row r="6" spans="1:29" ht="15" thickBot="1">
      <c r="A6" s="350"/>
      <c r="B6" s="351"/>
      <c r="C6" s="3376" t="s">
        <v>1677</v>
      </c>
      <c r="D6" s="3377"/>
      <c r="E6" s="3379" t="s">
        <v>1677</v>
      </c>
      <c r="F6" s="3380"/>
      <c r="G6" s="3376" t="s">
        <v>1677</v>
      </c>
      <c r="H6" s="3377"/>
      <c r="I6" s="3376" t="s">
        <v>1677</v>
      </c>
      <c r="J6" s="3377"/>
      <c r="K6" s="537" t="s">
        <v>1678</v>
      </c>
      <c r="L6" s="2484"/>
      <c r="M6" s="2485"/>
      <c r="N6" s="2485"/>
      <c r="O6" s="2485"/>
      <c r="P6" s="3390"/>
      <c r="Q6" s="3391"/>
      <c r="R6" s="3370"/>
      <c r="S6" s="3371"/>
      <c r="T6" s="3392"/>
      <c r="U6" s="3393"/>
      <c r="V6" s="3394"/>
      <c r="W6" s="3394"/>
      <c r="X6" s="1265"/>
      <c r="Y6" s="3392"/>
      <c r="Z6" s="3393"/>
      <c r="AA6" s="3365"/>
      <c r="AB6" s="3365"/>
      <c r="AC6" s="3365"/>
    </row>
    <row r="7" spans="1:29" s="102" customFormat="1" ht="15" thickBot="1">
      <c r="A7" s="352" t="s">
        <v>1679</v>
      </c>
      <c r="B7" s="353"/>
      <c r="C7" s="354">
        <f>'数据-取费表'!B2</f>
        <v>45866</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66" t="s">
        <v>1680</v>
      </c>
      <c r="Q7" s="3395"/>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6" t="s">
        <v>1683</v>
      </c>
      <c r="Q8" s="3367"/>
      <c r="R8" s="664" t="s">
        <v>14</v>
      </c>
      <c r="S8" s="665">
        <f t="shared" si="0"/>
        <v>100</v>
      </c>
      <c r="T8" s="664" t="s">
        <v>14</v>
      </c>
      <c r="U8" s="665">
        <f t="shared" si="1"/>
        <v>100</v>
      </c>
      <c r="V8" s="664" t="s">
        <v>14</v>
      </c>
      <c r="W8" s="665">
        <f t="shared" si="2"/>
        <v>100</v>
      </c>
      <c r="X8" s="666"/>
      <c r="Y8" s="3366" t="s">
        <v>1683</v>
      </c>
      <c r="Z8" s="336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1"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1"/>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1"/>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7"/>
      <c r="Q15" s="1263"/>
      <c r="R15" s="667"/>
      <c r="S15" s="668"/>
      <c r="T15" s="667"/>
      <c r="U15" s="668"/>
      <c r="V15" s="667"/>
      <c r="W15" s="668"/>
      <c r="X15" s="1265"/>
      <c r="Y15" s="339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7"/>
      <c r="Q17" s="1263"/>
      <c r="R17" s="667"/>
      <c r="S17" s="668"/>
      <c r="T17" s="667"/>
      <c r="U17" s="668"/>
      <c r="V17" s="667"/>
      <c r="W17" s="668"/>
      <c r="X17" s="1265"/>
      <c r="Y17" s="339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7"/>
      <c r="Q19" s="1263"/>
      <c r="R19" s="667"/>
      <c r="S19" s="668"/>
      <c r="T19" s="667"/>
      <c r="U19" s="668"/>
      <c r="V19" s="667"/>
      <c r="W19" s="668"/>
      <c r="X19" s="1265"/>
      <c r="Y19" s="339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7"/>
      <c r="Q21" s="1263"/>
      <c r="R21" s="667"/>
      <c r="S21" s="668"/>
      <c r="T21" s="667"/>
      <c r="U21" s="668"/>
      <c r="V21" s="667"/>
      <c r="W21" s="668"/>
      <c r="X21" s="1265"/>
      <c r="Y21" s="339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7"/>
      <c r="Q24" s="1263">
        <f t="shared" ref="Q24:Q34"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39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81" t="str">
        <f>A35</f>
        <v>成交单价（元/平方米）</v>
      </c>
      <c r="Q35" s="3381"/>
      <c r="R35" s="3394">
        <f>E35</f>
        <v>0</v>
      </c>
      <c r="S35" s="3394"/>
      <c r="T35" s="3394">
        <f>G35</f>
        <v>0</v>
      </c>
      <c r="U35" s="3394"/>
      <c r="V35" s="3394">
        <f>I35</f>
        <v>0</v>
      </c>
      <c r="W35" s="339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81" t="str">
        <f>A36</f>
        <v>比较价值（元/平方米）</v>
      </c>
      <c r="Q36" s="3381"/>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01" t="str">
        <f>A37</f>
        <v>估价对象XX用房的比较价值（楼面单价，元/平方米）</v>
      </c>
      <c r="Q37" s="3402"/>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9 E19 G19 I19" xr:uid="{00000000-0002-0000-1B00-00000C000000}">
      <formula1>基础设施水平</formula1>
    </dataValidation>
    <dataValidation type="list" allowBlank="1" showInputMessage="1" showErrorMessage="1" sqref="F1" xr:uid="{00000000-0002-0000-1B00-00000D000000}">
      <formula1>"售价,租金"</formula1>
    </dataValidation>
    <dataValidation type="list" allowBlank="1" showInputMessage="1" showErrorMessage="1" sqref="C2" xr:uid="{00000000-0002-0000-1B00-00000E000000}">
      <formula1>"需扣减承租人权益,——"</formula1>
    </dataValidation>
    <dataValidation type="list" allowBlank="1" showInputMessage="1" showErrorMessage="1" sqref="F2" xr:uid="{00000000-0002-0000-1B00-00000F000000}">
      <formula1>估价方法</formula1>
    </dataValidation>
    <dataValidation type="list" allowBlank="1" showInputMessage="1" showErrorMessage="1" sqref="D36" xr:uid="{00000000-0002-0000-1B00-000010000000}">
      <formula1>"简单平均,加权平均"</formula1>
    </dataValidation>
    <dataValidation type="list" allowBlank="1" showInputMessage="1" showErrorMessage="1" sqref="E1" xr:uid="{00000000-0002-0000-1B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4"/>
      <c r="M4" s="2485"/>
      <c r="N4" s="2485"/>
      <c r="O4" s="2485"/>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c r="A5" s="348"/>
      <c r="B5" s="349"/>
      <c r="C5" s="3378" t="s">
        <v>1673</v>
      </c>
      <c r="D5" s="3375"/>
      <c r="E5" s="3372" t="s">
        <v>1674</v>
      </c>
      <c r="F5" s="3373"/>
      <c r="G5" s="3378" t="s">
        <v>1675</v>
      </c>
      <c r="H5" s="3375"/>
      <c r="I5" s="3378" t="s">
        <v>1676</v>
      </c>
      <c r="J5" s="3375"/>
      <c r="K5" s="537"/>
      <c r="L5" s="2484"/>
      <c r="M5" s="2485"/>
      <c r="N5" s="2485"/>
      <c r="O5" s="2485"/>
      <c r="P5" s="3388"/>
      <c r="Q5" s="3389"/>
      <c r="R5" s="3370"/>
      <c r="S5" s="3371"/>
      <c r="T5" s="3370"/>
      <c r="U5" s="3371"/>
      <c r="V5" s="3394"/>
      <c r="W5" s="3394"/>
      <c r="X5" s="1265"/>
      <c r="Y5" s="3370"/>
      <c r="Z5" s="3371"/>
      <c r="AA5" s="3364"/>
      <c r="AB5" s="3364"/>
      <c r="AC5" s="3364"/>
    </row>
    <row r="6" spans="1:29" ht="15" thickBot="1">
      <c r="A6" s="350"/>
      <c r="B6" s="351"/>
      <c r="C6" s="3376" t="s">
        <v>1677</v>
      </c>
      <c r="D6" s="3377"/>
      <c r="E6" s="3379" t="s">
        <v>1677</v>
      </c>
      <c r="F6" s="3380"/>
      <c r="G6" s="3376" t="s">
        <v>1677</v>
      </c>
      <c r="H6" s="3377"/>
      <c r="I6" s="3376" t="s">
        <v>1677</v>
      </c>
      <c r="J6" s="3377"/>
      <c r="K6" s="537" t="s">
        <v>1678</v>
      </c>
      <c r="L6" s="2484"/>
      <c r="M6" s="2485"/>
      <c r="N6" s="2485"/>
      <c r="O6" s="2485"/>
      <c r="P6" s="3390"/>
      <c r="Q6" s="3391"/>
      <c r="R6" s="3370"/>
      <c r="S6" s="3371"/>
      <c r="T6" s="3392"/>
      <c r="U6" s="3393"/>
      <c r="V6" s="3394"/>
      <c r="W6" s="3394"/>
      <c r="X6" s="1265"/>
      <c r="Y6" s="3392"/>
      <c r="Z6" s="3393"/>
      <c r="AA6" s="3365"/>
      <c r="AB6" s="3365"/>
      <c r="AC6" s="3365"/>
    </row>
    <row r="7" spans="1:29" s="102" customFormat="1" ht="15" thickBot="1">
      <c r="A7" s="352" t="s">
        <v>1679</v>
      </c>
      <c r="B7" s="353"/>
      <c r="C7" s="354">
        <f>'数据-取费表'!B2</f>
        <v>45866</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66" t="s">
        <v>1680</v>
      </c>
      <c r="Q7" s="3395"/>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6" t="s">
        <v>1683</v>
      </c>
      <c r="Q8" s="3367"/>
      <c r="R8" s="664" t="s">
        <v>14</v>
      </c>
      <c r="S8" s="665">
        <f t="shared" si="0"/>
        <v>0</v>
      </c>
      <c r="T8" s="664" t="s">
        <v>14</v>
      </c>
      <c r="U8" s="665">
        <f t="shared" si="1"/>
        <v>0</v>
      </c>
      <c r="V8" s="664" t="s">
        <v>14</v>
      </c>
      <c r="W8" s="665">
        <f t="shared" si="2"/>
        <v>0</v>
      </c>
      <c r="X8" s="666"/>
      <c r="Y8" s="3366" t="s">
        <v>1683</v>
      </c>
      <c r="Z8" s="336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130</v>
      </c>
      <c r="G10" s="402"/>
      <c r="H10" s="119">
        <f>ROUND(100/'数据-取费表'!G16,0)</f>
        <v>130</v>
      </c>
      <c r="I10" s="402"/>
      <c r="J10" s="119">
        <f>ROUND(100/'数据-取费表'!G16,0)</f>
        <v>130</v>
      </c>
      <c r="K10" s="592"/>
      <c r="L10" s="2487"/>
      <c r="M10" s="2488"/>
      <c r="N10" s="2488"/>
      <c r="O10" s="2539"/>
      <c r="P10" s="3381"/>
      <c r="Q10" s="530" t="str">
        <f t="shared" si="6"/>
        <v>土地使用年限（年）</v>
      </c>
      <c r="R10" s="664" t="s">
        <v>14</v>
      </c>
      <c r="S10" s="665">
        <f t="shared" si="0"/>
        <v>130</v>
      </c>
      <c r="T10" s="664" t="s">
        <v>14</v>
      </c>
      <c r="U10" s="665">
        <f t="shared" si="1"/>
        <v>130</v>
      </c>
      <c r="V10" s="664" t="s">
        <v>14</v>
      </c>
      <c r="W10" s="665">
        <f t="shared" si="2"/>
        <v>130</v>
      </c>
      <c r="X10" s="666"/>
      <c r="Y10" s="3339"/>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1"/>
      <c r="Q12" s="530" t="str">
        <f t="shared" si="6"/>
        <v>配建</v>
      </c>
      <c r="R12" s="664" t="s">
        <v>14</v>
      </c>
      <c r="S12" s="665">
        <f t="shared" si="0"/>
        <v>100</v>
      </c>
      <c r="T12" s="664" t="s">
        <v>14</v>
      </c>
      <c r="U12" s="665">
        <f t="shared" si="1"/>
        <v>100</v>
      </c>
      <c r="V12" s="664" t="s">
        <v>14</v>
      </c>
      <c r="W12" s="665">
        <f t="shared" si="2"/>
        <v>100</v>
      </c>
      <c r="X12" s="666"/>
      <c r="Y12" s="333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33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6" t="s">
        <v>1691</v>
      </c>
      <c r="Q15" s="1263" t="str">
        <f t="shared" si="6"/>
        <v>居住社区成熟度</v>
      </c>
      <c r="R15" s="667" t="s">
        <v>14</v>
      </c>
      <c r="S15" s="668">
        <f t="shared" si="0"/>
        <v>100</v>
      </c>
      <c r="T15" s="667" t="s">
        <v>14</v>
      </c>
      <c r="U15" s="668">
        <f t="shared" si="1"/>
        <v>100</v>
      </c>
      <c r="V15" s="667" t="s">
        <v>14</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7"/>
      <c r="Q16" s="1263"/>
      <c r="R16" s="667"/>
      <c r="S16" s="668"/>
      <c r="T16" s="667"/>
      <c r="U16" s="668"/>
      <c r="V16" s="667"/>
      <c r="W16" s="668"/>
      <c r="X16" s="1265"/>
      <c r="Y16" s="339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7"/>
      <c r="Q17" s="1263" t="str">
        <f>B17</f>
        <v>商业繁华度</v>
      </c>
      <c r="R17" s="667" t="s">
        <v>14</v>
      </c>
      <c r="S17" s="668">
        <f>F17</f>
        <v>100</v>
      </c>
      <c r="T17" s="667" t="s">
        <v>14</v>
      </c>
      <c r="U17" s="668">
        <f>H17</f>
        <v>100</v>
      </c>
      <c r="V17" s="667" t="s">
        <v>14</v>
      </c>
      <c r="W17" s="668">
        <f>J17</f>
        <v>100</v>
      </c>
      <c r="X17" s="1265"/>
      <c r="Y17" s="339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7"/>
      <c r="Q18" s="1263"/>
      <c r="R18" s="667"/>
      <c r="S18" s="668"/>
      <c r="T18" s="667"/>
      <c r="U18" s="668"/>
      <c r="V18" s="667"/>
      <c r="W18" s="668"/>
      <c r="X18" s="1265"/>
      <c r="Y18" s="339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7"/>
      <c r="Q19" s="1263" t="str">
        <f>B19</f>
        <v>办公集聚程度</v>
      </c>
      <c r="R19" s="667" t="s">
        <v>14</v>
      </c>
      <c r="S19" s="668">
        <f>F19</f>
        <v>100</v>
      </c>
      <c r="T19" s="667" t="s">
        <v>14</v>
      </c>
      <c r="U19" s="668">
        <f>H19</f>
        <v>100</v>
      </c>
      <c r="V19" s="667" t="s">
        <v>14</v>
      </c>
      <c r="W19" s="668">
        <f>J19</f>
        <v>100</v>
      </c>
      <c r="X19" s="1265"/>
      <c r="Y19" s="339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7"/>
      <c r="Q20" s="1263"/>
      <c r="R20" s="667"/>
      <c r="S20" s="668"/>
      <c r="T20" s="667"/>
      <c r="U20" s="668"/>
      <c r="V20" s="667"/>
      <c r="W20" s="668"/>
      <c r="X20" s="1265"/>
      <c r="Y20" s="339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7"/>
      <c r="Q21" s="1263" t="str">
        <f>B21</f>
        <v>交通便捷度</v>
      </c>
      <c r="R21" s="667" t="s">
        <v>14</v>
      </c>
      <c r="S21" s="668">
        <f>F21</f>
        <v>100</v>
      </c>
      <c r="T21" s="667" t="s">
        <v>14</v>
      </c>
      <c r="U21" s="668">
        <f>H21</f>
        <v>100</v>
      </c>
      <c r="V21" s="667" t="s">
        <v>14</v>
      </c>
      <c r="W21" s="668">
        <f>J21</f>
        <v>100</v>
      </c>
      <c r="X21" s="1265"/>
      <c r="Y21" s="339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7"/>
      <c r="Q22" s="1263"/>
      <c r="R22" s="667"/>
      <c r="S22" s="668"/>
      <c r="T22" s="667"/>
      <c r="U22" s="668"/>
      <c r="V22" s="667"/>
      <c r="W22" s="668"/>
      <c r="X22" s="1265"/>
      <c r="Y22" s="339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7"/>
      <c r="Q23" s="1263" t="str">
        <f t="shared" ref="Q23:Q37" si="8">B23</f>
        <v>区域土地利用方向</v>
      </c>
      <c r="R23" s="667" t="s">
        <v>14</v>
      </c>
      <c r="S23" s="668">
        <f>F23</f>
        <v>100</v>
      </c>
      <c r="T23" s="667" t="s">
        <v>14</v>
      </c>
      <c r="U23" s="668">
        <f>H23</f>
        <v>100</v>
      </c>
      <c r="V23" s="667" t="s">
        <v>14</v>
      </c>
      <c r="W23" s="668">
        <f>J23</f>
        <v>100</v>
      </c>
      <c r="X23" s="1265"/>
      <c r="Y23" s="339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7"/>
      <c r="Q24" s="1263"/>
      <c r="R24" s="667"/>
      <c r="S24" s="668"/>
      <c r="T24" s="667"/>
      <c r="U24" s="668"/>
      <c r="V24" s="667"/>
      <c r="W24" s="668"/>
      <c r="X24" s="1265"/>
      <c r="Y24" s="339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7"/>
      <c r="Q25" s="1263" t="str">
        <f t="shared" si="8"/>
        <v>自然及人文环境状况</v>
      </c>
      <c r="R25" s="667" t="s">
        <v>14</v>
      </c>
      <c r="S25" s="668">
        <f>F25</f>
        <v>100</v>
      </c>
      <c r="T25" s="667" t="s">
        <v>14</v>
      </c>
      <c r="U25" s="668">
        <f>H25</f>
        <v>100</v>
      </c>
      <c r="V25" s="667" t="s">
        <v>14</v>
      </c>
      <c r="W25" s="668">
        <f>J25</f>
        <v>100</v>
      </c>
      <c r="X25" s="1265"/>
      <c r="Y25" s="339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7"/>
      <c r="Q26" s="1263"/>
      <c r="R26" s="667"/>
      <c r="S26" s="668"/>
      <c r="T26" s="667"/>
      <c r="U26" s="668"/>
      <c r="V26" s="667"/>
      <c r="W26" s="668"/>
      <c r="X26" s="1265"/>
      <c r="Y26" s="339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97"/>
      <c r="Q28" s="530"/>
      <c r="R28" s="664"/>
      <c r="S28" s="665"/>
      <c r="T28" s="664"/>
      <c r="U28" s="665"/>
      <c r="V28" s="664"/>
      <c r="W28" s="665"/>
      <c r="X28" s="666"/>
      <c r="Y28" s="339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97"/>
      <c r="Q30" s="530"/>
      <c r="R30" s="664"/>
      <c r="S30" s="665"/>
      <c r="T30" s="664"/>
      <c r="U30" s="665"/>
      <c r="V30" s="664"/>
      <c r="W30" s="665"/>
      <c r="X30" s="666"/>
      <c r="Y30" s="339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7"/>
      <c r="Q32" s="1263" t="str">
        <f t="shared" si="8"/>
        <v>毗邻道路的类型与等级</v>
      </c>
      <c r="R32" s="667" t="s">
        <v>14</v>
      </c>
      <c r="S32" s="668">
        <f t="shared" si="10"/>
        <v>100</v>
      </c>
      <c r="T32" s="667" t="s">
        <v>14</v>
      </c>
      <c r="U32" s="668">
        <f t="shared" si="11"/>
        <v>100</v>
      </c>
      <c r="V32" s="667" t="s">
        <v>14</v>
      </c>
      <c r="W32" s="668">
        <f t="shared" si="12"/>
        <v>100</v>
      </c>
      <c r="X32" s="1265"/>
      <c r="Y32" s="339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7"/>
      <c r="Q33" s="1263"/>
      <c r="R33" s="667"/>
      <c r="S33" s="668"/>
      <c r="T33" s="667"/>
      <c r="U33" s="668"/>
      <c r="V33" s="667"/>
      <c r="W33" s="668"/>
      <c r="X33" s="1265"/>
      <c r="Y33" s="339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7"/>
      <c r="Q34" s="1263" t="str">
        <f t="shared" si="8"/>
        <v>土地级别</v>
      </c>
      <c r="R34" s="667" t="s">
        <v>14</v>
      </c>
      <c r="S34" s="668">
        <f t="shared" si="10"/>
        <v>100</v>
      </c>
      <c r="T34" s="667" t="s">
        <v>14</v>
      </c>
      <c r="U34" s="668">
        <f t="shared" si="11"/>
        <v>100</v>
      </c>
      <c r="V34" s="667" t="s">
        <v>14</v>
      </c>
      <c r="W34" s="668">
        <f t="shared" si="12"/>
        <v>100</v>
      </c>
      <c r="X34" s="1265"/>
      <c r="Y34" s="339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7"/>
      <c r="Q35" s="1263">
        <f t="shared" si="8"/>
        <v>111</v>
      </c>
      <c r="R35" s="667" t="s">
        <v>14</v>
      </c>
      <c r="S35" s="668">
        <f t="shared" si="10"/>
        <v>100</v>
      </c>
      <c r="T35" s="667" t="s">
        <v>14</v>
      </c>
      <c r="U35" s="668">
        <f t="shared" si="11"/>
        <v>100</v>
      </c>
      <c r="V35" s="667" t="s">
        <v>14</v>
      </c>
      <c r="W35" s="668">
        <f t="shared" si="12"/>
        <v>100</v>
      </c>
      <c r="X35" s="1265"/>
      <c r="Y35" s="339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398"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81" t="str">
        <f>A46</f>
        <v>成交单价</v>
      </c>
      <c r="Q46" s="3381"/>
      <c r="R46" s="3394">
        <f>E46</f>
        <v>0</v>
      </c>
      <c r="S46" s="3394"/>
      <c r="T46" s="3394">
        <f>G46</f>
        <v>0</v>
      </c>
      <c r="U46" s="3394"/>
      <c r="V46" s="3394">
        <f>I46</f>
        <v>0</v>
      </c>
      <c r="W46" s="339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81" t="str">
        <f>A47</f>
        <v>比较价值（元/平方米）</v>
      </c>
      <c r="Q47" s="3381"/>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01" t="str">
        <f>A48</f>
        <v>估价对象XX用房的比较价值（楼面单价，元/平方米）</v>
      </c>
      <c r="Q48" s="3402"/>
      <c r="R48" s="3453" t="e">
        <f>ROUND(IF(D47="简单平均",AVERAGE(R47:W47),R47*F47+T47*H47+V47*J47),0)</f>
        <v>#DIV/0!</v>
      </c>
      <c r="S48" s="3453"/>
      <c r="T48" s="3453"/>
      <c r="U48" s="3453"/>
      <c r="V48" s="3453"/>
      <c r="W48" s="345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2" t="s">
        <v>1887</v>
      </c>
      <c r="H55" s="3454"/>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1721.28</v>
      </c>
      <c r="F56" s="833" t="e">
        <f t="shared" ref="F56:F64" si="15">ROUND(B56*E56/10000,0)</f>
        <v>#DIV/0!</v>
      </c>
      <c r="G56" s="3430"/>
      <c r="H56" s="338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1721.28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1" xr:uid="{00000000-0002-0000-1C00-000013000000}">
      <formula1>"商业,办公,住宅,工业"</formula1>
    </dataValidation>
    <dataValidation type="list" allowBlank="1" showInputMessage="1" showErrorMessage="1" sqref="G62" xr:uid="{00000000-0002-0000-1C00-000014000000}">
      <formula1>"住宅,工业"</formula1>
    </dataValidation>
    <dataValidation type="list" allowBlank="1" showInputMessage="1" showErrorMessage="1" sqref="C30 E30 G30 I30" xr:uid="{00000000-0002-0000-1C00-000015000000}">
      <formula1>基础设施水平</formula1>
    </dataValidation>
    <dataValidation type="list" allowBlank="1" showInputMessage="1" showErrorMessage="1" sqref="A70" xr:uid="{00000000-0002-0000-1C00-000016000000}">
      <formula1>"综合,商业,办公,住宅"</formula1>
    </dataValidation>
    <dataValidation type="list" allowBlank="1" showInputMessage="1" showErrorMessage="1" sqref="D47" xr:uid="{00000000-0002-0000-1C00-000017000000}">
      <formula1>"简单平均,加权平均"</formula1>
    </dataValidation>
    <dataValidation type="list" allowBlank="1" showInputMessage="1" showErrorMessage="1" sqref="D57:D64" xr:uid="{00000000-0002-0000-1C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受贵公司委托，我公司对北京市海淀区上地信息路1号（北京实创高科技发展总公司1-1号）01-1幢4层A栋4层房地产抵押价值进行了预评估。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信息路1号（北京实创高科技发展总公司1-1号）01-1幢4层A栋4层房地产，为北京国基科技股份有限公司所有。根据《国有土地使用证》[]，估价对象（分摊）出让国有建设用地使用权面积为690.56平方米，建筑面积为1721.28平方米。</v>
      </c>
    </row>
    <row r="8" spans="1:1" ht="54.6">
      <c r="A8" s="1385" t="s">
        <v>901</v>
      </c>
    </row>
    <row r="9" spans="1:1" ht="17.399999999999999">
      <c r="A9" s="1384" t="s">
        <v>902</v>
      </c>
    </row>
    <row r="10" spans="1:1" ht="87">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信息路1号（北京实创高科技发展总公司1-1号）01-1幢4层A栋4层房地产,属北京国基科技股份有限公司开发建设的工业项目，该项目尚在开发建设中。根据《国有土地使用证》[]，估价对象（分摊）出让国有建设用地使用权面积为690.56平方米，规划建筑面积为1721.28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为估价委托人在向浦发办理贷款手续过程中，确定房地产抵押贷款额度提供参考依据而评估房地产抵押价值。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28日，估价对象规划用途为厂房，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2" t="s">
        <v>1770</v>
      </c>
      <c r="D4" s="3383"/>
      <c r="E4" s="3384" t="s">
        <v>1771</v>
      </c>
      <c r="F4" s="3385"/>
      <c r="G4" s="3382" t="s">
        <v>1772</v>
      </c>
      <c r="H4" s="3383"/>
      <c r="I4" s="3382" t="s">
        <v>1773</v>
      </c>
      <c r="J4" s="3383"/>
      <c r="K4" s="537" t="s">
        <v>1774</v>
      </c>
      <c r="L4" s="2484"/>
      <c r="M4" s="2485"/>
      <c r="N4" s="2485"/>
      <c r="O4" s="2485"/>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c r="A5" s="348"/>
      <c r="B5" s="349"/>
      <c r="C5" s="3378" t="s">
        <v>1673</v>
      </c>
      <c r="D5" s="3375"/>
      <c r="E5" s="3372" t="s">
        <v>1674</v>
      </c>
      <c r="F5" s="3373"/>
      <c r="G5" s="3378" t="s">
        <v>1675</v>
      </c>
      <c r="H5" s="3375"/>
      <c r="I5" s="3378" t="s">
        <v>1676</v>
      </c>
      <c r="J5" s="3375"/>
      <c r="K5" s="537"/>
      <c r="L5" s="2484"/>
      <c r="M5" s="2485"/>
      <c r="N5" s="2485"/>
      <c r="O5" s="2485"/>
      <c r="P5" s="3388"/>
      <c r="Q5" s="3389"/>
      <c r="R5" s="3370"/>
      <c r="S5" s="3371"/>
      <c r="T5" s="3370"/>
      <c r="U5" s="3371"/>
      <c r="V5" s="3394"/>
      <c r="W5" s="3394"/>
      <c r="X5" s="1265"/>
      <c r="Y5" s="3370"/>
      <c r="Z5" s="3371"/>
      <c r="AA5" s="3364"/>
      <c r="AB5" s="3364"/>
      <c r="AC5" s="3364"/>
    </row>
    <row r="6" spans="1:29" ht="15" thickBot="1">
      <c r="A6" s="350"/>
      <c r="B6" s="351"/>
      <c r="C6" s="3455" t="s">
        <v>1919</v>
      </c>
      <c r="D6" s="3456"/>
      <c r="E6" s="3457" t="s">
        <v>1919</v>
      </c>
      <c r="F6" s="3458"/>
      <c r="G6" s="3455" t="s">
        <v>1919</v>
      </c>
      <c r="H6" s="3456"/>
      <c r="I6" s="3455" t="s">
        <v>1919</v>
      </c>
      <c r="J6" s="3456"/>
      <c r="K6" s="537" t="s">
        <v>1678</v>
      </c>
      <c r="L6" s="2484"/>
      <c r="M6" s="2485"/>
      <c r="N6" s="2485"/>
      <c r="O6" s="2485"/>
      <c r="P6" s="3390"/>
      <c r="Q6" s="3391"/>
      <c r="R6" s="3370"/>
      <c r="S6" s="3371"/>
      <c r="T6" s="3392"/>
      <c r="U6" s="3393"/>
      <c r="V6" s="3394"/>
      <c r="W6" s="3394"/>
      <c r="X6" s="1265"/>
      <c r="Y6" s="3392"/>
      <c r="Z6" s="3393"/>
      <c r="AA6" s="3365"/>
      <c r="AB6" s="3365"/>
      <c r="AC6" s="3365"/>
    </row>
    <row r="7" spans="1:29" s="102" customFormat="1" ht="15" thickBot="1">
      <c r="A7" s="352" t="s">
        <v>1679</v>
      </c>
      <c r="B7" s="353"/>
      <c r="C7" s="354">
        <f>'数据-取费表'!B2</f>
        <v>45866</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66" t="s">
        <v>1680</v>
      </c>
      <c r="Q7" s="3395"/>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6" t="s">
        <v>1683</v>
      </c>
      <c r="Q8" s="3367"/>
      <c r="R8" s="664" t="s">
        <v>14</v>
      </c>
      <c r="S8" s="665">
        <f t="shared" si="0"/>
        <v>0</v>
      </c>
      <c r="T8" s="664" t="s">
        <v>14</v>
      </c>
      <c r="U8" s="665">
        <f t="shared" si="1"/>
        <v>0</v>
      </c>
      <c r="V8" s="664" t="s">
        <v>14</v>
      </c>
      <c r="W8" s="665">
        <f t="shared" si="2"/>
        <v>0</v>
      </c>
      <c r="X8" s="666"/>
      <c r="Y8" s="3366" t="s">
        <v>1683</v>
      </c>
      <c r="Z8" s="336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130</v>
      </c>
      <c r="G10" s="371"/>
      <c r="H10" s="119">
        <f>ROUND(100/'数据-取费表'!G16,0)</f>
        <v>130</v>
      </c>
      <c r="I10" s="371"/>
      <c r="J10" s="119">
        <f>ROUND(100/'数据-取费表'!G16,0)</f>
        <v>130</v>
      </c>
      <c r="K10" s="592"/>
      <c r="L10" s="2487"/>
      <c r="M10" s="2488"/>
      <c r="N10" s="2488"/>
      <c r="O10" s="2539"/>
      <c r="P10" s="3381"/>
      <c r="Q10" s="530" t="str">
        <f t="shared" si="6"/>
        <v>土地使用年限（年）</v>
      </c>
      <c r="R10" s="664" t="s">
        <v>14</v>
      </c>
      <c r="S10" s="665">
        <f t="shared" si="0"/>
        <v>130</v>
      </c>
      <c r="T10" s="664" t="s">
        <v>14</v>
      </c>
      <c r="U10" s="665">
        <f t="shared" si="1"/>
        <v>130</v>
      </c>
      <c r="V10" s="664" t="s">
        <v>14</v>
      </c>
      <c r="W10" s="665">
        <f t="shared" si="2"/>
        <v>130</v>
      </c>
      <c r="X10" s="666"/>
      <c r="Y10" s="3339"/>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7"/>
      <c r="Q16" s="1263"/>
      <c r="R16" s="667"/>
      <c r="S16" s="668"/>
      <c r="T16" s="667"/>
      <c r="U16" s="668"/>
      <c r="V16" s="667"/>
      <c r="W16" s="668"/>
      <c r="X16" s="1265"/>
      <c r="Y16" s="339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7"/>
      <c r="Q18" s="1263"/>
      <c r="R18" s="667"/>
      <c r="S18" s="668"/>
      <c r="T18" s="667"/>
      <c r="U18" s="668"/>
      <c r="V18" s="667"/>
      <c r="W18" s="668"/>
      <c r="X18" s="1265"/>
      <c r="Y18" s="339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7"/>
      <c r="Q19" s="1263" t="str">
        <f t="shared" ref="Q19:Q33" si="8">B19</f>
        <v>区域土地利用方向</v>
      </c>
      <c r="R19" s="667" t="s">
        <v>14</v>
      </c>
      <c r="S19" s="668">
        <f>F19</f>
        <v>100</v>
      </c>
      <c r="T19" s="667" t="s">
        <v>14</v>
      </c>
      <c r="U19" s="668">
        <f>H19</f>
        <v>100</v>
      </c>
      <c r="V19" s="667" t="s">
        <v>14</v>
      </c>
      <c r="W19" s="668">
        <f>J19</f>
        <v>100</v>
      </c>
      <c r="X19" s="1265"/>
      <c r="Y19" s="339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7"/>
      <c r="Q20" s="1263"/>
      <c r="R20" s="667"/>
      <c r="S20" s="668"/>
      <c r="T20" s="667"/>
      <c r="U20" s="668"/>
      <c r="V20" s="667"/>
      <c r="W20" s="668"/>
      <c r="X20" s="1265"/>
      <c r="Y20" s="339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7"/>
      <c r="Q21" s="1263" t="str">
        <f t="shared" si="8"/>
        <v>环境状况</v>
      </c>
      <c r="R21" s="667" t="s">
        <v>14</v>
      </c>
      <c r="S21" s="668">
        <f>F21</f>
        <v>100</v>
      </c>
      <c r="T21" s="667" t="s">
        <v>14</v>
      </c>
      <c r="U21" s="668">
        <f>H21</f>
        <v>100</v>
      </c>
      <c r="V21" s="667" t="s">
        <v>14</v>
      </c>
      <c r="W21" s="668">
        <f>J21</f>
        <v>100</v>
      </c>
      <c r="X21" s="1265"/>
      <c r="Y21" s="339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7"/>
      <c r="Q22" s="1263"/>
      <c r="R22" s="667"/>
      <c r="S22" s="668"/>
      <c r="T22" s="667"/>
      <c r="U22" s="668"/>
      <c r="V22" s="667"/>
      <c r="W22" s="668"/>
      <c r="X22" s="1265"/>
      <c r="Y22" s="339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97"/>
      <c r="Q24" s="530"/>
      <c r="R24" s="664"/>
      <c r="S24" s="665"/>
      <c r="T24" s="664"/>
      <c r="U24" s="665"/>
      <c r="V24" s="664"/>
      <c r="W24" s="665"/>
      <c r="X24" s="666"/>
      <c r="Y24" s="339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7"/>
      <c r="Q28" s="1263" t="str">
        <f t="shared" si="8"/>
        <v>毗邻道路的类型与等级</v>
      </c>
      <c r="R28" s="667" t="s">
        <v>14</v>
      </c>
      <c r="S28" s="668">
        <f t="shared" si="10"/>
        <v>100</v>
      </c>
      <c r="T28" s="667" t="s">
        <v>14</v>
      </c>
      <c r="U28" s="668">
        <f t="shared" si="11"/>
        <v>100</v>
      </c>
      <c r="V28" s="667" t="s">
        <v>14</v>
      </c>
      <c r="W28" s="668">
        <f t="shared" si="12"/>
        <v>100</v>
      </c>
      <c r="X28" s="1265"/>
      <c r="Y28" s="339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7"/>
      <c r="Q29" s="1263"/>
      <c r="R29" s="667"/>
      <c r="S29" s="668"/>
      <c r="T29" s="667"/>
      <c r="U29" s="668"/>
      <c r="V29" s="667"/>
      <c r="W29" s="668"/>
      <c r="X29" s="1265"/>
      <c r="Y29" s="339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7"/>
      <c r="Q30" s="1263" t="str">
        <f t="shared" si="8"/>
        <v>土地级别</v>
      </c>
      <c r="R30" s="667" t="s">
        <v>14</v>
      </c>
      <c r="S30" s="668">
        <f t="shared" si="10"/>
        <v>100</v>
      </c>
      <c r="T30" s="667" t="s">
        <v>14</v>
      </c>
      <c r="U30" s="668">
        <f t="shared" si="11"/>
        <v>100</v>
      </c>
      <c r="V30" s="667" t="s">
        <v>14</v>
      </c>
      <c r="W30" s="668">
        <f t="shared" si="12"/>
        <v>100</v>
      </c>
      <c r="X30" s="1265"/>
      <c r="Y30" s="339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7"/>
      <c r="Q31" s="1263">
        <f t="shared" si="8"/>
        <v>111</v>
      </c>
      <c r="R31" s="667" t="s">
        <v>14</v>
      </c>
      <c r="S31" s="668">
        <f t="shared" si="10"/>
        <v>100</v>
      </c>
      <c r="T31" s="667" t="s">
        <v>14</v>
      </c>
      <c r="U31" s="668">
        <f t="shared" si="11"/>
        <v>100</v>
      </c>
      <c r="V31" s="667" t="s">
        <v>14</v>
      </c>
      <c r="W31" s="668">
        <f t="shared" si="12"/>
        <v>100</v>
      </c>
      <c r="X31" s="1265"/>
      <c r="Y31" s="339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398"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81" t="str">
        <f>A41</f>
        <v>成交单价</v>
      </c>
      <c r="Q41" s="3381"/>
      <c r="R41" s="3394">
        <f>E41</f>
        <v>0</v>
      </c>
      <c r="S41" s="3394"/>
      <c r="T41" s="3394">
        <f>G41</f>
        <v>0</v>
      </c>
      <c r="U41" s="3394"/>
      <c r="V41" s="3394">
        <f>I41</f>
        <v>0</v>
      </c>
      <c r="W41" s="339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81" t="str">
        <f>A42</f>
        <v>比较价值（元/平方米）</v>
      </c>
      <c r="Q42" s="3381"/>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01" t="str">
        <f>A43</f>
        <v>估价对象XX用房的比较价值（楼面单价，元/平方米）</v>
      </c>
      <c r="Q43" s="3402"/>
      <c r="R43" s="3453" t="e">
        <f>ROUND(IF(D42="简单平均",AVERAGE(R42:W42),R42*F42+T42*H42+V42*J42),0)</f>
        <v>#DIV/0!</v>
      </c>
      <c r="S43" s="3453"/>
      <c r="T43" s="3453"/>
      <c r="U43" s="3453"/>
      <c r="V43" s="3453"/>
      <c r="W43" s="345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2" t="s">
        <v>1887</v>
      </c>
      <c r="H50" s="3454"/>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1721.28</v>
      </c>
      <c r="F51" s="611" t="e">
        <f t="shared" ref="F51:F60" si="15">ROUND(B51*E51/10000,0)</f>
        <v>#DIV/0!</v>
      </c>
      <c r="G51" s="3430"/>
      <c r="H51" s="338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690.56</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526</v>
      </c>
      <c r="C2" s="1984" t="s">
        <v>2074</v>
      </c>
      <c r="D2" s="1984" t="s">
        <v>2075</v>
      </c>
      <c r="E2" s="2396">
        <f ca="1">SUMIF(E6:E13,"&lt;&gt;#ref!",E6:E13)</f>
        <v>1721.28</v>
      </c>
      <c r="F2" s="2542"/>
      <c r="G2" s="2542"/>
      <c r="H2" s="2542"/>
      <c r="I2" s="2542"/>
      <c r="J2" s="2542"/>
      <c r="K2" s="2542"/>
      <c r="L2" s="2542"/>
      <c r="M2" s="2542"/>
      <c r="N2" s="2542"/>
      <c r="O2" s="2542"/>
      <c r="P2" s="2542"/>
    </row>
    <row r="3" spans="1:16" ht="15.6">
      <c r="A3" s="1984" t="s">
        <v>2076</v>
      </c>
      <c r="B3" s="2386">
        <f ca="1">ROUND(B2*10000/E2,0)</f>
        <v>3056</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526</v>
      </c>
      <c r="C6" s="1984" t="s">
        <v>2074</v>
      </c>
      <c r="D6" s="2542"/>
      <c r="E6" s="2396">
        <f ca="1">SUMIF(INDIRECT("'"&amp;A6&amp;"'"&amp;"!C:C"),"建筑面积",INDIRECT("'"&amp;A6&amp;"'"&amp;"!D:D"))</f>
        <v>1721.28</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3447</v>
      </c>
      <c r="C1" s="190"/>
      <c r="D1" s="190"/>
      <c r="E1" s="190"/>
      <c r="F1" s="190"/>
      <c r="G1" s="1062">
        <f>MATCH(B1,'数据-取费表'!A6:A16,0)+5</f>
        <v>6</v>
      </c>
    </row>
    <row r="2" spans="1:9" s="192" customFormat="1" ht="18" customHeight="1">
      <c r="A2" s="193" t="s">
        <v>1462</v>
      </c>
      <c r="B2" s="194">
        <f ca="1">IF(D2="——",C52,C52-E2)</f>
        <v>1321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7675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576</v>
      </c>
      <c r="D5" s="203" t="s">
        <v>1469</v>
      </c>
      <c r="E5" s="204" t="s">
        <v>1470</v>
      </c>
      <c r="F5" s="204" t="s">
        <v>1471</v>
      </c>
      <c r="G5" s="205"/>
    </row>
    <row r="6" spans="1:9" s="206" customFormat="1" ht="13.5" customHeight="1">
      <c r="A6" s="732" t="s">
        <v>1472</v>
      </c>
      <c r="B6" s="207" t="s">
        <v>1473</v>
      </c>
      <c r="C6" s="208">
        <f>基准地价修正!B2</f>
        <v>526</v>
      </c>
      <c r="D6" s="209"/>
      <c r="E6" s="210"/>
      <c r="F6" s="210"/>
      <c r="G6" s="211"/>
    </row>
    <row r="7" spans="1:9" s="206" customFormat="1" ht="13.5" customHeight="1">
      <c r="A7" s="732" t="s">
        <v>1474</v>
      </c>
      <c r="B7" s="207" t="s">
        <v>1475</v>
      </c>
      <c r="C7" s="212">
        <f>ROUND(C6*F7,0)</f>
        <v>16</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34</v>
      </c>
      <c r="D8" s="214"/>
      <c r="E8" s="212"/>
      <c r="F8" s="213"/>
      <c r="G8" s="1714" t="s">
        <v>3444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3446</v>
      </c>
      <c r="H9" s="1070"/>
      <c r="I9" s="1716" t="s">
        <v>1479</v>
      </c>
    </row>
    <row r="10" spans="1:9" s="206" customFormat="1" ht="13.5" customHeight="1">
      <c r="A10" s="733" t="s">
        <v>356</v>
      </c>
      <c r="B10" s="216" t="s">
        <v>1480</v>
      </c>
      <c r="C10" s="217">
        <f ca="1">ROUND(D10*E10/10000,0)</f>
        <v>34</v>
      </c>
      <c r="D10" s="795">
        <f ca="1">IF(B1="",'数据-汇总表'!E6,IF(INDIRECT("'数据-取费表'!c"&amp;$G$1)="住宅",INDIRECT("'数据-取费表'!s"&amp;$G$1),INDIRECT("'数据-取费表'!k"&amp;$G$1)+INDIRECT("'数据-取费表'!s"&amp;$G$1)))</f>
        <v>1721.28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1721.28</v>
      </c>
      <c r="E19" s="203">
        <f>'数据-取费表'!B31</f>
        <v>200</v>
      </c>
      <c r="F19" s="223"/>
      <c r="G19" s="1714" t="s">
        <v>3445</v>
      </c>
    </row>
    <row r="20" spans="1:7" s="206" customFormat="1" ht="13.5" customHeight="1">
      <c r="A20" s="247" t="s">
        <v>1493</v>
      </c>
      <c r="B20" s="202" t="s">
        <v>1494</v>
      </c>
      <c r="C20" s="224">
        <f ca="1">ROUND((C5+C19)*F20,0)</f>
        <v>12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35</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59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59</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738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678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602</v>
      </c>
      <c r="D34" s="209"/>
      <c r="E34" s="212"/>
      <c r="F34" s="249">
        <f ca="1">IF('数据-取费表'!B24=0,1,IF(B1="",'数据-取费表'!N16,INDIRECT("'数据-取费表'!n"&amp;$G$1)))</f>
        <v>1</v>
      </c>
      <c r="G34" s="211" t="s">
        <v>1526</v>
      </c>
    </row>
    <row r="35" spans="1:7" ht="13.5" customHeight="1">
      <c r="A35" s="734" t="s">
        <v>351</v>
      </c>
      <c r="B35" s="207" t="s">
        <v>1527</v>
      </c>
      <c r="C35" s="212">
        <f ca="1">ROUND(C34*F35,0)</f>
        <v>30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34</v>
      </c>
      <c r="D37" s="209">
        <f ca="1">D19</f>
        <v>1721.28</v>
      </c>
      <c r="E37" s="241">
        <f>'数据-取费表'!B35</f>
        <v>200</v>
      </c>
      <c r="F37" s="251"/>
      <c r="G37" s="253" t="s">
        <v>1532</v>
      </c>
    </row>
    <row r="38" spans="1:7" ht="13.5" customHeight="1">
      <c r="A38" s="734"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20</v>
      </c>
      <c r="D42" s="230"/>
      <c r="E42" s="230"/>
      <c r="F42" s="231"/>
      <c r="G42" s="3465" t="s">
        <v>1544</v>
      </c>
    </row>
    <row r="43" spans="1:7" ht="13.5" customHeight="1">
      <c r="A43" s="734" t="s">
        <v>347</v>
      </c>
      <c r="B43" s="207" t="s">
        <v>1545</v>
      </c>
      <c r="C43" s="230">
        <f ca="1">ROUND(IF('数据-取费表'!B22&lt;=1,C39*F22*'数据-取费表'!B21/2,C39*(POWER((1+F22),'数据-取费表'!B21/2)-1)),0)</f>
        <v>0</v>
      </c>
      <c r="D43" s="230"/>
      <c r="E43" s="230"/>
      <c r="F43" s="231"/>
      <c r="G43" s="3466"/>
    </row>
    <row r="44" spans="1:7" ht="13.5" customHeight="1">
      <c r="A44" s="734" t="s">
        <v>348</v>
      </c>
      <c r="B44" s="207" t="s">
        <v>1546</v>
      </c>
      <c r="C44" s="230">
        <f ca="1">ROUND(IF('数据-取费表'!B22&lt;=1,C40*F22*'数据-取费表'!B21/2,C40*(POWER((1+F22),'数据-取费表'!B21/2)-1)),4)</f>
        <v>5.9999999999999995E-4</v>
      </c>
      <c r="D44" s="230"/>
      <c r="E44" s="230"/>
      <c r="F44" s="231"/>
      <c r="G44" s="3467"/>
    </row>
    <row r="45" spans="1:7" s="206" customFormat="1" ht="13.5" customHeight="1">
      <c r="A45" s="247" t="s">
        <v>1547</v>
      </c>
      <c r="B45" s="236" t="s">
        <v>1513</v>
      </c>
      <c r="C45" s="237">
        <f ca="1">C46</f>
        <v>69</v>
      </c>
      <c r="D45" s="227">
        <f ca="1">C47</f>
        <v>2E-3</v>
      </c>
      <c r="E45" s="228" t="s">
        <v>1539</v>
      </c>
      <c r="F45" s="238">
        <f ca="1">F27</f>
        <v>0.1</v>
      </c>
      <c r="G45" s="239" t="s">
        <v>1548</v>
      </c>
    </row>
    <row r="46" spans="1:7" s="206" customFormat="1" ht="13.5" customHeight="1">
      <c r="A46" s="734" t="s">
        <v>346</v>
      </c>
      <c r="B46" s="240" t="s">
        <v>1549</v>
      </c>
      <c r="C46" s="241">
        <f ca="1">ROUND((C33+C39)*F27,0)</f>
        <v>69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845</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583</v>
      </c>
      <c r="D51" s="224"/>
      <c r="E51" s="224"/>
      <c r="F51" s="256"/>
      <c r="G51" s="226" t="s">
        <v>1560</v>
      </c>
    </row>
    <row r="52" spans="1:7" s="200" customFormat="1" ht="16.8" thickBot="1">
      <c r="A52" s="257" t="s">
        <v>1561</v>
      </c>
      <c r="B52" s="258"/>
      <c r="C52" s="259">
        <f ca="1">C31+C51</f>
        <v>1321</v>
      </c>
      <c r="D52" s="258"/>
      <c r="E52" s="258"/>
      <c r="F52" s="258"/>
      <c r="G52" s="260"/>
    </row>
    <row r="55" spans="1:7" ht="15">
      <c r="B55" s="262" t="s">
        <v>1562</v>
      </c>
      <c r="C55" s="263"/>
    </row>
    <row r="56" spans="1:7">
      <c r="B56" s="265" t="s">
        <v>802</v>
      </c>
      <c r="C56" s="267">
        <f ca="1">1-C57</f>
        <v>0.55899999999999994</v>
      </c>
    </row>
    <row r="57" spans="1:7">
      <c r="B57" s="265" t="s">
        <v>803</v>
      </c>
      <c r="C57" s="266">
        <f ca="1">ROUND(C51/C52,3)</f>
        <v>0.441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000-000000000000}">
      <formula1>"已包含在土地购买价格中,未包含在土地购买价格中"</formula1>
    </dataValidation>
    <dataValidation type="list" allowBlank="1" showInputMessage="1" showErrorMessage="1" sqref="G19" xr:uid="{00000000-0002-0000-2000-000001000000}">
      <formula1>"已包含在土地取得成本中,未包含在土地取得成本中"</formula1>
    </dataValidation>
    <dataValidation type="list" allowBlank="1" showInputMessage="1" showErrorMessage="1" sqref="B1" xr:uid="{00000000-0002-0000-2000-000002000000}">
      <formula1>项目类型</formula1>
    </dataValidation>
    <dataValidation type="list" allowBlank="1" showInputMessage="1" showErrorMessage="1" sqref="G9" xr:uid="{00000000-0002-0000-2000-000003000000}">
      <formula1>"部分缴纳,全部缴纳"</formula1>
    </dataValidation>
    <dataValidation type="list" allowBlank="1" showInputMessage="1" showErrorMessage="1" sqref="G2" xr:uid="{00000000-0002-0000-2000-000004000000}">
      <formula1>估价方法</formula1>
    </dataValidation>
    <dataValidation type="list" allowBlank="1" showInputMessage="1" showErrorMessage="1" sqref="D2" xr:uid="{00000000-0002-0000-2000-000005000000}">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topLeftCell="A19"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3447</v>
      </c>
      <c r="D1" s="1271" t="s">
        <v>43</v>
      </c>
      <c r="E1" s="1272" t="s">
        <v>678</v>
      </c>
      <c r="F1" s="999">
        <f ca="1">J53</f>
        <v>24.7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3012.2107999999998</v>
      </c>
      <c r="C2" s="1289" t="s">
        <v>879</v>
      </c>
      <c r="D2" s="1375">
        <f ca="1">C40+J29+L46</f>
        <v>30122108</v>
      </c>
      <c r="E2" s="1295" t="s">
        <v>880</v>
      </c>
      <c r="F2" s="1296"/>
      <c r="G2" s="2476"/>
      <c r="H2" s="2466"/>
      <c r="I2" s="2466"/>
      <c r="J2" s="2466"/>
      <c r="K2" s="2467"/>
      <c r="L2" s="2466"/>
      <c r="M2" s="2466"/>
    </row>
    <row r="3" spans="1:37" ht="18" customHeight="1" thickBot="1">
      <c r="A3" s="1297" t="s">
        <v>881</v>
      </c>
      <c r="B3" s="1298">
        <f ca="1">IF(ISERROR(D2/F43),0,ROUND(D2/F43,0))</f>
        <v>17500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2264589</v>
      </c>
      <c r="D5" s="1273" t="s">
        <v>889</v>
      </c>
      <c r="E5" s="1008"/>
      <c r="F5" s="1009"/>
      <c r="G5" s="1292"/>
      <c r="H5" s="291">
        <v>1</v>
      </c>
      <c r="I5" s="292" t="s">
        <v>888</v>
      </c>
      <c r="J5" s="1007">
        <f ca="1">J6+J10+J12</f>
        <v>0</v>
      </c>
      <c r="K5" s="1273" t="s">
        <v>889</v>
      </c>
      <c r="L5" s="1008"/>
      <c r="M5" s="1009"/>
    </row>
    <row r="6" spans="1:37" ht="18" customHeight="1">
      <c r="A6" s="1006" t="s">
        <v>398</v>
      </c>
      <c r="B6" s="3406" t="s">
        <v>694</v>
      </c>
      <c r="C6" s="1011">
        <f ca="1">ROUND(F6*F8*F7*(1-F9),0)</f>
        <v>2261762</v>
      </c>
      <c r="D6" s="147" t="s">
        <v>2106</v>
      </c>
      <c r="E6" s="294" t="s">
        <v>696</v>
      </c>
      <c r="F6" s="295">
        <f ca="1">INDIRECT("'数据-取费表'!u"&amp;$G$1)</f>
        <v>4</v>
      </c>
      <c r="G6" s="1292"/>
      <c r="H6" s="1006" t="s">
        <v>398</v>
      </c>
      <c r="I6" s="3406" t="s">
        <v>694</v>
      </c>
      <c r="J6" s="293">
        <f ca="1">ROUND(M6*M8*M7*(1-M9),0)</f>
        <v>0</v>
      </c>
      <c r="K6" s="1284" t="s">
        <v>2107</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1721.28</v>
      </c>
      <c r="G7" s="1292"/>
      <c r="H7" s="296"/>
      <c r="I7" s="3407"/>
      <c r="J7" s="298"/>
      <c r="K7" s="299"/>
      <c r="L7" s="294" t="s">
        <v>697</v>
      </c>
      <c r="M7" s="295">
        <f ca="1">F7</f>
        <v>1721.28</v>
      </c>
    </row>
    <row r="8" spans="1:37" ht="18" customHeight="1">
      <c r="A8" s="296"/>
      <c r="B8" s="3407"/>
      <c r="C8" s="298"/>
      <c r="D8" s="299"/>
      <c r="E8" s="294" t="s">
        <v>698</v>
      </c>
      <c r="F8" s="295">
        <f ca="1">INDIRECT("'数据-取费表'!ai"&amp;$G$1)</f>
        <v>365</v>
      </c>
      <c r="G8" s="1292"/>
      <c r="H8" s="296"/>
      <c r="I8" s="3407"/>
      <c r="J8" s="298"/>
      <c r="K8" s="299"/>
      <c r="L8" s="294" t="s">
        <v>698</v>
      </c>
      <c r="M8" s="295">
        <f ca="1">INDIRECT("'数据-取费表'!ai"&amp;$G$1)</f>
        <v>365</v>
      </c>
    </row>
    <row r="9" spans="1:37" ht="18" customHeight="1">
      <c r="A9" s="296"/>
      <c r="B9" s="3408"/>
      <c r="C9" s="298"/>
      <c r="D9" s="299"/>
      <c r="E9" s="294" t="s">
        <v>699</v>
      </c>
      <c r="F9" s="304">
        <f ca="1">INDIRECT("'数据-取费表'!w"&amp;$G$1)</f>
        <v>0.1</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2827</v>
      </c>
      <c r="D10" s="150" t="s">
        <v>2116</v>
      </c>
      <c r="E10" s="305" t="s">
        <v>701</v>
      </c>
      <c r="F10" s="1053" t="s">
        <v>3449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5843961</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6024480</v>
      </c>
      <c r="D14" s="1257" t="s">
        <v>708</v>
      </c>
      <c r="E14" s="1255"/>
      <c r="F14" s="311"/>
      <c r="G14" s="1292"/>
      <c r="H14" s="928" t="s">
        <v>398</v>
      </c>
      <c r="I14" s="294" t="s">
        <v>709</v>
      </c>
      <c r="J14" s="21">
        <f ca="1">C29</f>
        <v>8469509</v>
      </c>
      <c r="K14" s="12"/>
      <c r="L14" s="759"/>
      <c r="M14" s="760"/>
    </row>
    <row r="15" spans="1:37" s="1304" customFormat="1" ht="18" customHeight="1" thickBot="1">
      <c r="A15" s="928" t="s">
        <v>399</v>
      </c>
      <c r="B15" s="294" t="s">
        <v>710</v>
      </c>
      <c r="C15" s="21">
        <f ca="1">ROUND(C14*F15,0)</f>
        <v>301224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27481</v>
      </c>
      <c r="K16" s="1024" t="s">
        <v>715</v>
      </c>
      <c r="L16" s="1025"/>
      <c r="M16" s="1009"/>
    </row>
    <row r="17" spans="1:37" s="1304" customFormat="1" ht="18" customHeight="1">
      <c r="A17" s="928" t="s">
        <v>681</v>
      </c>
      <c r="B17" s="294" t="s">
        <v>716</v>
      </c>
      <c r="C17" s="21">
        <f ca="1">ROUND(F17*(F43+INDIRECT("'数据-取费表'!S"&amp;$G$1)),0)</f>
        <v>344256</v>
      </c>
      <c r="D17" s="294" t="s">
        <v>717</v>
      </c>
      <c r="E17" s="294" t="s">
        <v>718</v>
      </c>
      <c r="F17" s="23">
        <f>'数据-取费表'!B35</f>
        <v>200</v>
      </c>
      <c r="G17" s="1303"/>
      <c r="H17" s="928" t="s">
        <v>398</v>
      </c>
      <c r="I17" s="294" t="s">
        <v>719</v>
      </c>
      <c r="J17" s="2140">
        <f ca="1">ROUND(IF(AND(项目基本情况!B11="自然人",项目基本情况!B10="北京市"),J6*M17/(1+'数据-取费表'!C42),J18+J19+J20),0)</f>
        <v>2072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120490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6790450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135809</v>
      </c>
      <c r="D20" s="315" t="s">
        <v>729</v>
      </c>
      <c r="E20" s="294" t="s">
        <v>712</v>
      </c>
      <c r="F20" s="314">
        <f>'数据-取费表'!B37</f>
        <v>0.02</v>
      </c>
      <c r="G20" s="1303"/>
      <c r="H20" s="928" t="s">
        <v>680</v>
      </c>
      <c r="I20" s="147" t="s">
        <v>730</v>
      </c>
      <c r="J20" s="22">
        <f ca="1">ROUND(M20*M21,0)</f>
        <v>2072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690.56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25409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207788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-27481</v>
      </c>
      <c r="K25" s="1032" t="s">
        <v>753</v>
      </c>
      <c r="L25" s="1033"/>
      <c r="M25" s="1034"/>
    </row>
    <row r="26" spans="1:37" ht="18" customHeight="1">
      <c r="A26" s="928" t="s">
        <v>397</v>
      </c>
      <c r="B26" s="294" t="s">
        <v>754</v>
      </c>
      <c r="C26" s="21">
        <f ca="1">ROUND((C19+C20)*F26,0)</f>
        <v>692626</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8469509</v>
      </c>
      <c r="D29" s="1029"/>
      <c r="E29" s="1027"/>
      <c r="F29" s="1030"/>
      <c r="G29" s="1303"/>
      <c r="H29" s="325" t="s">
        <v>396</v>
      </c>
      <c r="I29" s="326" t="s">
        <v>768</v>
      </c>
      <c r="J29" s="327">
        <f ca="1">ROUND(J26/(1+F40)^F41,0)</f>
        <v>0</v>
      </c>
      <c r="K29" s="328" t="s">
        <v>769</v>
      </c>
      <c r="L29" s="329"/>
      <c r="M29" s="330">
        <f ca="1">INDIRECT("'数据-取费表'!k"&amp;$G$1)</f>
        <v>1721.28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435085</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381186</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120627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258487</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2072</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690.56</v>
      </c>
      <c r="G35" s="1292"/>
      <c r="H35" s="2468"/>
      <c r="I35" s="1305"/>
      <c r="J35" s="1306"/>
      <c r="K35" s="2472"/>
      <c r="L35" s="2471"/>
      <c r="M35" s="2471"/>
    </row>
    <row r="36" spans="1:18" ht="18" customHeight="1">
      <c r="A36" s="1039" t="s">
        <v>402</v>
      </c>
      <c r="B36" s="294" t="s">
        <v>738</v>
      </c>
      <c r="C36" s="21">
        <f ca="1">ROUND(C29*F36,0)</f>
        <v>25409</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ROUND(C13*F37,0)</f>
        <v>5844</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22646</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1829504</v>
      </c>
      <c r="D39" s="1032" t="s">
        <v>773</v>
      </c>
      <c r="E39" s="1033"/>
      <c r="F39" s="1034"/>
      <c r="G39" s="1292"/>
      <c r="H39" s="2471"/>
      <c r="I39" s="1305"/>
      <c r="J39" s="1306"/>
      <c r="K39" s="2469"/>
      <c r="L39" s="2471"/>
      <c r="M39" s="2471"/>
    </row>
    <row r="40" spans="1:18" ht="18" customHeight="1">
      <c r="A40" s="291" t="s">
        <v>395</v>
      </c>
      <c r="B40" s="292" t="s">
        <v>774</v>
      </c>
      <c r="C40" s="293">
        <f ca="1">ROUND(C39*(1-((1+F42)/(1+F40))^F41)/(F40-F42),0)</f>
        <v>29554395</v>
      </c>
      <c r="D40" s="316" t="s">
        <v>758</v>
      </c>
      <c r="E40" s="294" t="s">
        <v>759</v>
      </c>
      <c r="F40" s="304">
        <f ca="1">INDIRECT("'数据-取费表'!I"&amp;$G$1)</f>
        <v>5.5E-2</v>
      </c>
      <c r="G40" s="1292"/>
      <c r="H40" s="1366">
        <f ca="1">C39/C5</f>
        <v>0.80787462978933489</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24.7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17170</v>
      </c>
      <c r="D43" s="328" t="s">
        <v>777</v>
      </c>
      <c r="E43" s="329" t="s">
        <v>778</v>
      </c>
      <c r="F43" s="330">
        <f ca="1">INDIRECT("'数据-取费表'!k"&amp;$G$1)</f>
        <v>1721.28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-2999.8842</v>
      </c>
      <c r="D45" s="3128" t="s">
        <v>3353</v>
      </c>
      <c r="E45" s="1307"/>
      <c r="F45" s="1307"/>
      <c r="O45" s="1310" t="s">
        <v>808</v>
      </c>
      <c r="P45" s="1366"/>
      <c r="Q45" s="1366"/>
      <c r="R45" s="1366"/>
    </row>
    <row r="46" spans="1:18" s="1292" customFormat="1" ht="13.8" thickBot="1">
      <c r="A46" s="1311" t="s">
        <v>809</v>
      </c>
      <c r="C46" s="1312">
        <f ca="1">ROUND(C45,0)</f>
        <v>-3000</v>
      </c>
      <c r="D46" s="1313" t="str">
        <f>C2</f>
        <v>万元</v>
      </c>
      <c r="I46" s="1314" t="s">
        <v>810</v>
      </c>
      <c r="J46" s="1315"/>
      <c r="K46" s="1316"/>
      <c r="L46" s="1317">
        <f ca="1">IF(M47="住宅",0,IF(L48&gt;J51,L60,J60))</f>
        <v>567713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29554395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3450</v>
      </c>
      <c r="K48" s="1330" t="s">
        <v>820</v>
      </c>
      <c r="L48" s="1331">
        <f ca="1">INDIRECT("'数据-取费表'!f"&amp;$G$1)</f>
        <v>24.7</v>
      </c>
      <c r="O48" s="1325" t="s">
        <v>404</v>
      </c>
      <c r="P48" s="1326" t="s">
        <v>821</v>
      </c>
      <c r="Q48" s="1327">
        <f ca="1">J60</f>
        <v>567713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2000</v>
      </c>
      <c r="K49" s="1330" t="s">
        <v>824</v>
      </c>
      <c r="L49" s="1333"/>
      <c r="O49" s="1334" t="s">
        <v>405</v>
      </c>
      <c r="P49" s="1326" t="s">
        <v>825</v>
      </c>
      <c r="Q49" s="1327">
        <f ca="1">C29</f>
        <v>8469509</v>
      </c>
      <c r="R49" s="1327" t="s">
        <v>818</v>
      </c>
    </row>
    <row r="50" spans="1:18" s="1292" customFormat="1" ht="13.8" thickBot="1">
      <c r="A50" s="922"/>
      <c r="B50" s="925"/>
      <c r="C50" s="926"/>
      <c r="D50" s="899"/>
      <c r="E50" s="993" t="s">
        <v>697</v>
      </c>
      <c r="F50" s="994">
        <f ca="1">F7</f>
        <v>1721.28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23258343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24.7</v>
      </c>
      <c r="K53" s="3404" t="s">
        <v>837</v>
      </c>
      <c r="L53" s="3405"/>
      <c r="O53" s="1325" t="s">
        <v>409</v>
      </c>
      <c r="P53" s="1326" t="s">
        <v>838</v>
      </c>
      <c r="Q53" s="1327">
        <f ca="1">Q47+Q48</f>
        <v>30122108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0.17199999999999999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5843961</v>
      </c>
      <c r="D56" s="1352"/>
      <c r="E56" s="1353"/>
      <c r="F56" s="1345"/>
      <c r="I56" s="1354" t="s">
        <v>842</v>
      </c>
      <c r="J56" s="1355" t="s">
        <v>3451</v>
      </c>
      <c r="K56" s="1328" t="s">
        <v>843</v>
      </c>
      <c r="L56" s="1331" t="str">
        <f ca="1">IF(L48&lt;J51,"——",L48-J51)</f>
        <v>——</v>
      </c>
      <c r="O56" s="1325" t="s">
        <v>403</v>
      </c>
      <c r="P56" s="1326" t="s">
        <v>817</v>
      </c>
      <c r="Q56" s="1327">
        <f ca="1">C40+J29</f>
        <v>29554395</v>
      </c>
      <c r="R56" s="1327" t="s">
        <v>818</v>
      </c>
    </row>
    <row r="57" spans="1:18" s="1292" customFormat="1" ht="24.6" thickBot="1">
      <c r="A57" s="1356"/>
      <c r="B57" s="896" t="s">
        <v>767</v>
      </c>
      <c r="C57" s="230">
        <f ca="1">C29</f>
        <v>8469509</v>
      </c>
      <c r="D57" s="1357"/>
      <c r="E57" s="1358"/>
      <c r="F57" s="1359"/>
      <c r="I57" s="1360" t="s">
        <v>844</v>
      </c>
      <c r="J57" s="1361">
        <f ca="1">IF(OR(M47="住宅",J51&lt;L48,J56="是"),"——",J51-L48)</f>
        <v>10.3</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33325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2072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3387804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567713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2072</v>
      </c>
      <c r="D62" s="911" t="s">
        <v>786</v>
      </c>
      <c r="E62" s="896" t="s">
        <v>787</v>
      </c>
      <c r="F62" s="317">
        <f t="shared" si="0"/>
        <v>3</v>
      </c>
      <c r="I62" s="1367" t="s">
        <v>858</v>
      </c>
      <c r="J62" s="610" t="s">
        <v>859</v>
      </c>
      <c r="K62" s="610" t="s">
        <v>860</v>
      </c>
      <c r="L62" s="610" t="s">
        <v>861</v>
      </c>
      <c r="M62" s="1368" t="s">
        <v>862</v>
      </c>
      <c r="O62" s="1325" t="s">
        <v>409</v>
      </c>
      <c r="P62" s="1326" t="s">
        <v>863</v>
      </c>
      <c r="Q62" s="1327">
        <f ca="1">Q56+Q57</f>
        <v>29554395</v>
      </c>
      <c r="R62" s="1327" t="s">
        <v>410</v>
      </c>
    </row>
    <row r="63" spans="1:18" s="1292" customFormat="1" ht="13.8" thickBot="1">
      <c r="A63" s="318"/>
      <c r="B63" s="902"/>
      <c r="C63" s="26"/>
      <c r="D63" s="912"/>
      <c r="E63" s="896" t="s">
        <v>788</v>
      </c>
      <c r="F63" s="295">
        <f t="shared" ca="1" si="0"/>
        <v>690.56</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25409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5844</v>
      </c>
      <c r="D65" s="910" t="s">
        <v>743</v>
      </c>
      <c r="E65" s="896" t="s">
        <v>744</v>
      </c>
      <c r="F65" s="321">
        <f t="shared" ca="1" si="0"/>
        <v>1E-3</v>
      </c>
      <c r="I65" s="1367" t="s">
        <v>867</v>
      </c>
      <c r="J65" s="610">
        <v>40</v>
      </c>
      <c r="K65" s="610">
        <v>30</v>
      </c>
      <c r="L65" s="610">
        <v>50</v>
      </c>
      <c r="M65" s="1369">
        <v>0.02</v>
      </c>
      <c r="O65" s="1325" t="s">
        <v>403</v>
      </c>
      <c r="P65" s="1326" t="s">
        <v>868</v>
      </c>
      <c r="Q65" s="1327">
        <f ca="1">C40+J29</f>
        <v>29554395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-33325</v>
      </c>
      <c r="D67" s="909" t="s">
        <v>753</v>
      </c>
      <c r="E67" s="914"/>
      <c r="F67" s="915"/>
      <c r="O67" s="1334" t="s">
        <v>405</v>
      </c>
      <c r="P67" s="1326" t="s">
        <v>850</v>
      </c>
      <c r="Q67" s="1370">
        <f ca="1">L51</f>
        <v>23258343</v>
      </c>
      <c r="R67" s="1327" t="s">
        <v>870</v>
      </c>
    </row>
    <row r="68" spans="1:18" s="1292" customFormat="1" ht="16.2" thickBot="1">
      <c r="A68" s="893" t="s">
        <v>395</v>
      </c>
      <c r="B68" s="894" t="s">
        <v>774</v>
      </c>
      <c r="C68" s="293">
        <f ca="1">ROUND(C67*(1-((1+F70)/(1+F68))^F69)/(F68-F70),0)</f>
        <v>-444447</v>
      </c>
      <c r="D68" s="911" t="s">
        <v>758</v>
      </c>
      <c r="E68" s="896" t="s">
        <v>759</v>
      </c>
      <c r="F68" s="304">
        <f ca="1">F40</f>
        <v>5.5E-2</v>
      </c>
      <c r="O68" s="1334" t="s">
        <v>406</v>
      </c>
      <c r="P68" s="1371" t="s">
        <v>871</v>
      </c>
      <c r="Q68" s="1327">
        <f ca="1">ROUND(Q69-Q70*Q71,0)</f>
        <v>1420427</v>
      </c>
      <c r="R68" s="1327" t="s">
        <v>414</v>
      </c>
    </row>
    <row r="69" spans="1:18" s="1292" customFormat="1" ht="13.8" thickBot="1">
      <c r="A69" s="897"/>
      <c r="B69" s="898"/>
      <c r="C69" s="298"/>
      <c r="D69" s="916" t="s">
        <v>762</v>
      </c>
      <c r="E69" s="896" t="s">
        <v>763</v>
      </c>
      <c r="F69" s="324">
        <f ca="1">F41</f>
        <v>24.7</v>
      </c>
      <c r="O69" s="1334" t="s">
        <v>411</v>
      </c>
      <c r="P69" s="1371" t="s">
        <v>872</v>
      </c>
      <c r="Q69" s="1327">
        <f ca="1">C39</f>
        <v>1829504</v>
      </c>
      <c r="R69" s="1327" t="s">
        <v>818</v>
      </c>
    </row>
    <row r="70" spans="1:18" s="1292" customFormat="1" ht="13.8" thickBot="1">
      <c r="A70" s="900"/>
      <c r="B70" s="901"/>
      <c r="C70" s="302"/>
      <c r="D70" s="912"/>
      <c r="E70" s="896" t="s">
        <v>766</v>
      </c>
      <c r="F70" s="991"/>
      <c r="O70" s="1334" t="s">
        <v>412</v>
      </c>
      <c r="P70" s="1371" t="s">
        <v>873</v>
      </c>
      <c r="Q70" s="1327">
        <f ca="1">C13</f>
        <v>5843961</v>
      </c>
      <c r="R70" s="1327" t="s">
        <v>818</v>
      </c>
    </row>
    <row r="71" spans="1:18" s="1292" customFormat="1" ht="13.8" thickBot="1">
      <c r="A71" s="917" t="s">
        <v>396</v>
      </c>
      <c r="B71" s="918" t="s">
        <v>776</v>
      </c>
      <c r="C71" s="327">
        <f ca="1">ROUND(C68/F71,0)</f>
        <v>-258</v>
      </c>
      <c r="D71" s="919" t="s">
        <v>777</v>
      </c>
      <c r="E71" s="920" t="s">
        <v>778</v>
      </c>
      <c r="F71" s="330">
        <f ca="1">F43</f>
        <v>1721.28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409077</v>
      </c>
      <c r="D75" s="1292"/>
      <c r="E75" s="1292"/>
      <c r="F75" s="1292"/>
      <c r="K75" s="1309"/>
      <c r="L75" s="1292"/>
      <c r="O75" s="1325" t="s">
        <v>409</v>
      </c>
      <c r="P75" s="1326" t="s">
        <v>838</v>
      </c>
      <c r="Q75" s="1327">
        <f ca="1">Q65+Q66</f>
        <v>29554395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0.77600000000000002</v>
      </c>
    </row>
    <row r="80" spans="1:18">
      <c r="B80" s="331" t="s">
        <v>800</v>
      </c>
      <c r="C80" s="266">
        <f ca="1">ROUND(C75/C39,3)</f>
        <v>0.224</v>
      </c>
    </row>
    <row r="81" spans="2:3">
      <c r="B81" s="262" t="s">
        <v>801</v>
      </c>
      <c r="C81" s="230"/>
    </row>
    <row r="82" spans="2:3">
      <c r="B82" s="265" t="s">
        <v>802</v>
      </c>
      <c r="C82" s="267">
        <f ca="1">1-C83</f>
        <v>0.80200000000000005</v>
      </c>
    </row>
    <row r="83" spans="2:3">
      <c r="B83" s="265" t="s">
        <v>803</v>
      </c>
      <c r="C83" s="266">
        <f ca="1">ROUND(C13/C40,3)</f>
        <v>0.19800000000000001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2100-000000000000}">
      <formula1>"比较法,基准地价,收益还原"</formula1>
    </dataValidation>
    <dataValidation type="list" allowBlank="1" showInputMessage="1" showErrorMessage="1" sqref="J56" xr:uid="{00000000-0002-0000-2100-000001000000}">
      <formula1>估价范围判定</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C1" xr:uid="{00000000-0002-0000-2100-000004000000}">
      <formula1>项目类型</formula1>
    </dataValidation>
    <dataValidation type="list" allowBlank="1" showInputMessage="1" showErrorMessage="1" sqref="D33 D61"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F10 F53 M10"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A1:A3"/>
  <sheetViews>
    <sheetView workbookViewId="0">
      <selection activeCell="F3" sqref="F3"/>
    </sheetView>
  </sheetViews>
  <sheetFormatPr defaultRowHeight="14.4"/>
  <sheetData>
    <row r="1" spans="1:1">
      <c r="A1" s="1405" t="s">
        <v>3527</v>
      </c>
    </row>
    <row r="2" spans="1:1">
      <c r="A2" s="1405" t="s">
        <v>3504</v>
      </c>
    </row>
    <row r="3" spans="1:1">
      <c r="A3" s="1405" t="s">
        <v>3505</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M2:W13"/>
  <sheetViews>
    <sheetView tabSelected="1" workbookViewId="0">
      <selection activeCell="N4" sqref="N4"/>
    </sheetView>
  </sheetViews>
  <sheetFormatPr defaultRowHeight="14.4"/>
  <cols>
    <col min="14" max="14" width="15" customWidth="1"/>
    <col min="15" max="15" width="14.44140625" customWidth="1"/>
    <col min="16" max="16" width="16.109375" customWidth="1"/>
    <col min="17" max="17" width="10.21875" customWidth="1"/>
    <col min="21" max="21" width="12.44140625" customWidth="1"/>
  </cols>
  <sheetData>
    <row r="2" spans="13:23">
      <c r="N2" s="1405"/>
    </row>
    <row r="3" spans="13:23">
      <c r="P3" s="1405" t="s">
        <v>3458</v>
      </c>
      <c r="Q3" s="1405" t="s">
        <v>3459</v>
      </c>
      <c r="S3" s="1405" t="s">
        <v>3462</v>
      </c>
      <c r="W3" s="1405"/>
    </row>
    <row r="4" spans="13:23">
      <c r="N4" s="1405" t="s">
        <v>3506</v>
      </c>
      <c r="O4" s="1405" t="s">
        <v>3507</v>
      </c>
      <c r="P4">
        <v>1800</v>
      </c>
      <c r="Q4">
        <v>26000</v>
      </c>
      <c r="R4" s="1405" t="s">
        <v>3460</v>
      </c>
    </row>
    <row r="5" spans="13:23">
      <c r="N5" s="1405" t="s">
        <v>3455</v>
      </c>
      <c r="O5" s="1405" t="s">
        <v>3456</v>
      </c>
      <c r="P5">
        <v>2196.71</v>
      </c>
      <c r="Q5">
        <v>22001</v>
      </c>
      <c r="R5" s="1405" t="s">
        <v>3457</v>
      </c>
      <c r="S5" s="1405" t="s">
        <v>3461</v>
      </c>
      <c r="T5" s="1405" t="s">
        <v>3463</v>
      </c>
    </row>
    <row r="6" spans="13:23">
      <c r="N6" s="1405" t="s">
        <v>3467</v>
      </c>
      <c r="O6" s="1405" t="s">
        <v>3456</v>
      </c>
      <c r="P6">
        <v>1280</v>
      </c>
      <c r="Q6">
        <v>25000</v>
      </c>
      <c r="R6" s="1405" t="s">
        <v>3457</v>
      </c>
    </row>
    <row r="7" spans="13:23">
      <c r="N7" s="1405"/>
      <c r="O7" s="1405"/>
      <c r="R7" s="1405"/>
    </row>
    <row r="10" spans="13:23">
      <c r="M10" s="1405" t="s">
        <v>3528</v>
      </c>
    </row>
    <row r="11" spans="13:23">
      <c r="M11" s="1405" t="s">
        <v>3511</v>
      </c>
      <c r="P11" s="1405" t="s">
        <v>3504</v>
      </c>
    </row>
    <row r="12" spans="13:23">
      <c r="M12" s="1405" t="s">
        <v>3509</v>
      </c>
      <c r="P12" s="1405" t="s">
        <v>3505</v>
      </c>
    </row>
    <row r="13" spans="13:23">
      <c r="M13" s="1405" t="s">
        <v>3510</v>
      </c>
      <c r="P13" s="1405"/>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78" t="s">
        <v>2607</v>
      </c>
      <c r="B20" s="3468" t="s">
        <v>2628</v>
      </c>
      <c r="C20" s="3166" t="s">
        <v>2439</v>
      </c>
      <c r="D20" s="3166"/>
      <c r="E20" s="2842">
        <v>1</v>
      </c>
      <c r="F20" s="2843" t="s">
        <v>2440</v>
      </c>
      <c r="G20" s="2843"/>
    </row>
    <row r="21" spans="1:13" ht="19.5" customHeight="1">
      <c r="A21" s="3479"/>
      <c r="B21" s="3469"/>
      <c r="C21" s="2855" t="s">
        <v>2441</v>
      </c>
      <c r="D21" s="2855"/>
      <c r="E21" s="2846">
        <v>1</v>
      </c>
      <c r="F21" s="2843" t="s">
        <v>2442</v>
      </c>
      <c r="G21" s="2843"/>
    </row>
    <row r="22" spans="1:13" ht="19.5" customHeight="1">
      <c r="A22" s="3479"/>
      <c r="B22" s="3469"/>
      <c r="C22" s="2855" t="s">
        <v>2443</v>
      </c>
      <c r="D22" s="2855"/>
      <c r="E22" s="2846">
        <v>0.9</v>
      </c>
      <c r="F22" s="2843" t="s">
        <v>2444</v>
      </c>
      <c r="G22" s="2843"/>
    </row>
    <row r="23" spans="1:13" ht="19.5" customHeight="1">
      <c r="A23" s="3479"/>
      <c r="B23" s="3469"/>
      <c r="C23" s="2855" t="s">
        <v>2445</v>
      </c>
      <c r="D23" s="2855"/>
      <c r="E23" s="2846">
        <v>0.9</v>
      </c>
      <c r="F23" s="2843" t="s">
        <v>2446</v>
      </c>
      <c r="G23" s="2843"/>
    </row>
    <row r="24" spans="1:13" ht="19.5" customHeight="1">
      <c r="A24" s="3479"/>
      <c r="B24" s="3469"/>
      <c r="C24" s="2855" t="s">
        <v>2447</v>
      </c>
      <c r="D24" s="2855"/>
      <c r="E24" s="2846">
        <v>0.8</v>
      </c>
      <c r="F24" s="2843" t="s">
        <v>2448</v>
      </c>
      <c r="G24" s="2843"/>
    </row>
    <row r="25" spans="1:13" ht="19.5" customHeight="1">
      <c r="A25" s="3479"/>
      <c r="B25" s="3469"/>
      <c r="C25" s="2855" t="s">
        <v>2449</v>
      </c>
      <c r="D25" s="2855"/>
      <c r="E25" s="2846">
        <v>0.8</v>
      </c>
      <c r="F25" s="2843"/>
      <c r="G25" s="2843"/>
    </row>
    <row r="26" spans="1:13" ht="19.5" customHeight="1">
      <c r="A26" s="3479"/>
      <c r="B26" s="3469"/>
      <c r="C26" s="2855" t="s">
        <v>3412</v>
      </c>
      <c r="D26" s="2855"/>
      <c r="E26" s="2846">
        <v>0.43</v>
      </c>
      <c r="F26" s="2843"/>
      <c r="G26" s="2843"/>
    </row>
    <row r="27" spans="1:13" ht="19.5" customHeight="1" thickBot="1">
      <c r="A27" s="3480"/>
      <c r="B27" s="3470"/>
      <c r="C27" s="3162" t="s">
        <v>3413</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71" t="s">
        <v>2631</v>
      </c>
      <c r="B29" s="3474" t="s">
        <v>2612</v>
      </c>
      <c r="C29" s="2840" t="s">
        <v>2452</v>
      </c>
      <c r="D29" s="2841"/>
      <c r="E29" s="2842">
        <v>1</v>
      </c>
      <c r="F29" s="2843" t="s">
        <v>2453</v>
      </c>
      <c r="G29" s="2843"/>
    </row>
    <row r="30" spans="1:13" ht="19.5" customHeight="1">
      <c r="A30" s="3472"/>
      <c r="B30" s="3475"/>
      <c r="C30" s="2844" t="s">
        <v>2454</v>
      </c>
      <c r="D30" s="2845"/>
      <c r="E30" s="2846">
        <v>1</v>
      </c>
      <c r="F30" s="2843" t="s">
        <v>2455</v>
      </c>
      <c r="G30" s="2843"/>
    </row>
    <row r="31" spans="1:13" ht="19.5" customHeight="1">
      <c r="A31" s="3472"/>
      <c r="B31" s="3475"/>
      <c r="C31" s="2844" t="s">
        <v>2456</v>
      </c>
      <c r="D31" s="2845"/>
      <c r="E31" s="2846">
        <v>0.8</v>
      </c>
      <c r="F31" s="2843" t="s">
        <v>2457</v>
      </c>
      <c r="G31" s="2843"/>
    </row>
    <row r="32" spans="1:13" ht="19.5" customHeight="1">
      <c r="A32" s="3472"/>
      <c r="B32" s="3475"/>
      <c r="C32" s="2844" t="s">
        <v>2458</v>
      </c>
      <c r="D32" s="2845"/>
      <c r="E32" s="2846">
        <v>0.8</v>
      </c>
      <c r="F32" s="2843" t="s">
        <v>2459</v>
      </c>
      <c r="G32" s="2843"/>
    </row>
    <row r="33" spans="1:7" ht="19.5" customHeight="1">
      <c r="A33" s="3472"/>
      <c r="B33" s="3475"/>
      <c r="C33" s="2844" t="s">
        <v>2460</v>
      </c>
      <c r="D33" s="2845"/>
      <c r="E33" s="2846">
        <v>0.8</v>
      </c>
      <c r="F33" s="2843" t="s">
        <v>2461</v>
      </c>
      <c r="G33" s="2843"/>
    </row>
    <row r="34" spans="1:7" ht="19.5" customHeight="1">
      <c r="A34" s="3472"/>
      <c r="B34" s="3475"/>
      <c r="C34" s="2844" t="s">
        <v>2462</v>
      </c>
      <c r="D34" s="2845"/>
      <c r="E34" s="2846">
        <v>0.7</v>
      </c>
      <c r="F34" s="2843" t="s">
        <v>2463</v>
      </c>
      <c r="G34" s="2843"/>
    </row>
    <row r="35" spans="1:7" ht="19.5" customHeight="1">
      <c r="A35" s="3472"/>
      <c r="B35" s="3475"/>
      <c r="C35" s="2844" t="s">
        <v>2464</v>
      </c>
      <c r="D35" s="2845"/>
      <c r="E35" s="2846">
        <v>0.8</v>
      </c>
      <c r="F35" s="2843" t="s">
        <v>2465</v>
      </c>
      <c r="G35" s="2843"/>
    </row>
    <row r="36" spans="1:7" ht="19.5" customHeight="1">
      <c r="A36" s="3472"/>
      <c r="B36" s="3475"/>
      <c r="C36" s="2844" t="s">
        <v>2466</v>
      </c>
      <c r="D36" s="2845"/>
      <c r="E36" s="2846">
        <v>0.6</v>
      </c>
      <c r="F36" s="2843" t="s">
        <v>2467</v>
      </c>
      <c r="G36" s="2843"/>
    </row>
    <row r="37" spans="1:7" ht="19.5" customHeight="1">
      <c r="A37" s="3472"/>
      <c r="B37" s="3475"/>
      <c r="C37" s="2844" t="s">
        <v>2468</v>
      </c>
      <c r="D37" s="2845"/>
      <c r="E37" s="2846">
        <v>0.2</v>
      </c>
      <c r="F37" s="2843" t="s">
        <v>2469</v>
      </c>
      <c r="G37" s="2843"/>
    </row>
    <row r="38" spans="1:7" ht="19.5" customHeight="1">
      <c r="A38" s="3472"/>
      <c r="B38" s="3475"/>
      <c r="C38" s="2844" t="s">
        <v>2470</v>
      </c>
      <c r="D38" s="2845"/>
      <c r="E38" s="2846">
        <v>0.2</v>
      </c>
      <c r="F38" s="2843" t="s">
        <v>2471</v>
      </c>
      <c r="G38" s="2843"/>
    </row>
    <row r="39" spans="1:7" ht="19.5" customHeight="1">
      <c r="A39" s="3472"/>
      <c r="B39" s="3476" t="s">
        <v>2632</v>
      </c>
      <c r="C39" s="2844" t="s">
        <v>2472</v>
      </c>
      <c r="D39" s="2845"/>
      <c r="E39" s="2846">
        <v>0.6</v>
      </c>
      <c r="F39" s="2843" t="s">
        <v>2473</v>
      </c>
      <c r="G39" s="2843"/>
    </row>
    <row r="40" spans="1:7" ht="19.5" customHeight="1">
      <c r="A40" s="3472"/>
      <c r="B40" s="3475"/>
      <c r="C40" s="2844" t="s">
        <v>2474</v>
      </c>
      <c r="D40" s="2845"/>
      <c r="E40" s="2846">
        <v>0.6</v>
      </c>
      <c r="F40" s="2843" t="s">
        <v>2475</v>
      </c>
      <c r="G40" s="2843"/>
    </row>
    <row r="41" spans="1:7" ht="19.5" customHeight="1" thickBot="1">
      <c r="A41" s="3473"/>
      <c r="B41" s="3477"/>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78" t="s">
        <v>2610</v>
      </c>
      <c r="B43" s="3474" t="s">
        <v>2634</v>
      </c>
      <c r="C43" s="2840" t="s">
        <v>2479</v>
      </c>
      <c r="D43" s="2841"/>
      <c r="E43" s="2842">
        <v>1</v>
      </c>
      <c r="F43" s="2843" t="s">
        <v>2480</v>
      </c>
      <c r="G43" s="2843"/>
    </row>
    <row r="44" spans="1:7" ht="19.5" customHeight="1">
      <c r="A44" s="3479"/>
      <c r="B44" s="3475"/>
      <c r="C44" s="2844" t="s">
        <v>2481</v>
      </c>
      <c r="D44" s="2845"/>
      <c r="E44" s="2846">
        <v>1</v>
      </c>
      <c r="F44" s="2843" t="s">
        <v>2482</v>
      </c>
      <c r="G44" s="2843"/>
    </row>
    <row r="45" spans="1:7" ht="19.5" customHeight="1">
      <c r="A45" s="3479"/>
      <c r="B45" s="3481"/>
      <c r="C45" s="2844" t="s">
        <v>2483</v>
      </c>
      <c r="D45" s="2845"/>
      <c r="E45" s="2846">
        <v>1.5</v>
      </c>
      <c r="F45" s="2843" t="s">
        <v>2484</v>
      </c>
      <c r="G45" s="2843"/>
    </row>
    <row r="46" spans="1:7" ht="19.5" customHeight="1">
      <c r="A46" s="3479"/>
      <c r="B46" s="2855" t="s">
        <v>2635</v>
      </c>
      <c r="C46" s="2844" t="s">
        <v>2636</v>
      </c>
      <c r="D46" s="2845"/>
      <c r="E46" s="2846">
        <v>2</v>
      </c>
      <c r="F46" s="2843" t="s">
        <v>2485</v>
      </c>
      <c r="G46" s="2843"/>
    </row>
    <row r="47" spans="1:7" ht="19.5" customHeight="1">
      <c r="A47" s="3479"/>
      <c r="B47" s="3476" t="s">
        <v>2637</v>
      </c>
      <c r="C47" s="2844" t="s">
        <v>2486</v>
      </c>
      <c r="D47" s="2845"/>
      <c r="E47" s="2846">
        <v>1</v>
      </c>
      <c r="F47" s="2843" t="s">
        <v>2487</v>
      </c>
      <c r="G47" s="2843"/>
    </row>
    <row r="48" spans="1:7" ht="19.5" customHeight="1">
      <c r="A48" s="3479"/>
      <c r="B48" s="3475"/>
      <c r="C48" s="2844" t="s">
        <v>2488</v>
      </c>
      <c r="D48" s="2845"/>
      <c r="E48" s="2846">
        <v>1</v>
      </c>
      <c r="F48" s="2843" t="s">
        <v>2489</v>
      </c>
      <c r="G48" s="2843"/>
    </row>
    <row r="49" spans="1:7" ht="19.5" customHeight="1">
      <c r="A49" s="3479"/>
      <c r="B49" s="3475"/>
      <c r="C49" s="2844" t="s">
        <v>2490</v>
      </c>
      <c r="D49" s="2845"/>
      <c r="E49" s="2846">
        <v>1</v>
      </c>
      <c r="F49" s="2843" t="s">
        <v>2491</v>
      </c>
      <c r="G49" s="2843"/>
    </row>
    <row r="50" spans="1:7" ht="19.5" customHeight="1">
      <c r="A50" s="3479"/>
      <c r="B50" s="3475"/>
      <c r="C50" s="2844" t="s">
        <v>2492</v>
      </c>
      <c r="D50" s="2845"/>
      <c r="E50" s="2846">
        <v>1</v>
      </c>
      <c r="F50" s="2843" t="s">
        <v>2493</v>
      </c>
      <c r="G50" s="2843"/>
    </row>
    <row r="51" spans="1:7" ht="19.5" customHeight="1">
      <c r="A51" s="3479"/>
      <c r="B51" s="3475"/>
      <c r="C51" s="2844" t="s">
        <v>2494</v>
      </c>
      <c r="D51" s="2845"/>
      <c r="E51" s="2846">
        <v>1</v>
      </c>
      <c r="F51" s="2843" t="s">
        <v>2495</v>
      </c>
      <c r="G51" s="2843"/>
    </row>
    <row r="52" spans="1:7" ht="19.5" customHeight="1">
      <c r="A52" s="3479"/>
      <c r="B52" s="3475"/>
      <c r="C52" s="2844" t="s">
        <v>2496</v>
      </c>
      <c r="D52" s="2845"/>
      <c r="E52" s="2846">
        <v>1</v>
      </c>
      <c r="F52" s="2843" t="s">
        <v>2497</v>
      </c>
      <c r="G52" s="2843"/>
    </row>
    <row r="53" spans="1:7" ht="19.5" customHeight="1" thickBot="1">
      <c r="A53" s="3480"/>
      <c r="B53" s="3477"/>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76" t="s">
        <v>2651</v>
      </c>
      <c r="C75" s="2829" t="s">
        <v>2652</v>
      </c>
      <c r="D75" s="2829" t="s">
        <v>2653</v>
      </c>
      <c r="E75" s="2855">
        <v>0.2</v>
      </c>
      <c r="F75" s="2855">
        <v>25</v>
      </c>
    </row>
    <row r="76" spans="1:7" ht="24">
      <c r="A76" s="2855">
        <v>2</v>
      </c>
      <c r="B76" s="3475"/>
      <c r="C76" s="2829" t="s">
        <v>2654</v>
      </c>
      <c r="D76" s="2829" t="s">
        <v>2655</v>
      </c>
      <c r="E76" s="2855">
        <v>0.2</v>
      </c>
      <c r="F76" s="2855">
        <v>25</v>
      </c>
    </row>
    <row r="77" spans="1:7" ht="24">
      <c r="A77" s="2855">
        <v>3</v>
      </c>
      <c r="B77" s="3475"/>
      <c r="C77" s="2829" t="s">
        <v>2656</v>
      </c>
      <c r="D77" s="2829" t="s">
        <v>2657</v>
      </c>
      <c r="E77" s="2855">
        <v>0.2</v>
      </c>
      <c r="F77" s="2855">
        <v>25</v>
      </c>
    </row>
    <row r="78" spans="1:7" ht="14.4">
      <c r="A78" s="2855">
        <v>4</v>
      </c>
      <c r="B78" s="3475"/>
      <c r="C78" s="2829" t="s">
        <v>2658</v>
      </c>
      <c r="D78" s="2829" t="s">
        <v>2659</v>
      </c>
      <c r="E78" s="2855">
        <v>0.15</v>
      </c>
      <c r="F78" s="2855">
        <v>20</v>
      </c>
    </row>
    <row r="79" spans="1:7" ht="24">
      <c r="A79" s="2855">
        <v>5</v>
      </c>
      <c r="B79" s="3475"/>
      <c r="C79" s="2829" t="s">
        <v>2660</v>
      </c>
      <c r="D79" s="2829" t="s">
        <v>2661</v>
      </c>
      <c r="E79" s="2855">
        <v>0.15</v>
      </c>
      <c r="F79" s="2855">
        <v>20</v>
      </c>
    </row>
    <row r="80" spans="1:7" ht="24">
      <c r="A80" s="2855">
        <v>6</v>
      </c>
      <c r="B80" s="3475"/>
      <c r="C80" s="2829" t="s">
        <v>2662</v>
      </c>
      <c r="D80" s="2829" t="s">
        <v>2663</v>
      </c>
      <c r="E80" s="2855">
        <v>0.15</v>
      </c>
      <c r="F80" s="2855">
        <v>20</v>
      </c>
    </row>
    <row r="81" spans="1:6" ht="24">
      <c r="A81" s="2855">
        <v>7</v>
      </c>
      <c r="B81" s="3475"/>
      <c r="C81" s="2829" t="s">
        <v>2664</v>
      </c>
      <c r="D81" s="2829" t="s">
        <v>2665</v>
      </c>
      <c r="E81" s="2855">
        <v>0.15</v>
      </c>
      <c r="F81" s="2855">
        <v>20</v>
      </c>
    </row>
    <row r="82" spans="1:6" ht="24">
      <c r="A82" s="2855">
        <v>8</v>
      </c>
      <c r="B82" s="3475"/>
      <c r="C82" s="2829" t="s">
        <v>2666</v>
      </c>
      <c r="D82" s="2829" t="s">
        <v>2667</v>
      </c>
      <c r="E82" s="2855">
        <v>0.1</v>
      </c>
      <c r="F82" s="2855">
        <v>15</v>
      </c>
    </row>
    <row r="83" spans="1:6" ht="24">
      <c r="A83" s="2855">
        <v>9</v>
      </c>
      <c r="B83" s="3475"/>
      <c r="C83" s="2829" t="s">
        <v>2668</v>
      </c>
      <c r="D83" s="2829" t="s">
        <v>2669</v>
      </c>
      <c r="E83" s="2855">
        <v>0.1</v>
      </c>
      <c r="F83" s="2855">
        <v>15</v>
      </c>
    </row>
    <row r="84" spans="1:6" ht="24">
      <c r="A84" s="2855">
        <v>10</v>
      </c>
      <c r="B84" s="3475"/>
      <c r="C84" s="2829" t="s">
        <v>2670</v>
      </c>
      <c r="D84" s="2829" t="s">
        <v>2671</v>
      </c>
      <c r="E84" s="2855">
        <v>0.1</v>
      </c>
      <c r="F84" s="2855">
        <v>15</v>
      </c>
    </row>
    <row r="85" spans="1:6" ht="24">
      <c r="A85" s="2855">
        <v>11</v>
      </c>
      <c r="B85" s="3475"/>
      <c r="C85" s="2829" t="s">
        <v>2672</v>
      </c>
      <c r="D85" s="2829" t="s">
        <v>2673</v>
      </c>
      <c r="E85" s="2855">
        <v>0.1</v>
      </c>
      <c r="F85" s="2855">
        <v>15</v>
      </c>
    </row>
    <row r="86" spans="1:6" ht="24">
      <c r="A86" s="2855">
        <v>12</v>
      </c>
      <c r="B86" s="3475"/>
      <c r="C86" s="2829" t="s">
        <v>2674</v>
      </c>
      <c r="D86" s="2829" t="s">
        <v>2675</v>
      </c>
      <c r="E86" s="2855">
        <v>0.1</v>
      </c>
      <c r="F86" s="2855">
        <v>15</v>
      </c>
    </row>
    <row r="87" spans="1:6" ht="24">
      <c r="A87" s="2855">
        <v>13</v>
      </c>
      <c r="B87" s="3475"/>
      <c r="C87" s="2829" t="s">
        <v>2676</v>
      </c>
      <c r="D87" s="2829" t="s">
        <v>2677</v>
      </c>
      <c r="E87" s="2855">
        <v>0.1</v>
      </c>
      <c r="F87" s="2855">
        <v>15</v>
      </c>
    </row>
    <row r="88" spans="1:6" ht="24">
      <c r="A88" s="2855">
        <v>14</v>
      </c>
      <c r="B88" s="3475"/>
      <c r="C88" s="2829" t="s">
        <v>2678</v>
      </c>
      <c r="D88" s="2829" t="s">
        <v>2679</v>
      </c>
      <c r="E88" s="2855">
        <v>0.1</v>
      </c>
      <c r="F88" s="2855">
        <v>15</v>
      </c>
    </row>
    <row r="89" spans="1:6" ht="24">
      <c r="A89" s="2855">
        <v>15</v>
      </c>
      <c r="B89" s="3475"/>
      <c r="C89" s="2829" t="s">
        <v>2680</v>
      </c>
      <c r="D89" s="2829" t="s">
        <v>2681</v>
      </c>
      <c r="E89" s="2855">
        <v>0.1</v>
      </c>
      <c r="F89" s="2855">
        <v>15</v>
      </c>
    </row>
    <row r="90" spans="1:6" ht="24">
      <c r="A90" s="2855">
        <v>16</v>
      </c>
      <c r="B90" s="3475"/>
      <c r="C90" s="2829" t="s">
        <v>2682</v>
      </c>
      <c r="D90" s="2829" t="s">
        <v>2683</v>
      </c>
      <c r="E90" s="2855">
        <v>0.1</v>
      </c>
      <c r="F90" s="2855">
        <v>15</v>
      </c>
    </row>
    <row r="91" spans="1:6" ht="24">
      <c r="A91" s="2855">
        <v>17</v>
      </c>
      <c r="B91" s="3481"/>
      <c r="C91" s="2829" t="s">
        <v>2684</v>
      </c>
      <c r="D91" s="2829" t="s">
        <v>2685</v>
      </c>
      <c r="E91" s="2855">
        <v>0.1</v>
      </c>
      <c r="F91" s="2855">
        <v>15</v>
      </c>
    </row>
    <row r="92" spans="1:6" ht="14.4">
      <c r="A92" s="2855">
        <v>18</v>
      </c>
      <c r="B92" s="3476" t="s">
        <v>2686</v>
      </c>
      <c r="C92" s="2829" t="s">
        <v>2687</v>
      </c>
      <c r="D92" s="2829" t="s">
        <v>2688</v>
      </c>
      <c r="E92" s="2855">
        <v>0.2</v>
      </c>
      <c r="F92" s="2855">
        <v>25</v>
      </c>
    </row>
    <row r="93" spans="1:6" ht="24">
      <c r="A93" s="2855">
        <v>19</v>
      </c>
      <c r="B93" s="3475"/>
      <c r="C93" s="2829" t="s">
        <v>2689</v>
      </c>
      <c r="D93" s="2829" t="s">
        <v>2690</v>
      </c>
      <c r="E93" s="2855">
        <v>0.2</v>
      </c>
      <c r="F93" s="2855">
        <v>25</v>
      </c>
    </row>
    <row r="94" spans="1:6" ht="14.4">
      <c r="A94" s="2855">
        <v>20</v>
      </c>
      <c r="B94" s="3475"/>
      <c r="C94" s="2829" t="s">
        <v>2691</v>
      </c>
      <c r="D94" s="2829" t="s">
        <v>2692</v>
      </c>
      <c r="E94" s="2855">
        <v>0.15</v>
      </c>
      <c r="F94" s="2855">
        <v>20</v>
      </c>
    </row>
    <row r="95" spans="1:6" ht="24">
      <c r="A95" s="2855">
        <v>21</v>
      </c>
      <c r="B95" s="3475"/>
      <c r="C95" s="2829" t="s">
        <v>2693</v>
      </c>
      <c r="D95" s="2829" t="s">
        <v>2694</v>
      </c>
      <c r="E95" s="2855">
        <v>0.15</v>
      </c>
      <c r="F95" s="2855">
        <v>20</v>
      </c>
    </row>
    <row r="96" spans="1:6" ht="24">
      <c r="A96" s="2855">
        <v>22</v>
      </c>
      <c r="B96" s="3475"/>
      <c r="C96" s="2829" t="s">
        <v>2695</v>
      </c>
      <c r="D96" s="2829" t="s">
        <v>2696</v>
      </c>
      <c r="E96" s="2855">
        <v>0.15</v>
      </c>
      <c r="F96" s="2855">
        <v>20</v>
      </c>
    </row>
    <row r="97" spans="1:6" ht="36">
      <c r="A97" s="2855">
        <v>23</v>
      </c>
      <c r="B97" s="3475"/>
      <c r="C97" s="2829" t="s">
        <v>2697</v>
      </c>
      <c r="D97" s="2829" t="s">
        <v>2698</v>
      </c>
      <c r="E97" s="2855">
        <v>0.15</v>
      </c>
      <c r="F97" s="2855">
        <v>20</v>
      </c>
    </row>
    <row r="98" spans="1:6" ht="24">
      <c r="A98" s="2855">
        <v>24</v>
      </c>
      <c r="B98" s="3475"/>
      <c r="C98" s="2829" t="s">
        <v>2699</v>
      </c>
      <c r="D98" s="2829" t="s">
        <v>2700</v>
      </c>
      <c r="E98" s="2855">
        <v>0.1</v>
      </c>
      <c r="F98" s="2855">
        <v>15</v>
      </c>
    </row>
    <row r="99" spans="1:6" ht="24">
      <c r="A99" s="2855">
        <v>25</v>
      </c>
      <c r="B99" s="3475"/>
      <c r="C99" s="2829" t="s">
        <v>2701</v>
      </c>
      <c r="D99" s="2829" t="s">
        <v>2702</v>
      </c>
      <c r="E99" s="2855">
        <v>0.1</v>
      </c>
      <c r="F99" s="2855">
        <v>15</v>
      </c>
    </row>
    <row r="100" spans="1:6" ht="24">
      <c r="A100" s="2855">
        <v>26</v>
      </c>
      <c r="B100" s="3475"/>
      <c r="C100" s="2829" t="s">
        <v>2703</v>
      </c>
      <c r="D100" s="2829" t="s">
        <v>2704</v>
      </c>
      <c r="E100" s="2855">
        <v>0.1</v>
      </c>
      <c r="F100" s="2855">
        <v>15</v>
      </c>
    </row>
    <row r="101" spans="1:6" ht="24">
      <c r="A101" s="2855">
        <v>27</v>
      </c>
      <c r="B101" s="3475"/>
      <c r="C101" s="2829" t="s">
        <v>2705</v>
      </c>
      <c r="D101" s="2829" t="s">
        <v>2706</v>
      </c>
      <c r="E101" s="2855">
        <v>0.1</v>
      </c>
      <c r="F101" s="2855">
        <v>15</v>
      </c>
    </row>
    <row r="102" spans="1:6" ht="24">
      <c r="A102" s="2855">
        <v>28</v>
      </c>
      <c r="B102" s="3475"/>
      <c r="C102" s="2829" t="s">
        <v>2707</v>
      </c>
      <c r="D102" s="2829" t="s">
        <v>2708</v>
      </c>
      <c r="E102" s="2855">
        <v>0.1</v>
      </c>
      <c r="F102" s="2855">
        <v>15</v>
      </c>
    </row>
    <row r="103" spans="1:6" ht="24">
      <c r="A103" s="2855">
        <v>29</v>
      </c>
      <c r="B103" s="3475"/>
      <c r="C103" s="2829" t="s">
        <v>2709</v>
      </c>
      <c r="D103" s="2829" t="s">
        <v>2710</v>
      </c>
      <c r="E103" s="2855">
        <v>0.1</v>
      </c>
      <c r="F103" s="2855">
        <v>15</v>
      </c>
    </row>
    <row r="104" spans="1:6" ht="24">
      <c r="A104" s="2855">
        <v>30</v>
      </c>
      <c r="B104" s="3475"/>
      <c r="C104" s="2829" t="s">
        <v>2711</v>
      </c>
      <c r="D104" s="2829" t="s">
        <v>2712</v>
      </c>
      <c r="E104" s="2855">
        <v>0.1</v>
      </c>
      <c r="F104" s="2855">
        <v>15</v>
      </c>
    </row>
    <row r="105" spans="1:6" ht="24">
      <c r="A105" s="2855">
        <v>31</v>
      </c>
      <c r="B105" s="3475"/>
      <c r="C105" s="2829" t="s">
        <v>2713</v>
      </c>
      <c r="D105" s="2829" t="s">
        <v>2714</v>
      </c>
      <c r="E105" s="2855">
        <v>0.1</v>
      </c>
      <c r="F105" s="2855">
        <v>15</v>
      </c>
    </row>
    <row r="106" spans="1:6" ht="24">
      <c r="A106" s="2855">
        <v>32</v>
      </c>
      <c r="B106" s="3475"/>
      <c r="C106" s="2829" t="s">
        <v>2715</v>
      </c>
      <c r="D106" s="2829" t="s">
        <v>2716</v>
      </c>
      <c r="E106" s="2855">
        <v>0.1</v>
      </c>
      <c r="F106" s="2855">
        <v>15</v>
      </c>
    </row>
    <row r="107" spans="1:6" ht="24">
      <c r="A107" s="2855">
        <v>33</v>
      </c>
      <c r="B107" s="3475"/>
      <c r="C107" s="2829" t="s">
        <v>2717</v>
      </c>
      <c r="D107" s="2829" t="s">
        <v>2718</v>
      </c>
      <c r="E107" s="2855">
        <v>0.1</v>
      </c>
      <c r="F107" s="2855">
        <v>15</v>
      </c>
    </row>
    <row r="108" spans="1:6" ht="24">
      <c r="A108" s="2855">
        <v>34</v>
      </c>
      <c r="B108" s="3481"/>
      <c r="C108" s="2829" t="s">
        <v>2719</v>
      </c>
      <c r="D108" s="2829" t="s">
        <v>2720</v>
      </c>
      <c r="E108" s="2855">
        <v>0.1</v>
      </c>
      <c r="F108" s="2855">
        <v>15</v>
      </c>
    </row>
    <row r="109" spans="1:6" ht="36">
      <c r="A109" s="2855">
        <v>35</v>
      </c>
      <c r="B109" s="3476" t="s">
        <v>2721</v>
      </c>
      <c r="C109" s="2855" t="s">
        <v>2722</v>
      </c>
      <c r="D109" s="2829" t="s">
        <v>2723</v>
      </c>
      <c r="E109" s="2855">
        <v>0.15</v>
      </c>
      <c r="F109" s="2855">
        <v>20</v>
      </c>
    </row>
    <row r="110" spans="1:6" ht="24">
      <c r="A110" s="2855">
        <v>36</v>
      </c>
      <c r="B110" s="3475"/>
      <c r="C110" s="2855" t="s">
        <v>2724</v>
      </c>
      <c r="D110" s="2829" t="s">
        <v>2725</v>
      </c>
      <c r="E110" s="2855">
        <v>0.15</v>
      </c>
      <c r="F110" s="2855">
        <v>20</v>
      </c>
    </row>
    <row r="111" spans="1:6" ht="24">
      <c r="A111" s="2855">
        <v>37</v>
      </c>
      <c r="B111" s="3475"/>
      <c r="C111" s="2855" t="s">
        <v>2726</v>
      </c>
      <c r="D111" s="2829" t="s">
        <v>2727</v>
      </c>
      <c r="E111" s="2855">
        <v>0.15</v>
      </c>
      <c r="F111" s="2855">
        <v>20</v>
      </c>
    </row>
    <row r="112" spans="1:6" ht="24">
      <c r="A112" s="2855">
        <v>38</v>
      </c>
      <c r="B112" s="3475"/>
      <c r="C112" s="2855" t="s">
        <v>2728</v>
      </c>
      <c r="D112" s="2829" t="s">
        <v>2729</v>
      </c>
      <c r="E112" s="2855">
        <v>0.1</v>
      </c>
      <c r="F112" s="2855">
        <v>15</v>
      </c>
    </row>
    <row r="113" spans="1:6" ht="24">
      <c r="A113" s="2855">
        <v>39</v>
      </c>
      <c r="B113" s="3475"/>
      <c r="C113" s="2855" t="s">
        <v>2730</v>
      </c>
      <c r="D113" s="2829" t="s">
        <v>2731</v>
      </c>
      <c r="E113" s="2855">
        <v>0.1</v>
      </c>
      <c r="F113" s="2855">
        <v>15</v>
      </c>
    </row>
    <row r="114" spans="1:6" ht="24">
      <c r="A114" s="2855">
        <v>40</v>
      </c>
      <c r="B114" s="3481"/>
      <c r="C114" s="2855" t="s">
        <v>2732</v>
      </c>
      <c r="D114" s="2829" t="s">
        <v>2733</v>
      </c>
      <c r="E114" s="2855">
        <v>0.1</v>
      </c>
      <c r="F114" s="2855">
        <v>15</v>
      </c>
    </row>
    <row r="115" spans="1:6" ht="24">
      <c r="A115" s="2855">
        <v>41</v>
      </c>
      <c r="B115" s="3469" t="s">
        <v>2734</v>
      </c>
      <c r="C115" s="2855" t="s">
        <v>2735</v>
      </c>
      <c r="D115" s="2829" t="s">
        <v>2736</v>
      </c>
      <c r="E115" s="2855">
        <v>0.1</v>
      </c>
      <c r="F115" s="2855">
        <v>15</v>
      </c>
    </row>
    <row r="116" spans="1:6" ht="24">
      <c r="A116" s="2855">
        <v>42</v>
      </c>
      <c r="B116" s="3469"/>
      <c r="C116" s="2855" t="s">
        <v>2737</v>
      </c>
      <c r="D116" s="2829" t="s">
        <v>2738</v>
      </c>
      <c r="E116" s="2855">
        <v>0.1</v>
      </c>
      <c r="F116" s="2855">
        <v>15</v>
      </c>
    </row>
    <row r="117" spans="1:6" ht="24">
      <c r="A117" s="2855">
        <v>43</v>
      </c>
      <c r="B117" s="3469"/>
      <c r="C117" s="2855" t="s">
        <v>2739</v>
      </c>
      <c r="D117" s="2829" t="s">
        <v>2740</v>
      </c>
      <c r="E117" s="2855">
        <v>0.1</v>
      </c>
      <c r="F117" s="2855">
        <v>15</v>
      </c>
    </row>
    <row r="118" spans="1:6" ht="24">
      <c r="A118" s="2855">
        <v>44</v>
      </c>
      <c r="B118" s="3476" t="s">
        <v>2741</v>
      </c>
      <c r="C118" s="2855" t="s">
        <v>2742</v>
      </c>
      <c r="D118" s="2829" t="s">
        <v>2743</v>
      </c>
      <c r="E118" s="2855">
        <v>0.1</v>
      </c>
      <c r="F118" s="2855">
        <v>15</v>
      </c>
    </row>
    <row r="119" spans="1:6" ht="24">
      <c r="A119" s="2855">
        <v>45</v>
      </c>
      <c r="B119" s="3481"/>
      <c r="C119" s="2829" t="s">
        <v>2744</v>
      </c>
      <c r="D119" s="2829" t="s">
        <v>2745</v>
      </c>
      <c r="E119" s="2855">
        <v>0.1</v>
      </c>
      <c r="F119" s="2855">
        <v>15</v>
      </c>
    </row>
    <row r="120" spans="1:6" ht="24">
      <c r="A120" s="2855">
        <v>46</v>
      </c>
      <c r="B120" s="3476" t="s">
        <v>2746</v>
      </c>
      <c r="C120" s="2855" t="s">
        <v>2747</v>
      </c>
      <c r="D120" s="2829" t="s">
        <v>2748</v>
      </c>
      <c r="E120" s="2855">
        <v>0.1</v>
      </c>
      <c r="F120" s="2855">
        <v>15</v>
      </c>
    </row>
    <row r="121" spans="1:6" ht="24">
      <c r="A121" s="2855">
        <v>47</v>
      </c>
      <c r="B121" s="3481"/>
      <c r="C121" s="2855" t="s">
        <v>2749</v>
      </c>
      <c r="D121" s="2829" t="s">
        <v>2750</v>
      </c>
      <c r="E121" s="2855">
        <v>0.1</v>
      </c>
      <c r="F121" s="2855">
        <v>15</v>
      </c>
    </row>
    <row r="122" spans="1:6" ht="24">
      <c r="A122" s="2855">
        <v>48</v>
      </c>
      <c r="B122" s="3476" t="s">
        <v>2751</v>
      </c>
      <c r="C122" s="2855" t="s">
        <v>2752</v>
      </c>
      <c r="D122" s="2829" t="s">
        <v>2753</v>
      </c>
      <c r="E122" s="2855">
        <v>0.1</v>
      </c>
      <c r="F122" s="2855">
        <v>15</v>
      </c>
    </row>
    <row r="123" spans="1:6" ht="24">
      <c r="A123" s="2855">
        <v>49</v>
      </c>
      <c r="B123" s="3481"/>
      <c r="C123" s="2855" t="s">
        <v>2754</v>
      </c>
      <c r="D123" s="2829" t="s">
        <v>2755</v>
      </c>
      <c r="E123" s="2855">
        <v>0.1</v>
      </c>
      <c r="F123" s="2855">
        <v>15</v>
      </c>
    </row>
    <row r="124" spans="1:6" ht="24">
      <c r="A124" s="2855">
        <v>50</v>
      </c>
      <c r="B124" s="3469" t="s">
        <v>2756</v>
      </c>
      <c r="C124" s="2855" t="s">
        <v>2757</v>
      </c>
      <c r="D124" s="2829" t="s">
        <v>2758</v>
      </c>
      <c r="E124" s="2855">
        <v>0.1</v>
      </c>
      <c r="F124" s="2855">
        <v>15</v>
      </c>
    </row>
    <row r="125" spans="1:6" ht="24">
      <c r="A125" s="2855">
        <v>51</v>
      </c>
      <c r="B125" s="3469"/>
      <c r="C125" s="2855" t="s">
        <v>2759</v>
      </c>
      <c r="D125" s="2829" t="s">
        <v>2760</v>
      </c>
      <c r="E125" s="2855">
        <v>0.1</v>
      </c>
      <c r="F125" s="2855">
        <v>15</v>
      </c>
    </row>
    <row r="126" spans="1:6" ht="24">
      <c r="A126" s="2855">
        <v>52</v>
      </c>
      <c r="B126" s="3469" t="s">
        <v>2761</v>
      </c>
      <c r="C126" s="2855" t="s">
        <v>2762</v>
      </c>
      <c r="D126" s="2829" t="s">
        <v>2763</v>
      </c>
      <c r="E126" s="2855">
        <v>0.1</v>
      </c>
      <c r="F126" s="2855">
        <v>15</v>
      </c>
    </row>
    <row r="127" spans="1:6" ht="24">
      <c r="A127" s="2855">
        <v>53</v>
      </c>
      <c r="B127" s="3469"/>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69" t="s">
        <v>2769</v>
      </c>
      <c r="C129" s="2855" t="s">
        <v>2770</v>
      </c>
      <c r="D129" s="2829" t="s">
        <v>2771</v>
      </c>
      <c r="E129" s="2855">
        <v>0.1</v>
      </c>
      <c r="F129" s="2855">
        <v>15</v>
      </c>
    </row>
    <row r="130" spans="1:6" ht="24">
      <c r="A130" s="2855">
        <v>56</v>
      </c>
      <c r="B130" s="3469"/>
      <c r="C130" s="2855" t="s">
        <v>2772</v>
      </c>
      <c r="D130" s="2829" t="s">
        <v>2773</v>
      </c>
      <c r="E130" s="2855">
        <v>0.1</v>
      </c>
      <c r="F130" s="2855">
        <v>15</v>
      </c>
    </row>
    <row r="131" spans="1:6" ht="24">
      <c r="A131" s="2855">
        <v>57</v>
      </c>
      <c r="B131" s="3469"/>
      <c r="C131" s="2855" t="s">
        <v>2774</v>
      </c>
      <c r="D131" s="2829" t="s">
        <v>2775</v>
      </c>
      <c r="E131" s="2855">
        <v>0.1</v>
      </c>
      <c r="F131" s="2855">
        <v>15</v>
      </c>
    </row>
    <row r="132" spans="1:6" ht="24">
      <c r="A132" s="2855">
        <v>58</v>
      </c>
      <c r="B132" s="3469" t="s">
        <v>2776</v>
      </c>
      <c r="C132" s="2855" t="s">
        <v>2777</v>
      </c>
      <c r="D132" s="2829" t="s">
        <v>2778</v>
      </c>
      <c r="E132" s="2855">
        <v>0.1</v>
      </c>
      <c r="F132" s="2855">
        <v>15</v>
      </c>
    </row>
    <row r="133" spans="1:6" ht="24">
      <c r="A133" s="2855">
        <v>59</v>
      </c>
      <c r="B133" s="3469"/>
      <c r="C133" s="2855" t="s">
        <v>2779</v>
      </c>
      <c r="D133" s="2829" t="s">
        <v>2780</v>
      </c>
      <c r="E133" s="2855">
        <v>0.1</v>
      </c>
      <c r="F133" s="2855">
        <v>15</v>
      </c>
    </row>
    <row r="134" spans="1:6" ht="24">
      <c r="A134" s="2855">
        <v>60</v>
      </c>
      <c r="B134" s="3476" t="s">
        <v>2781</v>
      </c>
      <c r="C134" s="2855" t="s">
        <v>2782</v>
      </c>
      <c r="D134" s="2829" t="s">
        <v>2783</v>
      </c>
      <c r="E134" s="2855">
        <v>0.1</v>
      </c>
      <c r="F134" s="2855">
        <v>15</v>
      </c>
    </row>
    <row r="135" spans="1:6" ht="24">
      <c r="A135" s="2855">
        <v>61</v>
      </c>
      <c r="B135" s="3481"/>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69" t="s">
        <v>2789</v>
      </c>
      <c r="C137" s="2855" t="s">
        <v>2790</v>
      </c>
      <c r="D137" s="2829" t="s">
        <v>2791</v>
      </c>
      <c r="E137" s="2855">
        <v>0.1</v>
      </c>
      <c r="F137" s="2855">
        <v>15</v>
      </c>
    </row>
    <row r="138" spans="1:6" ht="24">
      <c r="A138" s="2855">
        <v>64</v>
      </c>
      <c r="B138" s="3469"/>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1.0089999999999999</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0.95979999999999999</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27023</v>
      </c>
      <c r="C2" s="2" t="s">
        <v>106</v>
      </c>
      <c r="D2" s="191"/>
      <c r="E2" s="191"/>
      <c r="F2" s="191"/>
      <c r="G2" s="191"/>
    </row>
    <row r="3" spans="1:7" s="192" customFormat="1" ht="18" customHeight="1" thickBot="1">
      <c r="A3" s="195" t="s">
        <v>58</v>
      </c>
      <c r="B3" s="196">
        <f ca="1">ROUND(B2*10000/'数据-汇总表'!E3,0)</f>
        <v>156994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34</v>
      </c>
      <c r="D10" s="795">
        <f>'数据-汇总表'!E6</f>
        <v>1721.28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34</v>
      </c>
      <c r="D19" s="204">
        <f>'数据-汇总表'!E3</f>
        <v>1721.28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1269</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2106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26440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678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602</v>
      </c>
      <c r="D34" s="209"/>
      <c r="E34" s="212"/>
      <c r="F34" s="249">
        <f>IF('数据-取费表'!B24=0,1,'数据-取费表'!N16)</f>
        <v>1</v>
      </c>
      <c r="G34" s="211" t="s">
        <v>89</v>
      </c>
    </row>
    <row r="35" spans="1:7" ht="13.5" customHeight="1">
      <c r="A35" s="734" t="s">
        <v>351</v>
      </c>
      <c r="B35" s="207" t="s">
        <v>33</v>
      </c>
      <c r="C35" s="212">
        <f>ROUND(C34*F35,0)</f>
        <v>30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34</v>
      </c>
      <c r="D37" s="209">
        <f>'数据-汇总表'!E3</f>
        <v>1721.28</v>
      </c>
      <c r="E37" s="241">
        <f>'数据-取费表'!B35</f>
        <v>200</v>
      </c>
      <c r="F37" s="251"/>
      <c r="G37" s="253" t="s">
        <v>92</v>
      </c>
    </row>
    <row r="38" spans="1:7" ht="13.5" customHeight="1">
      <c r="A38" s="734" t="s">
        <v>354</v>
      </c>
      <c r="B38" s="207" t="s">
        <v>36</v>
      </c>
      <c r="C38" s="212">
        <f>ROUND(C34*F38,0)</f>
        <v>12</v>
      </c>
      <c r="D38" s="212"/>
      <c r="E38" s="212"/>
      <c r="F38" s="251">
        <f>'数据-取费表'!B36</f>
        <v>0.02</v>
      </c>
      <c r="G38" s="211" t="s">
        <v>90</v>
      </c>
    </row>
    <row r="39" spans="1:7" s="206" customFormat="1" ht="13.5" customHeight="1">
      <c r="A39" s="731" t="s">
        <v>338</v>
      </c>
      <c r="B39" s="202" t="s">
        <v>77</v>
      </c>
      <c r="C39" s="224">
        <f>ROUND(C33*F20,0)</f>
        <v>14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20</v>
      </c>
      <c r="D42" s="230"/>
      <c r="E42" s="230"/>
      <c r="F42" s="231"/>
      <c r="G42" s="3465" t="s">
        <v>94</v>
      </c>
    </row>
    <row r="43" spans="1:7" ht="13.5" customHeight="1">
      <c r="A43" s="734" t="s">
        <v>347</v>
      </c>
      <c r="B43" s="207" t="s">
        <v>426</v>
      </c>
      <c r="C43" s="230">
        <f ca="1">ROUND(IF('数据-取费表'!B22&lt;=1,C39*F22*'数据-取费表'!B21/2,C39*(POWER((1+F22),'数据-取费表'!B21/2)-1)),0)</f>
        <v>0</v>
      </c>
      <c r="D43" s="230"/>
      <c r="E43" s="230"/>
      <c r="F43" s="231"/>
      <c r="G43" s="3466"/>
    </row>
    <row r="44" spans="1:7" ht="13.5" customHeight="1">
      <c r="A44" s="734" t="s">
        <v>348</v>
      </c>
      <c r="B44" s="207" t="s">
        <v>428</v>
      </c>
      <c r="C44" s="230">
        <f ca="1">ROUND(IF('数据-取费表'!B22&lt;=1,C40*F22*'数据-取费表'!B21/2,C40*(POWER((1+F22),'数据-取费表'!B21/2)-1)),4)</f>
        <v>5.9999999999999995E-4</v>
      </c>
      <c r="D44" s="230"/>
      <c r="E44" s="230"/>
      <c r="F44" s="231"/>
      <c r="G44" s="3467"/>
    </row>
    <row r="45" spans="1:7" s="206" customFormat="1" ht="13.5" customHeight="1">
      <c r="A45" s="731" t="s">
        <v>341</v>
      </c>
      <c r="B45" s="236" t="s">
        <v>85</v>
      </c>
      <c r="C45" s="237">
        <f>C46</f>
        <v>69</v>
      </c>
      <c r="D45" s="227">
        <f>C47</f>
        <v>2E-3</v>
      </c>
      <c r="E45" s="228" t="s">
        <v>102</v>
      </c>
      <c r="F45" s="238"/>
      <c r="G45" s="239" t="s">
        <v>434</v>
      </c>
    </row>
    <row r="46" spans="1:7" s="206" customFormat="1" ht="13.5" customHeight="1">
      <c r="A46" s="734" t="s">
        <v>349</v>
      </c>
      <c r="B46" s="240" t="s">
        <v>427</v>
      </c>
      <c r="C46" s="241">
        <f>ROUND((C33+C39)*F27,0)</f>
        <v>69</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845</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583</v>
      </c>
      <c r="D51" s="224"/>
      <c r="E51" s="224"/>
      <c r="F51" s="256"/>
      <c r="G51" s="226" t="s">
        <v>37</v>
      </c>
    </row>
    <row r="52" spans="1:7" s="200" customFormat="1" ht="16.8" thickBot="1">
      <c r="A52" s="257" t="s">
        <v>38</v>
      </c>
      <c r="B52" s="258"/>
      <c r="C52" s="259">
        <f ca="1">C31+C51</f>
        <v>27023</v>
      </c>
      <c r="D52" s="258"/>
      <c r="E52" s="258"/>
      <c r="F52" s="258"/>
      <c r="G52" s="260"/>
    </row>
    <row r="55" spans="1:7" ht="15">
      <c r="B55" s="262" t="s">
        <v>39</v>
      </c>
      <c r="C55" s="263"/>
    </row>
    <row r="56" spans="1:7">
      <c r="B56" s="265" t="s">
        <v>40</v>
      </c>
      <c r="C56" s="266">
        <f ca="1">ROUND(C51/C52,3)</f>
        <v>2.1999999999999999E-2</v>
      </c>
    </row>
    <row r="57" spans="1:7">
      <c r="B57" s="265" t="s">
        <v>41</v>
      </c>
      <c r="C57" s="267">
        <f ca="1">1-C56</f>
        <v>0.97799999999999998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7.399999999999999">
      <c r="A3" s="3187" t="str">
        <f>IF(项目基本情况!B9="房地产市场价值","估价结果一览表（市场价值不需“结果表-1”）","估价结果一览表")</f>
        <v>估价结果一览表</v>
      </c>
      <c r="B3" s="3187"/>
      <c r="C3" s="3187"/>
      <c r="D3" s="3187"/>
      <c r="E3" s="3187"/>
    </row>
    <row r="4" spans="1:5" ht="18" thickBot="1">
      <c r="A4" s="1391"/>
      <c r="B4" s="3185" t="s">
        <v>917</v>
      </c>
      <c r="C4" s="3185"/>
      <c r="D4" s="3185"/>
      <c r="E4" s="1391"/>
    </row>
    <row r="5" spans="1:5" ht="16.2" thickTop="1">
      <c r="B5" s="3183" t="s">
        <v>909</v>
      </c>
      <c r="C5" s="1392" t="s">
        <v>910</v>
      </c>
      <c r="D5" s="797">
        <f ca="1">结果表!H101</f>
        <v>3626</v>
      </c>
    </row>
    <row r="6" spans="1:5" ht="15.6">
      <c r="B6" s="3183"/>
      <c r="C6" s="1392" t="s">
        <v>911</v>
      </c>
      <c r="D6" s="797" t="str">
        <f ca="1">NUMBERSTRING(INT(D5*10000),2)&amp;"元整"</f>
        <v>叁仟陆佰贰拾陆万元整</v>
      </c>
    </row>
    <row r="7" spans="1:5" ht="15.6">
      <c r="B7" s="3188"/>
      <c r="C7" s="1393" t="s">
        <v>912</v>
      </c>
      <c r="D7" s="798">
        <f ca="1">结果表!H102</f>
        <v>21063</v>
      </c>
    </row>
    <row r="8" spans="1:5" ht="15.6">
      <c r="B8" s="3189" t="str">
        <f>结果表!E103</f>
        <v>2.估价师知悉的法定优先受偿款</v>
      </c>
      <c r="C8" s="1394" t="s">
        <v>913</v>
      </c>
      <c r="D8" s="798">
        <f>结果表!H103</f>
        <v>0</v>
      </c>
    </row>
    <row r="9" spans="1:5" ht="15.6">
      <c r="B9" s="319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2" t="str">
        <f>结果表!E107</f>
        <v>3.房地产抵押价值</v>
      </c>
      <c r="C13" s="1397" t="s">
        <v>910</v>
      </c>
      <c r="D13" s="800">
        <f ca="1">结果表!H107</f>
        <v>3626</v>
      </c>
    </row>
    <row r="14" spans="1:5" ht="15.6">
      <c r="B14" s="3183"/>
      <c r="C14" s="1392" t="s">
        <v>911</v>
      </c>
      <c r="D14" s="797" t="str">
        <f ca="1">NUMBERSTRING(INT(D13*10000),2)&amp;"元整"</f>
        <v>叁仟陆佰贰拾陆万元整</v>
      </c>
    </row>
    <row r="15" spans="1:5" ht="15.6">
      <c r="B15" s="3188"/>
      <c r="C15" s="1393" t="s">
        <v>921</v>
      </c>
      <c r="D15" s="806">
        <f ca="1">结果表!H108</f>
        <v>21063</v>
      </c>
    </row>
    <row r="16" spans="1:5" ht="15.6">
      <c r="B16" s="3189" t="str">
        <f>结果表!E109</f>
        <v>——</v>
      </c>
      <c r="C16" s="1397" t="s">
        <v>922</v>
      </c>
      <c r="D16" s="1398" t="str">
        <f>结果表!H109</f>
        <v>——</v>
      </c>
    </row>
    <row r="17" spans="1:5" ht="15.6">
      <c r="B17" s="3190"/>
      <c r="C17" s="1392" t="s">
        <v>923</v>
      </c>
      <c r="D17" s="797" t="e">
        <f>NUMBERSTRING(INT(D16*10000),2)&amp;"元整"</f>
        <v>#VALUE!</v>
      </c>
    </row>
    <row r="18" spans="1:5" ht="15.6">
      <c r="B18" s="3191"/>
      <c r="C18" s="1393" t="s">
        <v>912</v>
      </c>
      <c r="D18" s="806" t="str">
        <f>结果表!H110</f>
        <v>——</v>
      </c>
    </row>
    <row r="19" spans="1:5" ht="15.6">
      <c r="B19" s="3182" t="str">
        <f>结果表!E111</f>
        <v>——</v>
      </c>
      <c r="C19" s="1397" t="s">
        <v>910</v>
      </c>
      <c r="D19" s="798" t="str">
        <f>结果表!H111</f>
        <v>——</v>
      </c>
    </row>
    <row r="20" spans="1:5" ht="15.6">
      <c r="B20" s="3183"/>
      <c r="C20" s="1392" t="s">
        <v>923</v>
      </c>
      <c r="D20" s="797" t="e">
        <f>NUMBERSTRING(INT(D19*10000),2)&amp;"元整"</f>
        <v>#VALUE!</v>
      </c>
    </row>
    <row r="21" spans="1:5" ht="16.2" thickBot="1">
      <c r="B21" s="318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2" t="s">
        <v>3181</v>
      </c>
      <c r="B1" s="3482"/>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83" t="s">
        <v>3232</v>
      </c>
      <c r="B1" s="3483"/>
      <c r="C1" s="3483"/>
      <c r="D1" s="3483"/>
      <c r="E1" s="3483"/>
      <c r="F1" s="3484"/>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
  <sheetViews>
    <sheetView workbookViewId="0">
      <selection activeCell="N8" sqref="N8"/>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3447</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1322.4860000000001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7683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5763151</v>
      </c>
      <c r="D5" s="203" t="s">
        <v>1469</v>
      </c>
      <c r="E5" s="204" t="s">
        <v>1470</v>
      </c>
      <c r="F5" s="204" t="s">
        <v>1471</v>
      </c>
      <c r="G5" s="205"/>
    </row>
    <row r="6" spans="1:8" s="206" customFormat="1" ht="13.5" customHeight="1">
      <c r="A6" s="732" t="s">
        <v>1472</v>
      </c>
      <c r="B6" s="207" t="s">
        <v>1473</v>
      </c>
      <c r="C6" s="208">
        <f>ROUND(基准地价修正!D33*基准地价修正!C33,0)</f>
        <v>5258510</v>
      </c>
      <c r="D6" s="209"/>
      <c r="E6" s="210"/>
      <c r="F6" s="210"/>
      <c r="G6" s="211"/>
    </row>
    <row r="7" spans="1:8" s="206" customFormat="1" ht="13.5" customHeight="1">
      <c r="A7" s="732" t="s">
        <v>1474</v>
      </c>
      <c r="B7" s="207" t="s">
        <v>1475</v>
      </c>
      <c r="C7" s="212">
        <f>ROUND(C6*F7,0)</f>
        <v>160385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344256</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344256</v>
      </c>
      <c r="D10" s="795">
        <f ca="1">IF(B1="",'数据-汇总表'!E6,IF(INDIRECT("'数据-取费表'!c"&amp;$G$1)="住宅",INDIRECT("'数据-取费表'!s"&amp;$G$1),INDIRECT("'数据-取费表'!k"&amp;$G$1)+INDIRECT("'数据-取费表'!s"&amp;$G$1)))</f>
        <v>1721.28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1721.28</v>
      </c>
      <c r="E19" s="203">
        <f>'数据-取费表'!B31</f>
        <v>200</v>
      </c>
      <c r="F19" s="223"/>
      <c r="G19" s="1714" t="s">
        <v>3445</v>
      </c>
    </row>
    <row r="20" spans="1:7" s="206" customFormat="1" ht="13.5" customHeight="1">
      <c r="A20" s="247" t="s">
        <v>1574</v>
      </c>
      <c r="B20" s="202" t="s">
        <v>1575</v>
      </c>
      <c r="C20" s="224">
        <f ca="1">ROUND((C5+C19)*F20,0)</f>
        <v>115263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354434</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350976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3458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587841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587841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7380899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6790450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6024480</v>
      </c>
      <c r="D34" s="209"/>
      <c r="E34" s="212"/>
      <c r="F34" s="249"/>
      <c r="G34" s="211"/>
    </row>
    <row r="35" spans="1:7" ht="13.5" customHeight="1">
      <c r="A35" s="734" t="s">
        <v>351</v>
      </c>
      <c r="B35" s="207" t="s">
        <v>1527</v>
      </c>
      <c r="C35" s="212">
        <f ca="1">ROUND(C34*F35,0)</f>
        <v>301224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344256</v>
      </c>
      <c r="D37" s="209">
        <f ca="1">D19</f>
        <v>1721.28</v>
      </c>
      <c r="E37" s="241">
        <f>'数据-取费表'!B35</f>
        <v>200</v>
      </c>
      <c r="F37" s="251"/>
      <c r="G37" s="253"/>
    </row>
    <row r="38" spans="1:7" ht="13.5" customHeight="1">
      <c r="A38" s="734" t="s">
        <v>354</v>
      </c>
      <c r="B38" s="207" t="s">
        <v>1533</v>
      </c>
      <c r="C38" s="212">
        <f ca="1">ROUND(C34*F38,0)</f>
        <v>120490</v>
      </c>
      <c r="D38" s="212"/>
      <c r="E38" s="212"/>
      <c r="F38" s="251">
        <f>'数据-取费表'!B36</f>
        <v>0.02</v>
      </c>
      <c r="G38" s="211" t="s">
        <v>1528</v>
      </c>
    </row>
    <row r="39" spans="1:7" s="206" customFormat="1" ht="13.5" customHeight="1">
      <c r="A39" s="247" t="s">
        <v>1534</v>
      </c>
      <c r="B39" s="202" t="s">
        <v>1535</v>
      </c>
      <c r="C39" s="224">
        <f ca="1">ROUND(C33*F20,0)</f>
        <v>135809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207788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203714</v>
      </c>
      <c r="D42" s="230"/>
      <c r="E42" s="230"/>
      <c r="F42" s="231"/>
      <c r="G42" s="3465" t="s">
        <v>1591</v>
      </c>
    </row>
    <row r="43" spans="1:7" ht="13.5" customHeight="1">
      <c r="A43" s="734" t="s">
        <v>347</v>
      </c>
      <c r="B43" s="207" t="s">
        <v>1545</v>
      </c>
      <c r="C43" s="230">
        <f ca="1">ROUND(IF('数据-取费表'!B22&lt;=1,C39*F22*'数据-取费表'!B20/2,C39*(POWER((1+F22),'数据-取费表'!B20/2)-1)),0)</f>
        <v>4074</v>
      </c>
      <c r="D43" s="230"/>
      <c r="E43" s="230"/>
      <c r="F43" s="231"/>
      <c r="G43" s="3466"/>
    </row>
    <row r="44" spans="1:7" ht="13.5" customHeight="1">
      <c r="A44" s="734" t="s">
        <v>348</v>
      </c>
      <c r="B44" s="207" t="s">
        <v>1546</v>
      </c>
      <c r="C44" s="230">
        <f ca="1">ROUND(IF('数据-取费表'!B22&lt;=1,C40*F22*'数据-取费表'!B20/2,C40*(POWER((1+F22),'数据-取费表'!B20/2)-1)),4)</f>
        <v>5.9999999999999995E-4</v>
      </c>
      <c r="D44" s="230"/>
      <c r="E44" s="230"/>
      <c r="F44" s="231"/>
      <c r="G44" s="3467"/>
    </row>
    <row r="45" spans="1:7" s="206" customFormat="1" ht="13.5" customHeight="1">
      <c r="A45" s="247" t="s">
        <v>1547</v>
      </c>
      <c r="B45" s="236" t="s">
        <v>1513</v>
      </c>
      <c r="C45" s="237">
        <f ca="1">C46</f>
        <v>692626</v>
      </c>
      <c r="D45" s="227">
        <f ca="1">C47</f>
        <v>2E-3</v>
      </c>
      <c r="E45" s="228" t="s">
        <v>1539</v>
      </c>
      <c r="F45" s="238">
        <f ca="1">F27</f>
        <v>0.1</v>
      </c>
      <c r="G45" s="239" t="s">
        <v>1548</v>
      </c>
    </row>
    <row r="46" spans="1:7" s="206" customFormat="1" ht="13.5" customHeight="1">
      <c r="A46" s="734" t="s">
        <v>346</v>
      </c>
      <c r="B46" s="240" t="s">
        <v>1549</v>
      </c>
      <c r="C46" s="241">
        <f ca="1">ROUND((C33+C39)*F27,0)</f>
        <v>692626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8469509</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5843961</v>
      </c>
      <c r="D51" s="224"/>
      <c r="E51" s="224"/>
      <c r="F51" s="256"/>
      <c r="G51" s="226" t="s">
        <v>1560</v>
      </c>
    </row>
    <row r="52" spans="1:7" s="200" customFormat="1" ht="16.8" thickBot="1">
      <c r="A52" s="257" t="s">
        <v>1561</v>
      </c>
      <c r="B52" s="258"/>
      <c r="C52" s="259">
        <f ca="1">C31+C51</f>
        <v>13224860</v>
      </c>
      <c r="D52" s="258"/>
      <c r="E52" s="258"/>
      <c r="F52" s="258"/>
      <c r="G52" s="260"/>
    </row>
    <row r="55" spans="1:7" ht="15">
      <c r="B55" s="262" t="s">
        <v>1562</v>
      </c>
      <c r="C55" s="263"/>
    </row>
    <row r="56" spans="1:7">
      <c r="B56" s="265" t="s">
        <v>802</v>
      </c>
      <c r="C56" s="267">
        <f ca="1">1-C57</f>
        <v>0.55800000000000005</v>
      </c>
    </row>
    <row r="57" spans="1:7">
      <c r="B57" s="265" t="s">
        <v>803</v>
      </c>
      <c r="C57" s="266">
        <f ca="1">ROUND(C51/C52,3)</f>
        <v>0.442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 type="list" allowBlank="1" showInputMessage="1" showErrorMessage="1" sqref="B1" xr:uid="{00000000-0002-0000-2A00-000002000000}">
      <formula1>项目类型</formula1>
    </dataValidation>
    <dataValidation type="list" allowBlank="1" showInputMessage="1" showErrorMessage="1" sqref="G2" xr:uid="{00000000-0002-0000-2A00-000003000000}">
      <formula1>估价方法</formula1>
    </dataValidation>
    <dataValidation type="list" allowBlank="1" showInputMessage="1" showErrorMessage="1" sqref="D2" xr:uid="{00000000-0002-0000-2A00-000004000000}">
      <formula1>"需扣减承租人权益,——"</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zoomScaleNormal="80" zoomScaleSheetLayoutView="100" workbookViewId="0">
      <selection activeCell="K24" sqref="K2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1721.28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526</v>
      </c>
      <c r="C2" s="1846" t="s">
        <v>1935</v>
      </c>
      <c r="D2" s="162" t="s">
        <v>1936</v>
      </c>
      <c r="E2" s="3118" t="s">
        <v>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Ⅴ-上地核心</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5449</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3056</v>
      </c>
      <c r="C3" s="1846" t="s">
        <v>1941</v>
      </c>
      <c r="D3" s="162" t="s">
        <v>1942</v>
      </c>
      <c r="E3" s="3116" t="s">
        <v>2479</v>
      </c>
      <c r="F3" s="1848" t="s">
        <v>3443</v>
      </c>
      <c r="G3" s="708">
        <f>IF(F3="宗地容积率",'数据-汇总表'!I4,IF(F3="估价对象容积率",'数据-汇总表'!I6,'数据-汇总表'!I7))</f>
        <v>2.4900000000000002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4295</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92"/>
      <c r="B4" s="3493"/>
      <c r="C4" s="3493"/>
      <c r="D4" s="3494"/>
      <c r="E4" s="3494"/>
      <c r="F4" s="3494"/>
      <c r="G4" s="3494"/>
      <c r="H4" s="3494"/>
      <c r="I4" s="3494"/>
      <c r="J4" s="349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3630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4133</v>
      </c>
      <c r="D5" s="1252">
        <f>ROUND(C6*C17+C20,0)</f>
        <v>4133</v>
      </c>
      <c r="E5" s="1252"/>
      <c r="F5" s="1851"/>
      <c r="G5" s="1852"/>
      <c r="H5" s="1852"/>
      <c r="I5" s="1852"/>
      <c r="J5" s="1853"/>
      <c r="K5" s="1854"/>
      <c r="L5" s="1847" t="s">
        <v>1948</v>
      </c>
      <c r="M5" s="811">
        <f>SUMPRODUCT((区片价!B87:B126=I2)*(区片价!C3:G3=E2)*(区片价!C87:G126))</f>
        <v>4160</v>
      </c>
      <c r="N5" s="813">
        <f>SUMPRODUCT((因素修正幅度!B87:B126=I2)*(因素修正幅度!C3:G3=E2)*(因素修正幅度!C87:G126))</f>
        <v>0.1</v>
      </c>
      <c r="O5" s="1056"/>
      <c r="P5" s="1056"/>
      <c r="Q5" s="1056"/>
      <c r="R5" s="1129">
        <v>4</v>
      </c>
      <c r="S5" s="3061">
        <f>ROUND(SUMPRODUCT((B106:B110=R5)*(C105:N105=G2)*(C106:N110)),4)</f>
        <v>0.88239999999999996</v>
      </c>
      <c r="T5" s="3061">
        <f t="shared" si="0"/>
        <v>3202</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4160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3077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2.4900000000000002</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89" t="s">
        <v>1960</v>
      </c>
      <c r="X8" s="349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91"/>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96" t="s">
        <v>3254</v>
      </c>
      <c r="B20" s="159" t="s">
        <v>1994</v>
      </c>
      <c r="C20" s="3029">
        <f>ROUND(IF(F21="与级别开发程度一致",0,(G21-E21)/C21),0)</f>
        <v>-27</v>
      </c>
      <c r="D20" s="3044" t="s">
        <v>1998</v>
      </c>
      <c r="E20" s="3045"/>
      <c r="F20" s="3502" t="s">
        <v>1995</v>
      </c>
      <c r="G20" s="3503"/>
      <c r="H20" s="3030" t="s">
        <v>3516</v>
      </c>
      <c r="I20" s="3030" t="s">
        <v>3517</v>
      </c>
      <c r="J20" s="3031" t="s">
        <v>3518</v>
      </c>
      <c r="K20" s="1889" t="s">
        <v>3519</v>
      </c>
      <c r="L20" s="1889" t="s">
        <v>3520</v>
      </c>
      <c r="M20" s="1889" t="s">
        <v>3521</v>
      </c>
      <c r="N20" s="1889" t="s">
        <v>3522</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97"/>
      <c r="B21" s="2002" t="s">
        <v>1997</v>
      </c>
      <c r="C21" s="2003">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1994" t="s">
        <v>3515</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45866</v>
      </c>
      <c r="H23" s="3046" t="s">
        <v>3256</v>
      </c>
      <c r="I23" s="3047" t="str">
        <f>IF(H23="季度增幅（自定义）",SUMIF(N25:N28,E2,O25:O28),"")</f>
        <v/>
      </c>
      <c r="J23" s="3139" t="s">
        <v>3255</v>
      </c>
      <c r="K23" s="1061"/>
      <c r="L23" s="1897" t="s">
        <v>2004</v>
      </c>
      <c r="M23" s="1241">
        <f>ROUND(SUMIF(地价!B2:G2,E2,地价!B16:G16),0)</f>
        <v>318</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0.76729999999999998</v>
      </c>
      <c r="D24" s="1902" t="s">
        <v>2007</v>
      </c>
      <c r="E24" s="1248">
        <f>存贷款利率!E28/100</f>
        <v>4.3499999999999997E-2</v>
      </c>
      <c r="F24" s="1902" t="s">
        <v>1999</v>
      </c>
      <c r="G24" s="724">
        <f>SUMIF(M30:Q30,E2,M33:Q33)</f>
        <v>0.05</v>
      </c>
      <c r="H24" s="1902" t="s">
        <v>2008</v>
      </c>
      <c r="I24" s="725">
        <f>SUMIF('数据-取费表'!C6:C15,E2,'数据-取费表'!F6:F15)/COUNTIF('数据-取费表'!C6:C15,E2)</f>
        <v>24.7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0.84189999999999998</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0.84189999999999998</v>
      </c>
      <c r="E26" s="708">
        <f>ROUNDDOWN(G3,1)</f>
        <v>2.4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0.85260000000000002</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0.8407</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1.0505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526</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3055</v>
      </c>
      <c r="D33" s="1940">
        <f>'数据-汇总表'!E19</f>
        <v>1721.28</v>
      </c>
      <c r="E33" s="727">
        <f>ROUND(C33*D33/10000,0)</f>
        <v>526</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458</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0"/>
      <c r="B37" s="1955" t="s">
        <v>2036</v>
      </c>
      <c r="C37" s="167">
        <f>ROUND(D5*C22*C23*C24*C28*F37,0)</f>
        <v>2177</v>
      </c>
      <c r="D37" s="1940"/>
      <c r="E37" s="163">
        <f>ROUND(C37*D37/10000,0)</f>
        <v>0</v>
      </c>
      <c r="F37" s="163">
        <f>SUMIF(修正!A59:A70,G2,修正!B59:B70)</f>
        <v>0.6</v>
      </c>
      <c r="G37" s="163">
        <f>ROUND(IF(E2="工业",C37*$M$42,C37*$M$41),0)</f>
        <v>327</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1"/>
      <c r="B38" s="1884" t="s">
        <v>2037</v>
      </c>
      <c r="C38" s="167">
        <f>ROUND(D5*C22*C23*C24*C28*F38,0)</f>
        <v>1088</v>
      </c>
      <c r="D38" s="1940"/>
      <c r="E38" s="163">
        <f t="shared" ref="E38:E42" si="4">ROUND(C38*D38/10000,0)</f>
        <v>0</v>
      </c>
      <c r="F38" s="163">
        <f>SUMIF(修正!A59:A70,G2,修正!C59:C70)</f>
        <v>0.3</v>
      </c>
      <c r="G38" s="163">
        <f>ROUND(IF(E2="工业",C38*$M$42,C38*$M$41),0)</f>
        <v>163</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1"/>
      <c r="B39" s="1884" t="s">
        <v>3259</v>
      </c>
      <c r="C39" s="167">
        <f>ROUND(D5*C22*C23*C24*C28*F39,0)</f>
        <v>907</v>
      </c>
      <c r="D39" s="1940"/>
      <c r="E39" s="163">
        <f t="shared" si="4"/>
        <v>0</v>
      </c>
      <c r="F39" s="163">
        <f>SUMIF(修正!A59:A70,G2,修正!D59:D70)</f>
        <v>0.25</v>
      </c>
      <c r="G39" s="163">
        <f>ROUND(IF(E2="工业",C39*$M$42,C39*$M$41),0)</f>
        <v>136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907</v>
      </c>
      <c r="D40" s="1940"/>
      <c r="E40" s="163">
        <f t="shared" si="4"/>
        <v>0</v>
      </c>
      <c r="F40" s="167">
        <f>SUMIF(修正!A59:A70,G2,修正!E59:E70)</f>
        <v>0.25</v>
      </c>
      <c r="G40" s="163">
        <f>ROUND(IF(E2="工业",C40*$M$42,C40*$M$41),0)</f>
        <v>136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1.0505</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3438</v>
      </c>
      <c r="D83" s="1002">
        <f t="shared" ref="D83:D90" si="22">SUMIF($J$82:$N$82,C83,J83:N83)</f>
        <v>1.2999999999999999E-2</v>
      </c>
      <c r="E83" s="702">
        <f>ROUND(SUM(D83:D90),4)</f>
        <v>5.0500000000000003E-2</v>
      </c>
      <c r="F83" s="1675">
        <f>IF(E2="工业",SUMIF(L1:L12,G2,N1:N12),"——")</f>
        <v>0.1</v>
      </c>
      <c r="G83" s="1000">
        <v>1.2999999999999999E-2</v>
      </c>
      <c r="H83" s="1003">
        <f t="shared" ref="H83:H90" si="23">IFERROR(ROUNDDOWN($F$83*I83/2,4),"——")</f>
        <v>1.2999999999999999E-2</v>
      </c>
      <c r="I83" s="3066">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3438</v>
      </c>
      <c r="D84" s="1002">
        <f t="shared" si="22"/>
        <v>1.4999999999999999E-2</v>
      </c>
      <c r="E84" s="705"/>
      <c r="F84" s="1675"/>
      <c r="G84" s="1000">
        <v>1.4999999999999999E-2</v>
      </c>
      <c r="H84" s="1003">
        <f t="shared" si="23"/>
        <v>1.4999999999999999E-2</v>
      </c>
      <c r="I84" s="3066">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48">
      <c r="A85" s="3068" t="s">
        <v>3270</v>
      </c>
      <c r="B85" s="1262">
        <f>估价对象房地状况!G17</f>
        <v>0</v>
      </c>
      <c r="C85" s="1887" t="s">
        <v>3438</v>
      </c>
      <c r="D85" s="1002">
        <f t="shared" si="22"/>
        <v>5.0000000000000001E-3</v>
      </c>
      <c r="E85" s="705"/>
      <c r="F85" s="1675"/>
      <c r="G85" s="1000">
        <v>5.0000000000000001E-3</v>
      </c>
      <c r="H85" s="1003">
        <f t="shared" si="23"/>
        <v>5.0000000000000001E-3</v>
      </c>
      <c r="I85" s="3066">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3.8">
      <c r="A86" s="1970" t="s">
        <v>2067</v>
      </c>
      <c r="B86" s="1262">
        <f>估价对象房地状况!G22</f>
        <v>0</v>
      </c>
      <c r="C86" s="1887" t="s">
        <v>3439</v>
      </c>
      <c r="D86" s="1002">
        <f t="shared" si="22"/>
        <v>0</v>
      </c>
      <c r="E86" s="705"/>
      <c r="F86" s="1675"/>
      <c r="G86" s="1000">
        <v>2.5000000000000001E-3</v>
      </c>
      <c r="H86" s="1003">
        <f t="shared" si="23"/>
        <v>2.5000000000000001E-3</v>
      </c>
      <c r="I86" s="3066">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6.4">
      <c r="A87" s="1970" t="s">
        <v>2059</v>
      </c>
      <c r="B87" s="1240" t="str">
        <f>估价对象房地状况!G19</f>
        <v>估价对象所在区域公共配套设施齐备情况</v>
      </c>
      <c r="C87" s="1887" t="s">
        <v>3439</v>
      </c>
      <c r="D87" s="1002">
        <f t="shared" si="22"/>
        <v>0</v>
      </c>
      <c r="E87" s="705"/>
      <c r="F87" s="1675"/>
      <c r="G87" s="1000">
        <v>3.0000000000000001E-3</v>
      </c>
      <c r="H87" s="1003">
        <f t="shared" si="23"/>
        <v>3.0000000000000001E-3</v>
      </c>
      <c r="I87" s="3066">
        <v>0.06</v>
      </c>
      <c r="J87" s="1001">
        <f t="shared" si="24"/>
        <v>6.0000000000000001E-3</v>
      </c>
      <c r="K87" s="1001">
        <f t="shared" si="25"/>
        <v>3.0000000000000001E-3</v>
      </c>
      <c r="L87" s="1001">
        <v>0</v>
      </c>
      <c r="M87" s="1001">
        <f t="shared" si="26"/>
        <v>-3.0000000000000001E-3</v>
      </c>
      <c r="N87" s="1001">
        <f t="shared" si="26"/>
        <v>-6.0000000000000001E-3</v>
      </c>
    </row>
    <row r="88" spans="1:37" ht="26.4">
      <c r="A88" s="1970" t="s">
        <v>2060</v>
      </c>
      <c r="B88" s="1240" t="str">
        <f>估价对象房地状况!G20</f>
        <v>估价对象所在区域基础设施水平</v>
      </c>
      <c r="C88" s="1887" t="s">
        <v>3440</v>
      </c>
      <c r="D88" s="1002">
        <f t="shared" si="22"/>
        <v>1.2E-2</v>
      </c>
      <c r="E88" s="705"/>
      <c r="F88" s="1675"/>
      <c r="G88" s="1000">
        <v>6.0000000000000001E-3</v>
      </c>
      <c r="H88" s="1003">
        <f t="shared" si="23"/>
        <v>6.0000000000000001E-3</v>
      </c>
      <c r="I88" s="3066">
        <v>0.12</v>
      </c>
      <c r="J88" s="1001">
        <f t="shared" si="24"/>
        <v>1.2E-2</v>
      </c>
      <c r="K88" s="1001">
        <f t="shared" si="25"/>
        <v>6.0000000000000001E-3</v>
      </c>
      <c r="L88" s="1001">
        <v>0</v>
      </c>
      <c r="M88" s="1001">
        <f t="shared" si="26"/>
        <v>-6.0000000000000001E-3</v>
      </c>
      <c r="N88" s="1001">
        <f t="shared" si="26"/>
        <v>-1.2E-2</v>
      </c>
    </row>
    <row r="89" spans="1:37" ht="36">
      <c r="A89" s="1970" t="s">
        <v>2057</v>
      </c>
      <c r="B89" s="1975" t="s">
        <v>2071</v>
      </c>
      <c r="C89" s="1887" t="s">
        <v>3438</v>
      </c>
      <c r="D89" s="1002">
        <f t="shared" si="22"/>
        <v>3.0000000000000001E-3</v>
      </c>
      <c r="E89" s="705"/>
      <c r="F89" s="1675"/>
      <c r="G89" s="1000">
        <v>3.0000000000000001E-3</v>
      </c>
      <c r="H89" s="1003">
        <f t="shared" si="23"/>
        <v>3.0000000000000001E-3</v>
      </c>
      <c r="I89" s="3066">
        <v>0.06</v>
      </c>
      <c r="J89" s="1001">
        <f t="shared" si="24"/>
        <v>6.0000000000000001E-3</v>
      </c>
      <c r="K89" s="1001">
        <f t="shared" si="25"/>
        <v>3.0000000000000001E-3</v>
      </c>
      <c r="L89" s="1001">
        <v>0</v>
      </c>
      <c r="M89" s="1001">
        <f t="shared" si="26"/>
        <v>-3.0000000000000001E-3</v>
      </c>
      <c r="N89" s="1001">
        <f t="shared" si="26"/>
        <v>-6.0000000000000001E-3</v>
      </c>
    </row>
    <row r="90" spans="1:37" ht="40.200000000000003" thickBot="1">
      <c r="A90" s="1977" t="s">
        <v>2072</v>
      </c>
      <c r="B90" s="1982" t="str">
        <f>估价对象房地状况!G18</f>
        <v>该园区内是否有污染型企业，绿化情况，卫生条件，整体环境状况判断</v>
      </c>
      <c r="C90" s="1887" t="s">
        <v>3438</v>
      </c>
      <c r="D90" s="1002">
        <f t="shared" si="22"/>
        <v>2.5000000000000001E-3</v>
      </c>
      <c r="E90" s="706"/>
      <c r="F90" s="1675"/>
      <c r="G90" s="1000">
        <v>2.5000000000000001E-3</v>
      </c>
      <c r="H90" s="1003">
        <f t="shared" si="23"/>
        <v>2.5000000000000001E-3</v>
      </c>
      <c r="I90" s="3067">
        <v>0.05</v>
      </c>
      <c r="J90" s="1001">
        <f t="shared" si="24"/>
        <v>5.0000000000000001E-3</v>
      </c>
      <c r="K90" s="1001">
        <f t="shared" si="25"/>
        <v>2.5000000000000001E-3</v>
      </c>
      <c r="L90" s="1001">
        <v>0</v>
      </c>
      <c r="M90" s="1001">
        <f t="shared" si="26"/>
        <v>-2.5000000000000001E-3</v>
      </c>
      <c r="N90" s="1001">
        <f t="shared" si="26"/>
        <v>-5.0000000000000001E-3</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50" t="s">
        <v>3289</v>
      </c>
      <c r="K92" s="2150" t="s">
        <v>3290</v>
      </c>
      <c r="L92" s="2150" t="s">
        <v>3291</v>
      </c>
      <c r="M92" s="2150" t="s">
        <v>3292</v>
      </c>
      <c r="N92" s="2150"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98" t="s">
        <v>3294</v>
      </c>
      <c r="B103" s="3498"/>
      <c r="C103" s="3498"/>
      <c r="D103" s="3498"/>
      <c r="E103" s="3498"/>
      <c r="F103" s="3498"/>
      <c r="G103" s="3498"/>
      <c r="H103" s="3498"/>
      <c r="I103" s="3498"/>
      <c r="J103" s="3498"/>
      <c r="K103" s="1667"/>
      <c r="L103" s="1667"/>
      <c r="M103" s="1667"/>
      <c r="N103" s="1667"/>
    </row>
    <row r="104" spans="1:14">
      <c r="A104" s="3499" t="s">
        <v>3295</v>
      </c>
      <c r="B104" s="3499" t="s">
        <v>3296</v>
      </c>
      <c r="C104" s="3088" t="s">
        <v>3297</v>
      </c>
      <c r="D104" s="3089"/>
      <c r="E104" s="3089"/>
      <c r="F104" s="3089"/>
      <c r="G104" s="3089"/>
      <c r="H104" s="3089"/>
      <c r="I104" s="3089"/>
      <c r="J104" s="3090"/>
      <c r="K104" s="3091"/>
      <c r="L104" s="3091"/>
      <c r="M104" s="3091"/>
      <c r="N104" s="3091"/>
    </row>
    <row r="105" spans="1:14">
      <c r="A105" s="3499"/>
      <c r="B105" s="3499"/>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85"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6"/>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7"/>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8" t="s">
        <v>3311</v>
      </c>
      <c r="B113" s="3488"/>
      <c r="C113" s="3488"/>
      <c r="D113" s="3488"/>
      <c r="E113" s="3488"/>
      <c r="F113" s="3488"/>
      <c r="G113" s="3488"/>
      <c r="H113" s="3488"/>
      <c r="I113" s="3488"/>
      <c r="J113" s="3488"/>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2.4900000000000002</v>
      </c>
      <c r="C116" s="3097" t="s">
        <v>3313</v>
      </c>
      <c r="D116" s="3098">
        <f>SUMPRODUCT((A118:A122=F116)*(B117:M117=H116)*B118:M122)</f>
        <v>0.7157</v>
      </c>
      <c r="E116" s="162" t="s">
        <v>3314</v>
      </c>
      <c r="F116" s="3099" t="str">
        <f>E2</f>
        <v>工业</v>
      </c>
      <c r="G116" s="162" t="s">
        <v>3315</v>
      </c>
      <c r="H116" s="3099" t="str">
        <f>G2</f>
        <v>五级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0.96940000000000004</v>
      </c>
      <c r="C118" s="3087">
        <f>B118</f>
        <v>0.96940000000000004</v>
      </c>
      <c r="D118" s="3087">
        <f>ROUND(0.949-0.014*B116,4)</f>
        <v>0.91410000000000002</v>
      </c>
      <c r="E118" s="3087">
        <f>D118</f>
        <v>0.91410000000000002</v>
      </c>
      <c r="F118" s="3087">
        <f>E118</f>
        <v>0.91410000000000002</v>
      </c>
      <c r="G118" s="3087">
        <f>F118</f>
        <v>0.91410000000000002</v>
      </c>
      <c r="H118" s="3087">
        <f>G118</f>
        <v>0.91410000000000002</v>
      </c>
      <c r="I118" s="3087">
        <f>ROUND(0.8486-0.018*B116,4)</f>
        <v>0.80379999999999996</v>
      </c>
      <c r="J118" s="3087">
        <f t="shared" ref="J118:M122" si="35">I118</f>
        <v>0.80379999999999996</v>
      </c>
      <c r="K118" s="3087">
        <f t="shared" si="35"/>
        <v>0.80379999999999996</v>
      </c>
      <c r="L118" s="3087">
        <f t="shared" si="35"/>
        <v>0.80379999999999996</v>
      </c>
      <c r="M118" s="3107">
        <f t="shared" si="35"/>
        <v>0.80379999999999996</v>
      </c>
      <c r="N118" s="3095"/>
    </row>
    <row r="119" spans="1:14">
      <c r="A119" s="3055" t="s">
        <v>3329</v>
      </c>
      <c r="B119" s="3087">
        <f>ROUND(0.993-0.0112*B116,4)</f>
        <v>0.96509999999999996</v>
      </c>
      <c r="C119" s="3087">
        <f>B119</f>
        <v>0.96509999999999996</v>
      </c>
      <c r="D119" s="3087">
        <f>ROUND(0.9415-0.0142*B116,4)</f>
        <v>0.90610000000000002</v>
      </c>
      <c r="E119" s="3087">
        <f t="shared" ref="E119:H120" si="36">D119</f>
        <v>0.90610000000000002</v>
      </c>
      <c r="F119" s="3087">
        <f t="shared" si="36"/>
        <v>0.90610000000000002</v>
      </c>
      <c r="G119" s="3087">
        <f t="shared" si="36"/>
        <v>0.90610000000000002</v>
      </c>
      <c r="H119" s="3087">
        <f t="shared" si="36"/>
        <v>0.90610000000000002</v>
      </c>
      <c r="I119" s="3087">
        <f>ROUND(0.838-0.0182*B116,4)</f>
        <v>0.79269999999999996</v>
      </c>
      <c r="J119" s="3087">
        <f t="shared" si="35"/>
        <v>0.79269999999999996</v>
      </c>
      <c r="K119" s="3087">
        <f t="shared" si="35"/>
        <v>0.79269999999999996</v>
      </c>
      <c r="L119" s="3087">
        <f t="shared" si="35"/>
        <v>0.79269999999999996</v>
      </c>
      <c r="M119" s="3107">
        <f t="shared" si="35"/>
        <v>0.79269999999999996</v>
      </c>
      <c r="N119" s="3095"/>
    </row>
    <row r="120" spans="1:14">
      <c r="A120" s="3055" t="s">
        <v>3330</v>
      </c>
      <c r="B120" s="3087">
        <f>ROUND(0.9448-0.0115*B116,4)</f>
        <v>0.91620000000000001</v>
      </c>
      <c r="C120" s="3087">
        <f>B120</f>
        <v>0.91620000000000001</v>
      </c>
      <c r="D120" s="3087">
        <f>ROUND(0.937-0.0145*B116,4)</f>
        <v>0.90090000000000003</v>
      </c>
      <c r="E120" s="3087">
        <f t="shared" si="36"/>
        <v>0.90090000000000003</v>
      </c>
      <c r="F120" s="3087">
        <f t="shared" si="36"/>
        <v>0.90090000000000003</v>
      </c>
      <c r="G120" s="3087">
        <f t="shared" si="36"/>
        <v>0.90090000000000003</v>
      </c>
      <c r="H120" s="3087">
        <f t="shared" si="36"/>
        <v>0.90090000000000003</v>
      </c>
      <c r="I120" s="3087">
        <f>ROUND(0.7965-0.0185*B116,4)</f>
        <v>0.75039999999999996</v>
      </c>
      <c r="J120" s="3087">
        <f t="shared" si="35"/>
        <v>0.75039999999999996</v>
      </c>
      <c r="K120" s="3087">
        <f t="shared" si="35"/>
        <v>0.75039999999999996</v>
      </c>
      <c r="L120" s="3087">
        <f t="shared" si="35"/>
        <v>0.75039999999999996</v>
      </c>
      <c r="M120" s="3107">
        <f t="shared" si="35"/>
        <v>0.75039999999999996</v>
      </c>
      <c r="N120" s="3095"/>
    </row>
    <row r="121" spans="1:14" ht="13.8" thickBot="1">
      <c r="A121" s="3108" t="s">
        <v>3331</v>
      </c>
      <c r="B121" s="3109">
        <f>ROUND(0.7836-0.012*B116,4)</f>
        <v>0.75370000000000004</v>
      </c>
      <c r="C121" s="3109">
        <f>B121</f>
        <v>0.75370000000000004</v>
      </c>
      <c r="D121" s="3109">
        <f>ROUND(0.753-0.015*B116,4)</f>
        <v>0.7157</v>
      </c>
      <c r="E121" s="3109">
        <f>D121</f>
        <v>0.7157</v>
      </c>
      <c r="F121" s="3109">
        <f>E121</f>
        <v>0.7157</v>
      </c>
      <c r="G121" s="3109">
        <f>ROUND(0.6612-0.018*B116,4)</f>
        <v>0.61639999999999995</v>
      </c>
      <c r="H121" s="3109">
        <f>G121</f>
        <v>0.61639999999999995</v>
      </c>
      <c r="I121" s="3109">
        <f>ROUND(0.5905-0.019*B116,4)</f>
        <v>0.54320000000000002</v>
      </c>
      <c r="J121" s="3109">
        <f t="shared" si="35"/>
        <v>0.54320000000000002</v>
      </c>
      <c r="K121" s="3109">
        <f t="shared" si="35"/>
        <v>0.54320000000000002</v>
      </c>
      <c r="L121" s="3109">
        <f t="shared" si="35"/>
        <v>0.54320000000000002</v>
      </c>
      <c r="M121" s="3110">
        <f t="shared" si="35"/>
        <v>0.54320000000000002</v>
      </c>
      <c r="N121" s="3095"/>
    </row>
    <row r="122" spans="1:14">
      <c r="A122" s="3111" t="s">
        <v>2612</v>
      </c>
      <c r="B122" s="3087">
        <f>ROUND(0.9404-0.0106*B116,4)</f>
        <v>0.91400000000000003</v>
      </c>
      <c r="C122" s="3087">
        <f>B122</f>
        <v>0.91400000000000003</v>
      </c>
      <c r="D122" s="3087">
        <f>ROUND(0.8955-0.0135*B116,4)</f>
        <v>0.8619</v>
      </c>
      <c r="E122" s="3087">
        <f t="shared" ref="E122:H122" si="37">D122</f>
        <v>0.8619</v>
      </c>
      <c r="F122" s="3087">
        <f t="shared" si="37"/>
        <v>0.8619</v>
      </c>
      <c r="G122" s="3087">
        <f t="shared" si="37"/>
        <v>0.8619</v>
      </c>
      <c r="H122" s="3087">
        <f t="shared" si="37"/>
        <v>0.8619</v>
      </c>
      <c r="I122" s="3087">
        <f>ROUND(0.7632-0.0166*B116,4)</f>
        <v>0.72189999999999999</v>
      </c>
      <c r="J122" s="3087">
        <f t="shared" si="35"/>
        <v>0.72189999999999999</v>
      </c>
      <c r="K122" s="3087">
        <f t="shared" si="35"/>
        <v>0.72189999999999999</v>
      </c>
      <c r="L122" s="3087">
        <f t="shared" si="35"/>
        <v>0.72189999999999999</v>
      </c>
      <c r="M122" s="3107">
        <f t="shared" si="35"/>
        <v>0.72189999999999999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B00-000000000000}">
      <formula1>"500米范围内,500-1000米,1000米以外"</formula1>
    </dataValidation>
    <dataValidation type="list" allowBlank="1" showInputMessage="1" showErrorMessage="1" sqref="C15:D15" xr:uid="{00000000-0002-0000-2B00-000001000000}">
      <formula1>"有,无"</formula1>
    </dataValidation>
    <dataValidation type="list" allowBlank="1" showInputMessage="1" showErrorMessage="1" sqref="B25" xr:uid="{00000000-0002-0000-2B00-000002000000}">
      <formula1>"容积率修正,楼层修正"</formula1>
    </dataValidation>
    <dataValidation type="list" allowBlank="1" showInputMessage="1" showErrorMessage="1" sqref="F21" xr:uid="{00000000-0002-0000-2B00-000003000000}">
      <formula1>"与级别开发程度一致,与级别开发程度不一致"</formula1>
    </dataValidation>
    <dataValidation type="list" allowBlank="1" showInputMessage="1" showErrorMessage="1" sqref="F3" xr:uid="{00000000-0002-0000-2B00-000004000000}">
      <formula1>"宗地容积率,估价对象容积率,自定义容积率"</formula1>
    </dataValidation>
    <dataValidation type="list" allowBlank="1" showInputMessage="1" showErrorMessage="1" sqref="C8" xr:uid="{00000000-0002-0000-2B00-000005000000}">
      <formula1>商业街名称</formula1>
    </dataValidation>
    <dataValidation type="list" allowBlank="1" showInputMessage="1" showErrorMessage="1" sqref="E3" xr:uid="{00000000-0002-0000-2B00-000006000000}">
      <formula1>INDIRECT(E2)</formula1>
    </dataValidation>
    <dataValidation type="list" allowBlank="1" showInputMessage="1" showErrorMessage="1" sqref="C61:C69 C72:C80 C50:C58 C83:C91 C93:C101" xr:uid="{00000000-0002-0000-2B00-000007000000}">
      <formula1>五等判定</formula1>
    </dataValidation>
    <dataValidation type="list" allowBlank="1" showInputMessage="1" showErrorMessage="1" sqref="H23" xr:uid="{00000000-0002-0000-2B00-000008000000}">
      <formula1>"地价指数,季度增幅（自定义）,按公示增长率计算"</formula1>
    </dataValidation>
    <dataValidation type="list" allowBlank="1" showInputMessage="1" showErrorMessage="1" sqref="H20:O20" xr:uid="{00000000-0002-0000-2B00-000009000000}">
      <formula1>七通一平</formula1>
    </dataValidation>
    <dataValidation type="list" allowBlank="1" showInputMessage="1" showErrorMessage="1" sqref="J23" xr:uid="{00000000-0002-0000-2B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B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45866</v>
      </c>
      <c r="B1" s="2927" t="s">
        <v>3378</v>
      </c>
      <c r="C1" s="2928"/>
      <c r="D1" s="2928"/>
      <c r="E1" s="2928"/>
      <c r="F1" s="2928"/>
      <c r="G1" s="2928"/>
      <c r="H1" s="2928"/>
      <c r="I1" s="2928"/>
      <c r="J1" s="2894"/>
      <c r="K1" s="2928" t="s">
        <v>454</v>
      </c>
      <c r="L1" s="2928"/>
      <c r="M1" s="2928"/>
      <c r="N1" s="2928"/>
      <c r="O1" s="2928"/>
      <c r="P1" s="2928"/>
      <c r="Q1" s="2894"/>
      <c r="R1" s="3504" t="s">
        <v>456</v>
      </c>
      <c r="S1" s="3505"/>
      <c r="T1" s="3505"/>
      <c r="U1" s="3505"/>
      <c r="V1" s="3505"/>
      <c r="W1" s="3505"/>
      <c r="X1" s="2894"/>
      <c r="Y1" s="3504" t="s">
        <v>457</v>
      </c>
      <c r="Z1" s="3505"/>
      <c r="AA1" s="3505"/>
      <c r="AB1" s="3505"/>
      <c r="AC1" s="3505"/>
      <c r="AD1" s="3505"/>
    </row>
    <row r="2" spans="1:44" s="2010" customFormat="1" ht="1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3404</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5" customFormat="1" ht="13.2">
      <c r="A6" s="2040" t="s">
        <v>3403</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5" customFormat="1" ht="13.2">
      <c r="A9" s="2040" t="s">
        <v>3409</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5" customFormat="1" ht="13.2">
      <c r="A11" s="2903" t="s">
        <v>3376</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5" customFormat="1" ht="13.2">
      <c r="A12" s="2903" t="s">
        <v>3375</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5" customFormat="1" ht="13.2">
      <c r="A13" s="2903" t="s">
        <v>3371</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5" customFormat="1" ht="13.2">
      <c r="A14" s="2903" t="s">
        <v>3370</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5" customFormat="1" ht="13.2">
      <c r="A15" s="2903" t="s">
        <v>3368</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5" customFormat="1" ht="13.2">
      <c r="A16" s="2903" t="s">
        <v>3367</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5" customFormat="1" ht="13.2">
      <c r="A17" s="2903" t="s">
        <v>3366</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5" customFormat="1" ht="13.2">
      <c r="A18" s="2903" t="s">
        <v>3364</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5" customFormat="1" ht="13.2">
      <c r="A19" s="2903" t="s">
        <v>3355</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5" customFormat="1" ht="13.2">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5" customFormat="1" ht="13.2">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5" customFormat="1" ht="13.2">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5" customFormat="1" ht="13.2">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3381</v>
      </c>
    </row>
    <row r="27" spans="1:44">
      <c r="I27" s="1405" t="s">
        <v>2825</v>
      </c>
    </row>
    <row r="29" spans="1:44" s="2009" customFormat="1" ht="13.2">
      <c r="B29" s="2927" t="s">
        <v>3379</v>
      </c>
      <c r="C29" s="2928"/>
      <c r="D29" s="2928"/>
      <c r="E29" s="2928"/>
      <c r="F29" s="2928"/>
      <c r="G29" s="2928"/>
      <c r="H29" s="2928"/>
      <c r="I29" s="2928"/>
      <c r="J29" s="2894"/>
      <c r="K29" s="2928" t="s">
        <v>2826</v>
      </c>
      <c r="L29" s="2928"/>
      <c r="M29" s="2928"/>
      <c r="N29" s="2928"/>
      <c r="O29" s="2928"/>
      <c r="P29" s="2928"/>
      <c r="Q29" s="2894"/>
      <c r="R29" s="3504" t="s">
        <v>2827</v>
      </c>
      <c r="S29" s="3505"/>
      <c r="T29" s="3505"/>
      <c r="U29" s="3505"/>
      <c r="V29" s="3505"/>
      <c r="W29" s="3505"/>
      <c r="X29" s="2894"/>
      <c r="Y29" s="3504" t="s">
        <v>2828</v>
      </c>
      <c r="Z29" s="3505"/>
      <c r="AA29" s="3505"/>
      <c r="AB29" s="3505"/>
      <c r="AC29" s="3505"/>
      <c r="AD29" s="3505"/>
    </row>
    <row r="30" spans="1:44" s="2010" customFormat="1" ht="1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3404</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5" customFormat="1" ht="13.2">
      <c r="A34" s="2040" t="s">
        <v>3403</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5" customFormat="1" ht="13.2">
      <c r="A37" s="2040" t="s">
        <v>3409</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5" customFormat="1" ht="13.2">
      <c r="A38" s="2040" t="s">
        <v>3373</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5" customFormat="1" ht="13.2">
      <c r="A39" s="2903" t="s">
        <v>3377</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5" customFormat="1" ht="13.2">
      <c r="A40" s="2903" t="s">
        <v>3374</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5" customFormat="1" ht="13.2">
      <c r="A41" s="2903" t="s">
        <v>3372</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5" customFormat="1" ht="13.2">
      <c r="A42" s="2903" t="s">
        <v>3370</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5" customFormat="1" ht="13.2">
      <c r="A43" s="2903" t="s">
        <v>3369</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5" customFormat="1" ht="13.2">
      <c r="A44" s="2903" t="s">
        <v>3367</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5" customFormat="1" ht="13.2">
      <c r="A45" s="2903" t="s">
        <v>3366</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5" customFormat="1" ht="13.2">
      <c r="A46" s="2903" t="s">
        <v>3365</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5" customFormat="1" ht="13.2">
      <c r="A47" s="2903" t="s">
        <v>3355</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5" customFormat="1" ht="13.2">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5" customFormat="1" ht="13.2">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5" customFormat="1" ht="13.2">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5" customFormat="1" ht="13.2">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7" t="s">
        <v>2839</v>
      </c>
      <c r="B1" s="3517"/>
      <c r="C1" s="3517"/>
      <c r="D1" s="3517"/>
      <c r="E1" s="3517"/>
      <c r="F1" s="3517"/>
      <c r="G1" s="3518"/>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5"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6"/>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6">
      <c r="A3" s="3194"/>
      <c r="B3" s="3194"/>
      <c r="C3" s="3194"/>
      <c r="D3" s="801" t="s">
        <v>925</v>
      </c>
      <c r="E3" s="801" t="s">
        <v>931</v>
      </c>
      <c r="F3" s="801" t="s">
        <v>925</v>
      </c>
      <c r="G3" s="801" t="s">
        <v>926</v>
      </c>
      <c r="H3" s="801" t="s">
        <v>925</v>
      </c>
      <c r="I3" s="801" t="s">
        <v>926</v>
      </c>
    </row>
    <row r="4" spans="1:9" ht="60">
      <c r="A4" s="1403" t="str">
        <f>项目基本情况!S2</f>
        <v>北京市海淀区上地信息路1号（北京实创高科技发展总公司1-1号）01-1幢4层A栋4层房地产</v>
      </c>
      <c r="B4" s="801">
        <f>项目基本情况!C17</f>
        <v>1721.28</v>
      </c>
      <c r="C4" s="801">
        <f>项目基本情况!C18</f>
        <v>690.56</v>
      </c>
      <c r="D4" s="801">
        <f ca="1">结果表!D118</f>
        <v>2813</v>
      </c>
      <c r="E4" s="801">
        <f ca="1">结果表!E118</f>
        <v>16345</v>
      </c>
      <c r="F4" s="801">
        <f ca="1">结果表!F118</f>
        <v>812</v>
      </c>
      <c r="G4" s="801">
        <f ca="1">结果表!G118</f>
        <v>4718</v>
      </c>
      <c r="H4" s="801">
        <f ca="1">结果表!H118</f>
        <v>3626</v>
      </c>
      <c r="I4" s="801">
        <f ca="1">结果表!I118</f>
        <v>21063</v>
      </c>
    </row>
    <row r="5" spans="1:9" ht="30" customHeight="1">
      <c r="A5" s="3194" t="s">
        <v>927</v>
      </c>
      <c r="B5" s="3194"/>
      <c r="C5" s="3194"/>
      <c r="D5" s="3194" t="str">
        <f ca="1">结果表!D119</f>
        <v>贰仟捌佰壹拾叁万元整</v>
      </c>
      <c r="E5" s="3194"/>
      <c r="F5" s="3194" t="str">
        <f ca="1">结果表!F119</f>
        <v>捌佰壹拾贰万元整</v>
      </c>
      <c r="G5" s="3194"/>
      <c r="H5" s="3194" t="str">
        <f ca="1">结果表!H119</f>
        <v>叁仟陆佰贰拾陆万元整</v>
      </c>
      <c r="I5" s="3194"/>
    </row>
    <row r="6" spans="1:9" ht="15.6">
      <c r="A6" s="3195" t="str">
        <f>结果表!A120</f>
        <v>估价师知悉的法定优先受偿款</v>
      </c>
      <c r="B6" s="3195"/>
      <c r="C6" s="3195"/>
      <c r="D6" s="3195">
        <f>结果表!D120</f>
        <v>0</v>
      </c>
      <c r="E6" s="3195"/>
      <c r="F6" s="3195"/>
      <c r="G6" s="3195"/>
      <c r="H6" s="3195"/>
      <c r="I6" s="3195"/>
    </row>
    <row r="7" spans="1:9" ht="15">
      <c r="A7" s="3194" t="s">
        <v>927</v>
      </c>
      <c r="B7" s="3194"/>
      <c r="C7" s="3194"/>
      <c r="D7" s="3196" t="str">
        <f>结果表!D121</f>
        <v>零元整</v>
      </c>
      <c r="E7" s="3197"/>
      <c r="F7" s="3197"/>
      <c r="G7" s="3197"/>
      <c r="H7" s="3197"/>
      <c r="I7" s="3198"/>
    </row>
    <row r="8" spans="1:9" ht="15.6">
      <c r="A8" s="3195" t="str">
        <f>结果表!A122</f>
        <v>房地产抵押价值</v>
      </c>
      <c r="B8" s="3195"/>
      <c r="C8" s="3195"/>
      <c r="D8" s="3195">
        <f ca="1">结果表!D122</f>
        <v>3626</v>
      </c>
      <c r="E8" s="3195"/>
      <c r="F8" s="3195"/>
      <c r="G8" s="3195"/>
      <c r="H8" s="3195"/>
      <c r="I8" s="3195"/>
    </row>
    <row r="9" spans="1:9" ht="15">
      <c r="A9" s="3194" t="s">
        <v>927</v>
      </c>
      <c r="B9" s="3194"/>
      <c r="C9" s="3194"/>
      <c r="D9" s="3194" t="str">
        <f ca="1">结果表!D123</f>
        <v>叁仟陆佰贰拾陆万元整</v>
      </c>
      <c r="E9" s="3194"/>
      <c r="F9" s="3194"/>
      <c r="G9" s="3194"/>
      <c r="H9" s="3194"/>
      <c r="I9" s="3194"/>
    </row>
    <row r="10" spans="1:9" ht="15.6">
      <c r="A10" s="3195" t="str">
        <f>结果表!A124</f>
        <v/>
      </c>
      <c r="B10" s="3195"/>
      <c r="C10" s="3195"/>
      <c r="D10" s="3195" t="str">
        <f>结果表!D124</f>
        <v>——</v>
      </c>
      <c r="E10" s="3195"/>
      <c r="F10" s="3195"/>
      <c r="G10" s="3195"/>
      <c r="H10" s="3195"/>
      <c r="I10" s="3195"/>
    </row>
    <row r="11" spans="1:9" ht="15">
      <c r="A11" s="3194" t="s">
        <v>927</v>
      </c>
      <c r="B11" s="3194"/>
      <c r="C11" s="3194"/>
      <c r="D11" s="3194" t="e">
        <f>结果表!D125</f>
        <v>#VALUE!</v>
      </c>
      <c r="E11" s="3194"/>
      <c r="F11" s="3194"/>
      <c r="G11" s="3194"/>
      <c r="H11" s="3194"/>
      <c r="I11" s="3194"/>
    </row>
    <row r="12" spans="1:9" ht="15.6">
      <c r="A12" s="3195" t="str">
        <f>结果表!A126</f>
        <v/>
      </c>
      <c r="B12" s="3195"/>
      <c r="C12" s="3195"/>
      <c r="D12" s="3195" t="str">
        <f>结果表!D126</f>
        <v>——</v>
      </c>
      <c r="E12" s="3195"/>
      <c r="F12" s="3195"/>
      <c r="G12" s="3195"/>
      <c r="H12" s="3195"/>
      <c r="I12" s="3195"/>
    </row>
    <row r="13" spans="1:9" ht="15.6" thickBot="1">
      <c r="A13" s="3199" t="s">
        <v>927</v>
      </c>
      <c r="B13" s="3199"/>
      <c r="C13" s="3199"/>
      <c r="D13" s="3199" t="e">
        <f>结果表!D127</f>
        <v>#VALUE!</v>
      </c>
      <c r="E13" s="3199"/>
      <c r="F13" s="3199"/>
      <c r="G13" s="3199"/>
      <c r="H13" s="3199"/>
      <c r="I13" s="3199"/>
    </row>
    <row r="14" spans="1:9" ht="14.4" thickTop="1">
      <c r="A14" s="3200" t="s">
        <v>932</v>
      </c>
      <c r="B14" s="3200"/>
      <c r="C14" s="3200"/>
      <c r="D14" s="3200"/>
      <c r="E14" s="3200"/>
      <c r="F14" s="3200"/>
      <c r="G14" s="3200"/>
      <c r="H14" s="3200"/>
      <c r="I14" s="320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1" t="s">
        <v>949</v>
      </c>
      <c r="B1" s="3201"/>
      <c r="C1" s="3201"/>
      <c r="D1" s="3201"/>
    </row>
    <row r="2" spans="1:4" ht="17.399999999999999">
      <c r="A2" s="3202" t="s">
        <v>933</v>
      </c>
      <c r="B2" s="3202"/>
      <c r="C2" s="3202"/>
      <c r="D2" s="3202"/>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02" t="s">
        <v>939</v>
      </c>
      <c r="B6" s="3202"/>
      <c r="C6" s="3202"/>
      <c r="D6" s="320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3"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5" t="s">
        <v>956</v>
      </c>
      <c r="B15" s="3210" t="s">
        <v>109</v>
      </c>
      <c r="C15" s="3211"/>
    </row>
    <row r="16" spans="1:7" ht="14.4">
      <c r="A16" s="3216"/>
      <c r="B16" s="3210" t="s">
        <v>42</v>
      </c>
      <c r="C16" s="3211"/>
    </row>
    <row r="17" spans="1:3" ht="14.4">
      <c r="A17" s="3216"/>
      <c r="B17" s="3213" t="s">
        <v>957</v>
      </c>
      <c r="C17" s="1429" t="s">
        <v>956</v>
      </c>
    </row>
    <row r="18" spans="1:3" ht="14.4">
      <c r="A18" s="3216"/>
      <c r="B18" s="3213"/>
      <c r="C18" s="1429" t="s">
        <v>958</v>
      </c>
    </row>
    <row r="19" spans="1:3" ht="14.4">
      <c r="A19" s="3216"/>
      <c r="B19" s="3213"/>
      <c r="C19" s="1429" t="s">
        <v>959</v>
      </c>
    </row>
    <row r="20" spans="1:3" ht="14.4">
      <c r="A20" s="3217"/>
      <c r="B20" s="3212" t="s">
        <v>960</v>
      </c>
      <c r="C20" s="3211"/>
    </row>
    <row r="21" spans="1:3" ht="14.4">
      <c r="A21" s="1430" t="s">
        <v>961</v>
      </c>
      <c r="B21" s="1431"/>
      <c r="C21" s="1432"/>
    </row>
    <row r="22" spans="1:3" ht="14.4">
      <c r="A22" s="3214" t="s">
        <v>962</v>
      </c>
      <c r="B22" s="3212" t="s">
        <v>963</v>
      </c>
      <c r="C22" s="3211"/>
    </row>
    <row r="23" spans="1:3" ht="14.4">
      <c r="A23" s="3214"/>
      <c r="B23" s="3212" t="s">
        <v>964</v>
      </c>
      <c r="C23" s="3211"/>
    </row>
    <row r="24" spans="1:3" ht="14.4">
      <c r="A24" s="3214"/>
      <c r="B24" s="3212" t="s">
        <v>965</v>
      </c>
      <c r="C24" s="3211"/>
    </row>
    <row r="25" spans="1:3" ht="14.4">
      <c r="A25" s="3214"/>
      <c r="B25" s="3213" t="s">
        <v>966</v>
      </c>
      <c r="C25" s="1429" t="s">
        <v>967</v>
      </c>
    </row>
    <row r="26" spans="1:3" ht="14.4">
      <c r="A26" s="3214"/>
      <c r="B26" s="3213"/>
      <c r="C26" s="1429" t="s">
        <v>968</v>
      </c>
    </row>
    <row r="27" spans="1:3" ht="14.4">
      <c r="A27" s="3214"/>
      <c r="B27" s="3213"/>
      <c r="C27" s="1429" t="s">
        <v>969</v>
      </c>
    </row>
    <row r="28" spans="1:3" ht="14.4">
      <c r="A28" s="3214"/>
      <c r="B28" s="3213"/>
      <c r="C28" s="1429" t="s">
        <v>970</v>
      </c>
    </row>
    <row r="29" spans="1:3" ht="14.4">
      <c r="A29" s="3214"/>
      <c r="B29" s="3213"/>
      <c r="C29" s="1429" t="s">
        <v>971</v>
      </c>
    </row>
    <row r="30" spans="1:3" ht="14.4">
      <c r="A30" s="3214"/>
      <c r="B30" s="3213"/>
      <c r="C30" s="1429" t="s">
        <v>972</v>
      </c>
    </row>
    <row r="31" spans="1:3" ht="14.4">
      <c r="A31" s="3214"/>
      <c r="B31" s="3213"/>
      <c r="C31" s="1429" t="s">
        <v>973</v>
      </c>
    </row>
    <row r="32" spans="1:3" ht="14.4">
      <c r="A32" s="3214"/>
      <c r="B32" s="3213"/>
      <c r="C32" s="1429" t="s">
        <v>974</v>
      </c>
    </row>
    <row r="33" spans="1:3" ht="14.4">
      <c r="A33" s="3214"/>
      <c r="B33" s="321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45867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60"/>
      <c r="E18" s="3220" t="s">
        <v>2162</v>
      </c>
      <c r="F18" s="3219"/>
      <c r="G18" s="321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常用公式</vt:lpstr>
      <vt:lpstr>数据-基础表</vt:lpstr>
      <vt:lpstr>数据-汇总表</vt:lpstr>
      <vt:lpstr>数据-取费表</vt:lpstr>
      <vt:lpstr>估价对象房地状况</vt:lpstr>
      <vt:lpstr>系统读取表</vt:lpstr>
      <vt:lpstr>结果表</vt:lpstr>
      <vt:lpstr>假设开发法</vt:lpstr>
      <vt:lpstr>比较法-工业</vt:lpstr>
      <vt:lpstr>收益法</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成本法</vt:lpstr>
      <vt:lpstr>收益法 (元)</vt:lpstr>
      <vt:lpstr>租金案例</vt:lpstr>
      <vt:lpstr>售价案例-</vt:lpstr>
      <vt:lpstr>修正</vt:lpstr>
      <vt:lpstr>容积率修正</vt:lpstr>
      <vt:lpstr>成本法（废）</vt:lpstr>
      <vt:lpstr>因素修正幅度</vt:lpstr>
      <vt:lpstr>区片价（范围）</vt:lpstr>
      <vt:lpstr>Sheet1</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2025-07-29T05:45:14Z</dcterms:modified>
</cp:coreProperties>
</file>