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45" windowWidth="14100" windowHeight="1255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G15" i="74" l="1"/>
  <c r="I15" i="74" l="1"/>
  <c r="C14" i="74" l="1"/>
  <c r="B14" i="74"/>
  <c r="B5" i="77"/>
  <c r="B4" i="77"/>
  <c r="D42" i="43" l="1"/>
  <c r="D37" i="43"/>
  <c r="U6" i="43"/>
  <c r="U5" i="43"/>
  <c r="U4" i="43"/>
  <c r="U3" i="43"/>
  <c r="U2" i="43"/>
  <c r="L14" i="1"/>
  <c r="G19" i="6"/>
  <c r="C88" i="9"/>
  <c r="AY3" i="3"/>
  <c r="K13" i="3"/>
  <c r="I13" i="3"/>
  <c r="I4" i="80" l="1"/>
  <c r="H4" i="80" l="1"/>
  <c r="F6" i="80"/>
  <c r="F5" i="80"/>
  <c r="H14" i="80"/>
  <c r="H12" i="80"/>
  <c r="H13" i="80"/>
  <c r="H11" i="80"/>
  <c r="G13" i="80"/>
  <c r="Y6" i="1"/>
  <c r="N14" i="1"/>
  <c r="N6" i="1"/>
  <c r="C25" i="80"/>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C23" i="77" l="1"/>
  <c r="D15" i="77"/>
  <c r="D18" i="77"/>
  <c r="D17" i="77"/>
  <c r="D16" i="77"/>
  <c r="D10" i="77"/>
  <c r="D9"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26" i="77"/>
  <c r="D32" i="77"/>
  <c r="AB11" i="71"/>
  <c r="AA11" i="71"/>
  <c r="Y11" i="71"/>
  <c r="Z11" i="71" s="1"/>
  <c r="X11"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M9" i="67"/>
  <c r="F16" i="15"/>
  <c r="D5" i="73"/>
  <c r="C76" i="15"/>
  <c r="F8" i="67"/>
  <c r="F43" i="15"/>
  <c r="C76" i="67"/>
  <c r="F7" i="15"/>
  <c r="F8" i="15"/>
  <c r="B7" i="76"/>
  <c r="D4" i="73"/>
  <c r="M28" i="15"/>
  <c r="M29" i="15"/>
  <c r="E7" i="76"/>
  <c r="M28" i="67"/>
  <c r="F9" i="15"/>
  <c r="M8" i="15"/>
  <c r="D7" i="73"/>
  <c r="F42" i="67"/>
  <c r="M23" i="67"/>
  <c r="F36" i="67"/>
  <c r="D6" i="73"/>
  <c r="F7" i="67"/>
  <c r="E12" i="76"/>
  <c r="F37" i="67"/>
  <c r="F5" i="73"/>
  <c r="M22" i="67"/>
  <c r="F26" i="15"/>
  <c r="E2" i="69"/>
  <c r="F9" i="67"/>
  <c r="B9" i="76"/>
  <c r="L47" i="67"/>
  <c r="F26" i="67"/>
  <c r="E10" i="76"/>
  <c r="F38" i="67"/>
  <c r="F4" i="73"/>
  <c r="E11" i="76"/>
  <c r="M6" i="67"/>
  <c r="M26" i="15"/>
  <c r="F6" i="67"/>
  <c r="M24" i="15"/>
  <c r="M9" i="15"/>
  <c r="F13" i="15"/>
  <c r="M8" i="67"/>
  <c r="F36" i="15"/>
  <c r="F20" i="31"/>
  <c r="L48" i="15"/>
  <c r="M26" i="67"/>
  <c r="E2" i="68"/>
  <c r="M29" i="67"/>
  <c r="F13" i="67"/>
  <c r="F16" i="67"/>
  <c r="L48" i="67"/>
  <c r="AO13" i="1"/>
  <c r="E8" i="76"/>
  <c r="J15" i="15"/>
  <c r="F43" i="67"/>
  <c r="F40" i="67"/>
  <c r="L47" i="15"/>
  <c r="M24" i="67"/>
  <c r="F40" i="15"/>
  <c r="F42" i="15"/>
  <c r="J15" i="67"/>
  <c r="F6" i="15"/>
  <c r="E13" i="76"/>
  <c r="E9" i="76"/>
  <c r="F3" i="73"/>
  <c r="M22" i="15"/>
  <c r="F38" i="15"/>
  <c r="F6" i="73"/>
  <c r="B13" i="76"/>
  <c r="F37" i="15"/>
  <c r="F7" i="73"/>
  <c r="B12" i="76"/>
  <c r="M23" i="15"/>
  <c r="B10" i="76"/>
  <c r="D3" i="73"/>
  <c r="B11" i="76"/>
  <c r="M6" i="15"/>
  <c r="C35" i="77" l="1"/>
  <c r="C34" i="77"/>
  <c r="F11" i="1"/>
  <c r="G11" i="1" s="1"/>
  <c r="G44"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1" i="68"/>
  <c r="C40" i="69"/>
  <c r="D68" i="9"/>
  <c r="M18" i="15"/>
  <c r="F30" i="69"/>
  <c r="F48" i="69" s="1"/>
  <c r="M18" i="67"/>
  <c r="F31" i="12"/>
  <c r="F30" i="11"/>
  <c r="C48" i="11" s="1"/>
  <c r="G6" i="1"/>
  <c r="G16" i="1" s="1"/>
  <c r="F10" i="39" s="1"/>
  <c r="I24" i="43"/>
  <c r="G28" i="6"/>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C16" i="67"/>
  <c r="G1" i="73"/>
  <c r="C16" i="15"/>
  <c r="D35" i="77" l="1"/>
  <c r="E35" i="77"/>
  <c r="D34" i="77"/>
  <c r="E34" i="77"/>
  <c r="E38" i="77"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D38" i="77" l="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C36" i="77" l="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D10" i="68"/>
  <c r="C14" i="67"/>
  <c r="C17" i="15"/>
  <c r="F36" i="77" l="1"/>
  <c r="D39" i="77"/>
  <c r="E39" i="77"/>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C6" i="68"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34" i="68"/>
  <c r="C14" i="15"/>
  <c r="B3" i="43" l="1"/>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39" i="68"/>
  <c r="C46" i="68" s="1"/>
  <c r="C45" i="68" s="1"/>
  <c r="C91" i="9"/>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7" i="77" l="1"/>
  <c r="C26" i="77" s="1"/>
  <c r="C32" i="77" s="1"/>
  <c r="C38" i="77" s="1"/>
  <c r="C39" i="77" s="1"/>
  <c r="C40" i="77" s="1"/>
  <c r="E11" i="77"/>
  <c r="E7" i="77" s="1"/>
  <c r="C27" i="77" s="1"/>
  <c r="C25" i="68"/>
  <c r="C22" i="68" s="1"/>
  <c r="C31" i="68" s="1"/>
  <c r="C43" i="68"/>
  <c r="C94" i="9"/>
  <c r="C92"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 i="77" l="1"/>
  <c r="B3" i="77" s="1"/>
  <c r="C41" i="77"/>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67"/>
  <c r="B3" i="68"/>
  <c r="C20" i="9"/>
  <c r="D2" i="21"/>
  <c r="D34" i="9"/>
  <c r="C21" i="9" l="1"/>
  <c r="C102"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7"/>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11" i="1"/>
  <c r="D19" i="9"/>
  <c r="AO10" i="1"/>
  <c r="AO9" i="1"/>
  <c r="AO6" i="1"/>
  <c r="AO12"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D14" i="74" s="1"/>
  <c r="B5" i="74" l="1"/>
  <c r="D5" i="74" s="1"/>
  <c r="F14" i="74"/>
  <c r="C104" i="9"/>
  <c r="G118" i="9"/>
  <c r="G4" i="52" s="1"/>
  <c r="B52" i="72" s="1"/>
  <c r="F119" i="9"/>
  <c r="F5" i="52" s="1"/>
  <c r="B53" i="72" s="1"/>
  <c r="D4" i="52"/>
  <c r="B47" i="72" s="1"/>
  <c r="H4" i="52"/>
  <c r="H101" i="9"/>
  <c r="I118" i="9"/>
  <c r="H119" i="9"/>
  <c r="H5" i="52" s="1"/>
  <c r="B1" i="74" l="1"/>
  <c r="E14" i="74"/>
  <c r="D45" i="9"/>
  <c r="M48" i="9"/>
  <c r="D5" i="53"/>
  <c r="H107" i="9"/>
  <c r="I4" i="52"/>
  <c r="H102" i="9"/>
  <c r="C105" i="9"/>
  <c r="E118" i="9"/>
  <c r="E4" i="52" s="1"/>
  <c r="B48" i="72" s="1"/>
  <c r="B20" i="72" l="1"/>
  <c r="D6" i="53"/>
  <c r="B22" i="72" s="1"/>
  <c r="D53" i="9"/>
  <c r="D48" i="9" s="1"/>
  <c r="M52" i="9" s="1"/>
  <c r="C93" i="9"/>
  <c r="C86" i="9" s="1"/>
  <c r="C85" i="9"/>
  <c r="D52" i="9"/>
  <c r="C78" i="9"/>
  <c r="C73" i="9" s="1"/>
  <c r="D55" i="9"/>
  <c r="M53" i="9" s="1"/>
  <c r="C72" i="9"/>
  <c r="C64" i="9"/>
  <c r="C63" i="9" s="1"/>
  <c r="C67" i="9" s="1"/>
  <c r="D7" i="53"/>
  <c r="B21" i="72" s="1"/>
  <c r="C5" i="74"/>
  <c r="D13" i="53"/>
  <c r="D122" i="9"/>
  <c r="G14" i="74" s="1"/>
  <c r="B6" i="74" s="1"/>
  <c r="D6" i="74" s="1"/>
  <c r="M49" i="9"/>
  <c r="H108" i="9"/>
  <c r="C79" i="9" l="1"/>
  <c r="C95" i="9"/>
  <c r="L67" i="9"/>
  <c r="M67" i="9" s="1"/>
  <c r="L64" i="9"/>
  <c r="M64" i="9" s="1"/>
  <c r="L65" i="9"/>
  <c r="M65" i="9" s="1"/>
  <c r="L66" i="9"/>
  <c r="M66" i="9" s="1"/>
  <c r="L63" i="9"/>
  <c r="M63" i="9" s="1"/>
  <c r="L68" i="9"/>
  <c r="M68" i="9" s="1"/>
  <c r="B30" i="72"/>
  <c r="D14" i="53"/>
  <c r="B32" i="72" s="1"/>
  <c r="C80" i="9"/>
  <c r="E80" i="9" s="1"/>
  <c r="E81" i="9" s="1"/>
  <c r="C96" i="9"/>
  <c r="E96" i="9" s="1"/>
  <c r="E97" i="9" s="1"/>
  <c r="D15" i="53"/>
  <c r="B31" i="72" s="1"/>
  <c r="C6" i="74"/>
  <c r="D8" i="52"/>
  <c r="D123" i="9"/>
  <c r="D9" i="52" s="1"/>
  <c r="D59" i="9"/>
  <c r="M55" i="9" s="1"/>
  <c r="C68" i="9"/>
  <c r="D54" i="9" s="1"/>
  <c r="C97" i="9" l="1"/>
  <c r="D58" i="9" s="1"/>
  <c r="D56" i="9" s="1"/>
  <c r="M54" i="9" s="1"/>
  <c r="N57" i="9" s="1"/>
  <c r="C81" i="9"/>
  <c r="M69" i="9"/>
  <c r="N69" i="9" s="1"/>
  <c r="N58" i="9" l="1"/>
  <c r="P57" i="9"/>
  <c r="N59" i="9"/>
  <c r="H111" i="9" s="1"/>
  <c r="D126" i="9" l="1"/>
  <c r="I14" i="74" s="1"/>
  <c r="B8" i="74" s="1"/>
  <c r="D8" i="74" s="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<sst xmlns="http://schemas.openxmlformats.org/spreadsheetml/2006/main" count="7875" uniqueCount="3471">
  <si>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</si>
  <si>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</si>
  <si>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</si>
  <si>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</si>
  <si>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</si>
  <si>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</si>
  <si>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</si>
  <si>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</si>
  <si>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</si>
  <si>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</si>
  <si>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</si>
  <si>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</si>
  <si>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</si>
  <si>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</si>
  <si>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</si>
  <si>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</si>
  <si>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</si>
  <si>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</si>
  <si>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</si>
  <si>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</si>
  <si>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</si>
  <si>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</si>
  <si>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</si>
  <si>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</si>
  <si>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</si>
  <si>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</si>
  <si>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</si>
  <si>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</si>
  <si>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</si>
  <si>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</si>
  <si>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</si>
  <si>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</si>
  <si>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</si>
  <si>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</si>
  <si>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</si>
  <si>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</si>
  <si>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</si>
  <si>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</si>
  <si>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</si>
  <si>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</si>
  <si>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</si>
  <si>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</si>
  <si>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</si>
  <si>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</si>
  <si>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</si>
  <si>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</si>
  <si>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</si>
  <si>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</si>
  <si>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</si>
  <si>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</si>
  <si>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</si>
  <si>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</si>
  <si>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</si>
  <si>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</si>
  <si>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</si>
  <si>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</si>
  <si>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</si>
  <si>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</si>
  <si>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</si>
  <si>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</si>
  <si>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</si>
  <si>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</si>
  <si>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</si>
  <si>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</si>
  <si>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</si>
  <si>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</si>
  <si>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</si>
  <si>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</si>
  <si>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</si>
  <si>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</si>
  <si>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</si>
  <si>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</si>
  <si>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</si>
  <si>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</si>
  <si>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</si>
  <si>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</si>
  <si>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</si>
  <si>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</si>
  <si>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</si>
  <si>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</si>
  <si>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</si>
  <si>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</si>
  <si>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</si>
  <si>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</si>
  <si>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</si>
  <si>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</si>
  <si>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</si>
  <si>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</si>
  <si>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</si>
  <si>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</si>
  <si>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</si>
  <si>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</si>
  <si>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</si>
  <si>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</si>
  <si>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</si>
  <si>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</si>
  <si>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</si>
  <si>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</si>
  <si>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</si>
  <si>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</si>
  <si>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</si>
  <si>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</si>
  <si>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</si>
  <si>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</si>
  <si>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</si>
  <si>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</si>
  <si>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</si>
  <si>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</si>
  <si>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</si>
  <si>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</si>
  <si>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</si>
  <si>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</si>
  <si>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</si>
  <si>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</si>
  <si>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</si>
  <si>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</si>
  <si>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</si>
  <si>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</si>
  <si>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</si>
  <si>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</si>
  <si>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</si>
  <si>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</si>
  <si>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</si>
  <si>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</si>
  <si>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</si>
  <si>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</si>
  <si>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</si>
  <si>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</si>
  <si>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</si>
  <si>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</si>
  <si>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</si>
  <si>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</si>
  <si>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</si>
  <si>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</si>
  <si>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</si>
  <si>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</si>
  <si>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</si>
  <si>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</si>
  <si>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</si>
  <si>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</si>
  <si>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</si>
  <si>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</si>
  <si>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</si>
  <si>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</si>
  <si>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</si>
  <si>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</si>
  <si>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</si>
  <si>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</si>
  <si>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</si>
  <si>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</si>
  <si>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</si>
  <si>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</si>
  <si>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</si>
  <si>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</si>
  <si>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</si>
  <si>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</si>
  <si>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</si>
  <si>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</si>
  <si>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</si>
  <si>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</si>
  <si>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</si>
  <si>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</si>
  <si>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</si>
  <si>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</si>
  <si>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</si>
  <si>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</si>
  <si>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</si>
  <si>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</si>
  <si>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</si>
  <si>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</si>
  <si>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</si>
  <si>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</si>
  <si>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</si>
  <si>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</si>
  <si>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</si>
  <si>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</si>
  <si>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</si>
  <si>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</si>
  <si>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</si>
  <si>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</si>
  <si>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</si>
  <si>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</si>
  <si>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</si>
  <si>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</si>
  <si>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</si>
  <si>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</si>
  <si>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</si>
  <si>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</si>
  <si>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</si>
  <si>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</si>
  <si>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</si>
  <si>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</si>
  <si>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</si>
  <si>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</si>
  <si>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</si>
  <si>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</si>
  <si>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</si>
  <si>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</si>
  <si>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</si>
  <si>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</si>
  <si>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</si>
  <si>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</si>
  <si>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</si>
  <si>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</si>
  <si>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</si>
  <si>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</si>
  <si>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</si>
  <si>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</si>
  <si>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</si>
  <si>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</si>
  <si>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</si>
  <si>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</si>
  <si>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</si>
  <si>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</si>
  <si>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</si>
  <si>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</si>
  <si>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</si>
  <si>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</si>
  <si>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</si>
  <si>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</si>
  <si>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</si>
  <si>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</si>
  <si>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</si>
  <si>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</si>
  <si>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</si>
  <si>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</si>
  <si>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</si>
  <si>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</si>
  <si>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</si>
  <si>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</si>
  <si>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</si>
  <si>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</si>
  <si>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</si>
  <si>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</si>
  <si>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</si>
  <si>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</si>
  <si>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</si>
  <si>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</si>
  <si>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</si>
  <si>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</si>
  <si>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</si>
  <si>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</si>
  <si>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</si>
  <si>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</si>
  <si>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</si>
  <si>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</si>
  <si>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</si>
  <si>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</si>
  <si>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</si>
  <si>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</si>
  <si>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</si>
  <si>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</si>
  <si>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</si>
  <si>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</si>
  <si>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</si>
  <si>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</si>
  <si>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</si>
  <si>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</si>
  <si>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</si>
  <si>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</si>
  <si>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</si>
  <si>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</si>
  <si>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</si>
  <si>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</si>
  <si>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</si>
  <si>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</si>
  <si>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</si>
  <si>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</si>
  <si>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</si>
  <si>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</si>
  <si>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</si>
  <si>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</si>
  <si>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</si>
  <si>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</si>
  <si>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</si>
  <si>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</si>
  <si>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</si>
  <si>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</si>
  <si>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</si>
  <si>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</si>
  <si>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</si>
  <si>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</si>
  <si>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</si>
  <si>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</si>
  <si>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</si>
  <si>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</si>
  <si>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</si>
  <si>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</si>
  <si>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</si>
  <si>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</si>
  <si>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</si>
  <si>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</si>
  <si>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</si>
  <si>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</si>
  <si>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</si>
  <si>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</si>
  <si>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</si>
  <si>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</si>
  <si>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</si>
  <si>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</si>
  <si>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</si>
  <si>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</si>
  <si>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</si>
  <si>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</si>
  <si>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</si>
  <si>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</si>
  <si>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</si>
  <si>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</si>
  <si>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</si>
  <si>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</si>
  <si>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</si>
  <si>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</si>
  <si>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</si>
  <si>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</si>
  <si>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</si>
  <si>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</si>
  <si>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</si>
  <si>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</si>
  <si>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</si>
  <si>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</si>
  <si>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</si>
  <si>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</si>
  <si>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</si>
  <si>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</si>
  <si>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</si>
  <si>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</si>
  <si>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</si>
  <si>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</si>
  <si>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</si>
  <si>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</si>
  <si>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</si>
  <si>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</si>
  <si>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</si>
  <si>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</si>
  <si>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</si>
  <si>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</si>
  <si>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</si>
  <si>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</si>
  <si>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</si>
  <si>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</si>
  <si>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</si>
  <si>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</si>
  <si>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</si>
  <si>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</si>
  <si>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</si>
  <si>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</si>
  <si>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</si>
  <si>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</si>
  <si>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</si>
  <si>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</si>
  <si>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</si>
  <si>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</si>
  <si>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</si>
  <si>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</si>
  <si>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</si>
  <si>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</si>
  <si>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</si>
  <si>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</si>
  <si>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</si>
  <si>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</si>
  <si>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</si>
  <si>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</si>
  <si>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</si>
  <si>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</si>
  <si>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</si>
  <si>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</si>
  <si>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</si>
  <si>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</si>
  <si>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</si>
  <si>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</si>
  <si>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</si>
  <si>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</si>
  <si>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</si>
  <si>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</si>
  <si>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</si>
  <si>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</si>
  <si>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</si>
  <si>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</si>
  <si>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</si>
  <si>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</si>
  <si>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</si>
  <si>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</si>
  <si>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</si>
  <si>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</si>
  <si>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</si>
  <si>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</si>
  <si>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</si>
  <si>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</si>
  <si>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</si>
  <si>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</si>
  <si>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</si>
  <si>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</si>
  <si>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</si>
  <si>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</si>
  <si>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</si>
  <si>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</si>
  <si>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</si>
  <si>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</si>
  <si>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</si>
  <si>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</si>
  <si>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</si>
  <si>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</si>
  <si>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</si>
  <si>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</si>
  <si>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</si>
  <si>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</si>
  <si>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</si>
  <si>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</si>
  <si>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</si>
  <si>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</si>
  <si>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</si>
  <si>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</si>
  <si>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</si>
  <si>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</si>
  <si>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</si>
  <si>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</si>
  <si>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</si>
  <si>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</si>
  <si>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</si>
  <si>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</si>
  <si>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</si>
  <si>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</si>
  <si>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</si>
  <si>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</si>
  <si>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</si>
  <si>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</si>
  <si>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</si>
  <si>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</si>
  <si>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</si>
  <si>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</si>
  <si>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</si>
  <si>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</si>
  <si>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</si>
  <si>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</si>
  <si>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</si>
  <si>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</si>
  <si>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</si>
  <si>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</si>
  <si>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</si>
  <si>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</si>
  <si>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</si>
  <si>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</si>
  <si>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</si>
  <si>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</si>
  <si>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</si>
  <si>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</si>
  <si>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</si>
  <si>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</si>
  <si>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</si>
  <si>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</si>
  <si>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</si>
  <si>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</si>
  <si>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</si>
  <si>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</si>
  <si>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</si>
  <si>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</si>
  <si>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</si>
  <si>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</si>
  <si>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</si>
  <si>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</si>
  <si>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</si>
  <si>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</si>
  <si>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</si>
  <si>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</si>
  <si>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</si>
  <si>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</si>
  <si>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</si>
  <si>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</si>
  <si>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</si>
  <si>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</si>
  <si>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</si>
  <si>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</si>
  <si>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</si>
  <si>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</si>
  <si>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</si>
  <si>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</si>
  <si>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</si>
  <si>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</si>
  <si>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</si>
  <si>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</si>
  <si>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</si>
  <si>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</si>
  <si>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</si>
  <si>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</si>
  <si>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</si>
  <si>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</si>
  <si>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</si>
  <si>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</si>
  <si>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</si>
  <si>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</si>
  <si>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</si>
  <si>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</si>
  <si>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</si>
  <si>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</si>
  <si>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</si>
  <si>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</si>
  <si>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</si>
  <si>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</si>
  <si>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</si>
  <si>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</si>
  <si>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</si>
  <si>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</si>
  <si>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</si>
  <si>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</si>
  <si>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</si>
  <si>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</si>
  <si>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</si>
  <si>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</si>
  <si>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</si>
  <si>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</si>
  <si>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</si>
  <si>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</si>
  <si>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</si>
  <si>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</si>
  <si>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</si>
  <si>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</si>
  <si>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</si>
  <si>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</si>
  <si>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</si>
  <si>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</si>
  <si>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</si>
  <si>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</si>
  <si>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</si>
  <si>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</si>
  <si>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</si>
  <si>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</si>
  <si>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</si>
  <si>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</si>
  <si>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</si>
  <si>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</si>
  <si>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</si>
  <si>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</si>
  <si>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</si>
  <si>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</si>
  <si>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</si>
  <si>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</si>
  <si>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</si>
  <si>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</si>
  <si>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</si>
  <si>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</si>
  <si>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</si>
  <si>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</si>
  <si>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</si>
  <si>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</si>
  <si>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</si>
  <si>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</si>
  <si>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</si>
  <si>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</si>
  <si>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</si>
  <si>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</si>
  <si>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</si>
  <si>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</si>
  <si>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</si>
  <si>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</si>
  <si>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</si>
  <si>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</si>
  <si>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</si>
  <si>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</si>
  <si>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</si>
  <si>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</si>
  <si>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</si>
  <si>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</si>
  <si>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</si>
  <si>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</si>
  <si>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</si>
  <si>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</si>
  <si>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</si>
  <si>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</si>
  <si>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</si>
  <si>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</si>
  <si>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</si>
  <si>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</si>
  <si>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</si>
  <si>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</si>
  <si>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</si>
  <si>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</si>
  <si>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</si>
  <si>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</si>
  <si>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</si>
  <si>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</si>
  <si>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</si>
  <si>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</si>
  <si>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</si>
  <si>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</si>
  <si>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</si>
  <si>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</si>
  <si>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</si>
  <si>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</si>
  <si>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</si>
  <si>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</si>
  <si>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</si>
  <si>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</si>
  <si>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</si>
  <si>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</si>
  <si>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</si>
  <si>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</si>
  <si>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</si>
  <si>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</si>
  <si>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</si>
  <si>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</si>
  <si>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</si>
  <si>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</si>
  <si>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</si>
  <si>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</si>
  <si>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</si>
  <si>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</si>
  <si>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</si>
  <si>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</si>
  <si>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</si>
  <si>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</si>
  <si>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</si>
  <si>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</si>
  <si>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</si>
  <si>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</si>
  <si>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</si>
  <si>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</si>
  <si>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</si>
  <si>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</si>
  <si>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</si>
  <si>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</si>
  <si>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</si>
  <si>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</si>
  <si>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</si>
  <si>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</si>
  <si>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</si>
  <si>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</si>
  <si>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</si>
  <si>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</si>
  <si>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</si>
  <si>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</si>
  <si>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</si>
  <si>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</si>
  <si>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</si>
  <si>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</si>
  <si>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</si>
  <si>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</si>
  <si>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</si>
  <si>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</si>
  <si>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</si>
  <si>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</si>
  <si>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</si>
  <si>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</si>
  <si>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</si>
  <si>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</si>
  <si>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</si>
  <si>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</si>
  <si>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</si>
  <si>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</si>
  <si>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</si>
  <si>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</si>
  <si>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</si>
  <si>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</si>
  <si>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</si>
  <si>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</si>
  <si>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</si>
  <si>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</si>
  <si>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</si>
  <si>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</si>
  <si>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</si>
  <si>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</si>
  <si>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</si>
  <si>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</si>
  <si>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</si>
  <si>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</si>
  <si>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</si>
  <si>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</si>
  <si>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</si>
  <si>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</si>
  <si>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</si>
  <si>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</si>
  <si>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</si>
  <si>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</si>
  <si>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</si>
  <si>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</si>
  <si>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</si>
  <si>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</si>
  <si>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</si>
  <si>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</si>
  <si>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</si>
  <si>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</si>
  <si>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</si>
  <si>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</si>
  <si>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</si>
  <si>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</si>
  <si>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</si>
  <si>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</si>
  <si>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</si>
  <si>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</si>
  <si>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</si>
  <si>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</si>
  <si>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</si>
  <si>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</si>
  <si>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</si>
  <si>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</si>
  <si>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</si>
  <si>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</si>
  <si>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</si>
  <si>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</si>
  <si>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</si>
  <si>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</si>
  <si>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</si>
  <si>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</si>
  <si>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</si>
  <si>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</si>
  <si>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</si>
  <si>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</si>
  <si>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</si>
  <si>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</si>
  <si>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</si>
  <si>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</si>
  <si>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</si>
  <si>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</si>
  <si>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</si>
  <si>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</si>
  <si>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</si>
  <si>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</si>
  <si>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</si>
  <si>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</si>
  <si>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</si>
  <si>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</si>
  <si>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</si>
  <si>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</si>
  <si>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</si>
  <si>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</si>
  <si>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</si>
  <si>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</si>
  <si>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</si>
  <si>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</si>
  <si>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</si>
  <si>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</si>
  <si>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</si>
  <si>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</si>
  <si>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</si>
  <si>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</si>
  <si>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</si>
  <si>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</si>
  <si>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</si>
  <si>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</si>
  <si>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</si>
  <si>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</si>
  <si>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</si>
  <si>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</si>
  <si>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</si>
  <si>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</si>
  <si>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</si>
  <si>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</si>
  <si>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</si>
  <si>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</si>
  <si>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</si>
  <si>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</si>
  <si>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</si>
  <si>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</si>
  <si>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</si>
  <si>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</si>
  <si>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</si>
  <si>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</si>
  <si>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</si>
  <si>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</si>
  <si>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</si>
  <si>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</si>
  <si>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</si>
  <si>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</si>
  <si>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</si>
  <si>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</si>
  <si>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</si>
  <si>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</si>
  <si>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</si>
  <si>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</si>
  <si>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</si>
  <si>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</si>
  <si>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</si>
  <si>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</si>
  <si>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</si>
  <si>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</si>
  <si>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</si>
  <si>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</si>
  <si>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</si>
  <si>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</si>
  <si>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</si>
  <si>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</si>
  <si>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</si>
  <si>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</si>
  <si>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</si>
  <si>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</si>
  <si>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</si>
  <si>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</si>
  <si>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</si>
  <si>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</si>
  <si>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</si>
  <si>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</si>
  <si>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</si>
  <si>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</si>
  <si>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</si>
  <si>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</si>
  <si>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</si>
  <si>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</si>
  <si>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</si>
  <si>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</si>
  <si>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</si>
  <si>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</si>
  <si>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</si>
  <si>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</si>
  <si>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</si>
  <si>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</si>
  <si>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</si>
  <si>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</si>
  <si>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</si>
  <si>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</si>
  <si>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</si>
  <si>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</si>
  <si>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</si>
  <si>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</si>
  <si>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</si>
  <si>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</si>
  <si>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</si>
  <si>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</si>
  <si>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</si>
  <si>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</si>
  <si>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</si>
  <si>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</si>
  <si>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</si>
  <si>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</si>
  <si>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</si>
  <si>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</si>
  <si>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</si>
  <si>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</si>
  <si>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</si>
  <si>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</si>
  <si>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</si>
  <si>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</si>
  <si>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</si>
  <si>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</si>
  <si>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</si>
  <si>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</si>
  <si>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</si>
  <si>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</si>
  <si>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</si>
  <si>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</si>
  <si>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</si>
  <si>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</si>
  <si>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</si>
  <si>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</si>
  <si>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</si>
  <si>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</si>
  <si>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</si>
  <si>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</si>
  <si>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</si>
  <si>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</si>
  <si>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</si>
  <si>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</si>
  <si>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</si>
  <si>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</si>
  <si>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</si>
  <si>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</si>
  <si>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</si>
  <si>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</si>
  <si>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</si>
  <si>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</si>
  <si>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</si>
  <si>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</si>
  <si>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</si>
  <si>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</si>
  <si>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</si>
  <si>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</si>
  <si>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</si>
  <si>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</si>
  <si>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</si>
  <si>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</si>
  <si>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</si>
  <si>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</si>
  <si>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</si>
  <si>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</si>
  <si>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</si>
  <si>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</si>
  <si>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</si>
  <si>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</si>
  <si>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</si>
  <si>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</si>
  <si>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</si>
  <si>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</si>
  <si>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</si>
  <si>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</si>
  <si>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</si>
  <si>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</si>
  <si>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</si>
  <si>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</si>
  <si>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</si>
  <si>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</si>
  <si>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</si>
  <si>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</si>
  <si>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</si>
  <si>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</si>
  <si>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</si>
  <si>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</si>
  <si>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</si>
  <si>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</si>
  <si>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</si>
  <si>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</si>
  <si>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</si>
  <si>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</si>
  <si>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</si>
  <si>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</si>
  <si>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</si>
  <si>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</si>
  <si>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</si>
  <si>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</si>
  <si>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</si>
  <si>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</si>
  <si>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</si>
  <si>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</si>
  <si>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</si>
  <si>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</si>
  <si>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</si>
  <si>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</si>
  <si>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</si>
  <si>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</si>
  <si>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</si>
  <si>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</si>
  <si>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</si>
  <si>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</si>
  <si>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</si>
  <si>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</si>
  <si>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</si>
  <si>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</si>
  <si>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</si>
  <si>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</si>
  <si>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</si>
  <si>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</si>
  <si>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</si>
  <si>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</si>
  <si>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</si>
  <si>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</si>
  <si>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</si>
  <si>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</si>
  <si>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</si>
  <si>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</si>
  <si>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</si>
  <si>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</si>
  <si>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</si>
  <si>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</si>
  <si>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</si>
  <si>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</si>
  <si>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</si>
  <si>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</si>
  <si>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</si>
  <si>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</si>
  <si>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</si>
  <si>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</si>
  <si>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</si>
  <si>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</si>
  <si>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</si>
  <si>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</si>
  <si>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</si>
  <si>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</si>
  <si>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</si>
  <si>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</si>
  <si>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</si>
  <si>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</si>
  <si>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</si>
  <si>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</si>
  <si>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</si>
  <si>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</si>
  <si>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</si>
  <si>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</si>
  <si>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</si>
  <si>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</si>
  <si>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</si>
  <si>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</si>
  <si>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</si>
  <si>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</si>
  <si>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</si>
  <si>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</si>
  <si>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</si>
  <si>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</si>
  <si>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</si>
  <si>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</si>
  <si>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</si>
  <si>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</si>
  <si>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</si>
  <si>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</si>
  <si>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</si>
  <si>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</si>
  <si>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</si>
  <si>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</si>
  <si>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</si>
  <si>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</si>
  <si>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</si>
  <si>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</si>
  <si>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</si>
  <si>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</si>
  <si>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</si>
  <si>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</si>
  <si>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</si>
  <si>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</si>
  <si>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</si>
  <si>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</si>
  <si>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</si>
  <si>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</si>
  <si>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</si>
  <si>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</si>
  <si>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</si>
  <si>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</si>
  <si>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</si>
  <si>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</si>
  <si>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</si>
  <si>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</si>
  <si>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</si>
  <si>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</si>
  <si>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</si>
  <si>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</si>
  <si>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</si>
  <si>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</si>
  <si>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</si>
  <si>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</si>
  <si>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</si>
  <si>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</si>
  <si>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</si>
  <si>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</si>
  <si>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</si>
  <si>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</si>
  <si>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</si>
  <si>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</si>
  <si>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</si>
  <si>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</si>
  <si>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</si>
  <si>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</si>
  <si>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</si>
  <si>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</si>
  <si>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</si>
  <si>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</si>
  <si>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</si>
  <si>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</si>
  <si>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</si>
  <si>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</si>
  <si>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</si>
  <si>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</si>
  <si>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</si>
  <si>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</si>
  <si>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</si>
  <si>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</si>
  <si>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</si>
  <si>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</si>
  <si>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</si>
  <si>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</si>
  <si>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</si>
  <si>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</si>
  <si>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</si>
  <si>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</si>
  <si>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</si>
  <si>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</si>
  <si>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</si>
  <si>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</si>
  <si>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</si>
  <si>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</si>
  <si>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</si>
  <si>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</si>
  <si>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</si>
  <si>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</si>
  <si>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</si>
  <si>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</si>
  <si>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</si>
  <si>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</si>
  <si>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</si>
  <si>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</si>
  <si>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</si>
  <si>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</si>
  <si>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</si>
  <si>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</si>
  <si>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</si>
  <si>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</si>
  <si>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</si>
  <si>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</si>
  <si>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</si>
  <si>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</si>
  <si>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</si>
  <si>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</si>
  <si>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</si>
  <si>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</si>
  <si>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</si>
  <si>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</si>
  <si>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</si>
  <si>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</si>
  <si>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</si>
  <si>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</si>
  <si>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</si>
  <si>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</si>
  <si>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</si>
  <si>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</si>
  <si>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</si>
  <si>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</si>
  <si>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</si>
  <si>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</si>
  <si>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</si>
  <si>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</si>
  <si>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</si>
  <si>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</si>
  <si>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</si>
  <si>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</si>
  <si>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</si>
  <si>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</si>
  <si>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</si>
  <si>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</si>
  <si>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</si>
  <si>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</si>
  <si>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</si>
  <si>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</si>
  <si>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</si>
  <si>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</si>
  <si>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</si>
  <si>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</si>
  <si>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</si>
  <si>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</si>
  <si>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</si>
  <si>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</si>
  <si>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</si>
  <si>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</si>
  <si>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</si>
  <si>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</si>
  <si>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</si>
  <si>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</si>
  <si>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</si>
  <si>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</si>
  <si>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</si>
  <si>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</si>
  <si>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</si>
  <si>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</si>
  <si>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</si>
  <si>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</si>
  <si>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</si>
  <si>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</si>
  <si>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</si>
  <si>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</si>
  <si>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</si>
  <si>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</si>
  <si>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</si>
  <si>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</si>
  <si>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</si>
  <si>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</si>
  <si>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</si>
  <si>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</si>
  <si>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</si>
  <si>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</si>
  <si>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</si>
  <si>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</si>
  <si>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</si>
  <si>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</si>
  <si>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</si>
  <si>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</si>
  <si>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</si>
  <si>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</si>
  <si>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</si>
  <si>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</si>
  <si>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</si>
  <si>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</si>
  <si>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</si>
  <si>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</si>
  <si>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</si>
  <si>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</si>
  <si>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</si>
  <si>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</si>
  <si>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</si>
  <si>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</si>
  <si>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</si>
  <si>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</si>
  <si>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</si>
  <si>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</si>
  <si>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</si>
  <si>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</si>
  <si>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</si>
  <si>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</si>
  <si>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</si>
  <si>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</si>
  <si>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</si>
  <si>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</si>
  <si>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</si>
  <si>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</si>
  <si>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</si>
  <si>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</si>
  <si>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</si>
  <si>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</si>
  <si>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</si>
  <si>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</si>
  <si>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</si>
  <si>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</si>
  <si>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</si>
  <si>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</si>
  <si>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</si>
  <si>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</si>
  <si>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</si>
  <si>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</si>
  <si>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</si>
  <si>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</si>
  <si>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</si>
  <si>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</si>
  <si>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</si>
  <si>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</si>
  <si>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</si>
  <si>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</si>
  <si>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</si>
  <si>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</si>
  <si>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</si>
  <si>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</si>
  <si>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</si>
  <si>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</si>
  <si>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</si>
  <si>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</si>
  <si>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</si>
  <si>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</si>
  <si>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</si>
  <si>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</si>
  <si>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</si>
  <si>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</si>
  <si>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</si>
  <si>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</si>
  <si>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</si>
  <si>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</si>
  <si>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</si>
  <si>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</si>
  <si>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</si>
  <si>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</si>
  <si>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</si>
  <si>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</si>
  <si>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</si>
  <si>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</si>
  <si>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</si>
  <si>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</si>
  <si>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</si>
  <si>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</si>
  <si>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</si>
  <si>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</si>
  <si>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</si>
  <si>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</si>
  <si>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</si>
  <si>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</si>
  <si>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</si>
  <si>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</si>
  <si>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</si>
  <si>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</si>
  <si>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</si>
  <si>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</si>
  <si>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</si>
  <si>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</si>
  <si>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</si>
  <si>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</si>
  <si>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</si>
  <si>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</si>
  <si>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</si>
  <si>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</si>
  <si>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</si>
  <si>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</si>
  <si>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</si>
  <si>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</si>
  <si>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</si>
  <si>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</si>
  <si>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</si>
  <si>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</si>
  <si>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</si>
  <si>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</si>
  <si>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</si>
  <si>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</si>
  <si>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</si>
  <si>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</si>
  <si>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</si>
  <si>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</si>
  <si>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</si>
  <si>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</si>
  <si>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</si>
  <si>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</si>
  <si>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</si>
  <si>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</si>
  <si>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</si>
  <si>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</si>
  <si>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</si>
  <si>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</si>
  <si>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</si>
  <si>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</si>
  <si>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</si>
  <si>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</si>
  <si>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</si>
  <si>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</si>
  <si>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</si>
  <si>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</si>
  <si>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</si>
  <si>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</si>
  <si>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</si>
  <si>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</si>
  <si>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</si>
  <si>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</si>
  <si>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</si>
  <si>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</si>
  <si>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</si>
  <si>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</si>
  <si>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</si>
  <si>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</si>
  <si>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</si>
  <si>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</si>
  <si>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</si>
  <si>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</si>
  <si>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</si>
  <si>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</si>
  <si>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</si>
  <si>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</si>
  <si>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</si>
  <si>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</si>
  <si>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</si>
  <si>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</si>
  <si>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</si>
  <si>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</si>
  <si>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</si>
  <si>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</si>
  <si>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</si>
  <si>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</si>
  <si>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</si>
  <si>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</si>
  <si>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</si>
  <si>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</si>
  <si>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</si>
  <si>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</si>
  <si>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</si>
  <si>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</si>
  <si>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</si>
  <si>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</si>
  <si>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</si>
  <si>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</si>
  <si>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</si>
  <si>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</si>
  <si>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</si>
  <si>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</si>
  <si>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</si>
  <si>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</si>
  <si>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</si>
  <si>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</si>
  <si>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</si>
  <si>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</si>
  <si>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</si>
  <si>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</si>
  <si>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</si>
  <si>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</si>
  <si>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</si>
  <si>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</si>
  <si>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</si>
  <si>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</si>
  <si>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</si>
  <si>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</si>
  <si>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</si>
  <si>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</si>
  <si>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</si>
  <si>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</si>
  <si>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</si>
  <si>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</si>
  <si>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</si>
  <si>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</si>
  <si>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</si>
  <si>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</si>
  <si>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</si>
  <si>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</si>
  <si>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</si>
  <si>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</si>
  <si>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</si>
  <si>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</si>
  <si>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</si>
  <si>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</si>
  <si>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</si>
  <si>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</si>
  <si>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</si>
  <si>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</si>
  <si>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</si>
  <si>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</si>
  <si>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</si>
  <si>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</si>
  <si>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</si>
  <si>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</si>
  <si>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</si>
  <si>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</si>
  <si>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</si>
  <si>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</si>
  <si>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</si>
  <si>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</si>
  <si>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</si>
  <si>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</si>
  <si>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</si>
  <si>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</si>
  <si>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</si>
  <si>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</si>
  <si>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</si>
  <si>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</si>
  <si>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</si>
  <si>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</si>
  <si>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</si>
  <si>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</si>
  <si>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</si>
  <si>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</si>
  <si>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</si>
  <si>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</si>
  <si>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</si>
  <si>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</si>
  <si>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</si>
  <si>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</si>
  <si>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</si>
  <si>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</si>
  <si>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</si>
  <si>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</si>
  <si>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</si>
  <si>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</si>
  <si>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</si>
  <si>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</si>
  <si>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</si>
  <si>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</si>
  <si>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</si>
  <si>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</si>
  <si>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</si>
  <si>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</si>
  <si>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</si>
  <si>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</si>
  <si>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</si>
  <si>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</si>
  <si>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</si>
  <si>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</si>
  <si>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</si>
  <si>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</si>
  <si>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</si>
  <si>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</si>
  <si>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</si>
  <si>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</si>
  <si>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</si>
  <si>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</si>
  <si>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</si>
  <si>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</si>
  <si>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</si>
  <si>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</si>
  <si>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</si>
  <si>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</si>
  <si>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</si>
  <si>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</si>
  <si>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</si>
  <si>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</si>
  <si>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</si>
  <si>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</si>
  <si>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</si>
  <si>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</si>
  <si>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</si>
  <si>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</si>
  <si>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</si>
  <si>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</si>
  <si>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</si>
  <si>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</si>
  <si>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</si>
  <si>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</si>
  <si>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</si>
  <si>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</si>
  <si>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</si>
  <si>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</si>
  <si>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</si>
  <si>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</si>
  <si>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</si>
  <si>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</si>
  <si>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</si>
  <si>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</si>
  <si>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</si>
  <si>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</si>
  <si>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</si>
  <si>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</si>
  <si>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</si>
  <si>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</si>
  <si>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</si>
  <si>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</si>
  <si>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</si>
  <si>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</si>
  <si>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</si>
  <si>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</si>
  <si>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</si>
  <si>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</si>
  <si>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</si>
  <si>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</si>
  <si>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</si>
  <si>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</si>
  <si>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</si>
  <si>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</si>
  <si>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</si>
  <si>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</si>
  <si>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</si>
  <si>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</si>
  <si>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</si>
  <si>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</si>
  <si>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</si>
  <si>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</si>
  <si>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</si>
  <si>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</si>
  <si>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</si>
  <si>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</si>
  <si>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</si>
  <si>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</si>
  <si>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</si>
  <si>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</si>
  <si>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</si>
  <si>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</si>
  <si>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</si>
  <si>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</si>
  <si>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</si>
  <si>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</si>
  <si>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</si>
  <si>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</si>
  <si>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</si>
  <si>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</si>
  <si>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</si>
  <si>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</si>
  <si>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</si>
  <si>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</si>
  <si>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</si>
  <si>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</si>
  <si>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</si>
  <si>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</si>
  <si>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</si>
  <si>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</si>
  <si>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</si>
  <si>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</si>
  <si>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</si>
  <si>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</si>
  <si>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</si>
  <si>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</si>
  <si>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</si>
  <si>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</si>
  <si>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</si>
  <si>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</si>
  <si>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</si>
  <si>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</si>
  <si>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</si>
  <si>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</si>
  <si>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</si>
  <si>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</si>
  <si>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</si>
  <si>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</si>
  <si>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</si>
  <si>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</si>
  <si>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</si>
  <si>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</si>
  <si>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</si>
  <si>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</si>
  <si>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</si>
  <si>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</si>
  <si>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</si>
  <si>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</si>
  <si>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</si>
  <si>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</si>
  <si>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</si>
  <si>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</si>
  <si>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</si>
  <si>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</si>
  <si>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</si>
  <si>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</si>
  <si>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</si>
  <si>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</si>
  <si>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</si>
  <si>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</si>
  <si>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</si>
  <si>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</si>
  <si>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</si>
  <si>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</si>
  <si>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</si>
  <si>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</si>
  <si>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</si>
  <si>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</si>
  <si>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</si>
  <si>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</si>
  <si>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</si>
  <si>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</si>
  <si>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</si>
  <si>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</si>
  <si>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</si>
  <si>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</si>
  <si>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</si>
  <si>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</si>
  <si>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</si>
  <si>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</si>
  <si>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</si>
  <si>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</si>
  <si>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</si>
  <si>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</si>
  <si>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</si>
  <si>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</si>
  <si>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</si>
  <si>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</si>
  <si>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</si>
  <si>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</si>
  <si>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</si>
  <si>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</si>
  <si>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</si>
  <si>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</si>
  <si>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</si>
  <si>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</si>
  <si>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</si>
  <si>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</si>
  <si>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</si>
  <si>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</si>
  <si>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</si>
  <si>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</si>
  <si>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</si>
  <si>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</si>
  <si>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</si>
  <si>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</si>
  <si>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</si>
  <si>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</si>
  <si>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</si>
  <si>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</si>
  <si>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</si>
  <si>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</si>
  <si>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</si>
  <si>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</si>
  <si>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</si>
  <si>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</si>
  <si>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</si>
  <si>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</si>
  <si>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</si>
  <si>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</si>
  <si>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</si>
  <si>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</si>
  <si>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</si>
  <si>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</si>
  <si>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</si>
  <si>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</si>
  <si>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</si>
  <si>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</si>
  <si>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</si>
  <si>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</si>
  <si>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</si>
  <si>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</si>
  <si>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</si>
  <si>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</si>
  <si>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</si>
  <si>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</si>
  <si>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</si>
  <si>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</si>
  <si>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</si>
  <si>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</si>
  <si>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</si>
  <si>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</si>
  <si>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</si>
  <si>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</si>
  <si>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</si>
  <si>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</si>
  <si>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</si>
  <si>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</si>
  <si>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</si>
  <si>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</si>
  <si>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</si>
  <si>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</si>
  <si>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</si>
  <si>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</si>
  <si>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</si>
  <si>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</si>
  <si>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</si>
  <si>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</si>
  <si>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</si>
  <si>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</si>
  <si>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</si>
  <si>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</si>
  <si>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</si>
  <si>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</si>
  <si>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</si>
  <si>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</si>
  <si>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</si>
  <si>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</si>
  <si>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</si>
  <si>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</si>
  <si>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</si>
  <si>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</si>
  <si>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</si>
  <si>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</si>
  <si>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</si>
  <si>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</si>
  <si>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</si>
  <si>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</si>
  <si>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</si>
  <si>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</si>
  <si>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</si>
  <si>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</si>
  <si>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</si>
  <si>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</si>
  <si>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</si>
  <si>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</si>
  <si>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</si>
  <si>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</si>
  <si>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</si>
  <si>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</si>
  <si>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</si>
  <si>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</si>
  <si>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</si>
  <si>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</si>
  <si>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</si>
  <si>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</si>
  <si>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</si>
  <si>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</si>
  <si>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</si>
  <si>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</si>
  <si>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</si>
  <si>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</si>
  <si>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</si>
  <si>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</si>
  <si>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</si>
  <si>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</si>
  <si>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</si>
  <si>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</si>
  <si>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</si>
  <si>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</si>
  <si>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</si>
  <si>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</si>
  <si>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</si>
  <si>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</si>
  <si>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</si>
  <si>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</si>
  <si>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</si>
  <si>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</si>
  <si>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</si>
  <si>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</si>
  <si>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</si>
  <si>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</si>
  <si>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</si>
  <si>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</si>
  <si>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</si>
  <si>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</si>
  <si>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</si>
  <si>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</si>
  <si>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</si>
  <si>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</si>
  <si>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</si>
  <si>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</si>
  <si>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</si>
  <si>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</si>
  <si>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</si>
  <si>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</si>
  <si>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</si>
  <si>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</si>
  <si>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</si>
  <si>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</si>
  <si>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</si>
  <si>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</si>
  <si>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</si>
  <si>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</si>
  <si>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</si>
  <si>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</si>
  <si>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</si>
  <si>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</si>
  <si>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</si>
  <si>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</si>
  <si>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</si>
  <si>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</si>
  <si>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</si>
  <si>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</si>
  <si>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</si>
  <si>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</si>
  <si>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</si>
  <si>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</si>
  <si>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</si>
  <si>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</si>
  <si>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</si>
  <si>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</si>
  <si>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</si>
  <si>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</si>
  <si>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</si>
  <si>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</si>
  <si>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</si>
  <si>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</si>
  <si>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</si>
  <si>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</si>
  <si>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</si>
  <si>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</si>
  <si>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</si>
  <si>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</si>
  <si>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</si>
  <si>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</si>
  <si>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</si>
  <si>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</si>
  <si>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</si>
  <si>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</si>
  <si>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</si>
  <si>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</si>
  <si>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</si>
  <si>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</si>
  <si>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</si>
  <si>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</si>
  <si>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</si>
  <si>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</si>
  <si>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</si>
  <si>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</si>
  <si>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</si>
  <si>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</si>
  <si>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</si>
  <si>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</si>
  <si>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</si>
  <si>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</si>
  <si>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</si>
  <si>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</si>
  <si>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</si>
  <si>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</si>
  <si>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</si>
  <si>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</si>
  <si>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</si>
  <si>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</si>
  <si>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</si>
  <si>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</si>
  <si>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</si>
  <si>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</si>
  <si>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</si>
  <si>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</si>
  <si>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</si>
  <si>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</si>
  <si>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</si>
  <si>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</si>
  <si>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</si>
  <si>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</si>
  <si>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</si>
  <si>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</si>
  <si>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</si>
  <si>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</si>
  <si>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</si>
  <si>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</si>
  <si>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</si>
  <si>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</si>
  <si>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</si>
  <si>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</si>
  <si>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</si>
  <si>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</si>
  <si>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</si>
  <si>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</si>
  <si>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</si>
  <si>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</si>
  <si>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</si>
  <si>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</si>
  <si>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</si>
  <si>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</si>
  <si>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</si>
  <si>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</si>
  <si>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</si>
  <si>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</si>
  <si>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</si>
  <si>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</si>
  <si>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</si>
  <si>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</si>
  <si>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</si>
  <si>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</si>
  <si>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</si>
  <si>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</si>
  <si>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</si>
  <si>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</si>
  <si>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</si>
  <si>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</si>
  <si>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</si>
  <si>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</si>
  <si>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</si>
  <si>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</si>
  <si>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</si>
  <si>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</si>
  <si>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</si>
  <si>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</si>
  <si>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</si>
  <si>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</si>
  <si>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</si>
  <si>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</si>
  <si>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</si>
  <si>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</si>
  <si>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</si>
  <si>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</si>
  <si>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</si>
  <si>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</si>
  <si>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</si>
  <si>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</si>
  <si>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</si>
  <si>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</si>
  <si>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</si>
  <si>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</si>
  <si>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</si>
  <si>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</si>
  <si>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</si>
  <si>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</si>
  <si>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</si>
  <si>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</si>
  <si>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</si>
  <si>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</si>
  <si>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</si>
  <si>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</si>
  <si>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</si>
  <si>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</si>
  <si>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</si>
  <si>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</si>
  <si>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</si>
  <si>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</si>
  <si>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</si>
  <si>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</si>
  <si>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</si>
  <si>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</si>
  <si>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</si>
  <si>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</si>
  <si>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</si>
  <si>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</si>
  <si>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</si>
  <si>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</si>
  <si>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</si>
  <si>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</si>
  <si>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</si>
  <si>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</si>
  <si>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</si>
  <si>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</si>
  <si>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</si>
  <si>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</si>
  <si>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</si>
  <si>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</si>
  <si>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</si>
  <si>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</si>
  <si>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</si>
  <si>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</si>
  <si>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</si>
  <si>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</si>
  <si>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</si>
  <si>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</si>
  <si>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</si>
  <si>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</si>
  <si>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</si>
  <si>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</si>
  <si>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</si>
  <si>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</si>
  <si>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</si>
  <si>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</si>
  <si>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</si>
  <si>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</si>
  <si>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</si>
  <si>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</si>
  <si>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</si>
  <si>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</si>
  <si>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</si>
  <si>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</si>
  <si>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</si>
  <si>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</si>
  <si>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</si>
  <si>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</si>
  <si>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</si>
  <si>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</si>
  <si>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</si>
  <si>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</si>
  <si>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</si>
  <si>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</si>
  <si>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</si>
  <si>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</si>
  <si>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</si>
  <si>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</si>
  <si>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</si>
  <si>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</si>
  <si>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</si>
  <si>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</si>
  <si>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</si>
  <si>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</si>
  <si>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</si>
  <si>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</si>
  <si>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</si>
  <si>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</si>
  <si>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</si>
  <si>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</si>
  <si>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</si>
  <si>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</si>
  <si>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</si>
  <si>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</si>
  <si>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</si>
  <si>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</si>
  <si>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</si>
  <si>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</si>
  <si>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</si>
  <si>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</si>
  <si>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</si>
  <si>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</si>
  <si>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</si>
  <si>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</si>
  <si>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</si>
  <si>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</si>
  <si>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</si>
  <si>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</si>
  <si>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</si>
  <si>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</si>
  <si>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</si>
  <si>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</si>
  <si>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</si>
  <si>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</si>
  <si>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</si>
  <si>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</si>
  <si>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</si>
  <si>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</si>
  <si>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</si>
  <si>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</si>
  <si>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</si>
  <si>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</si>
  <si>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</si>
  <si>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</si>
  <si>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</si>
  <si>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</si>
  <si>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</si>
  <si>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</si>
  <si>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</si>
  <si>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</si>
  <si>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</si>
  <si>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</si>
  <si>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</si>
  <si>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</si>
  <si>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</si>
  <si>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</si>
  <si>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</si>
  <si>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</si>
  <si>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</si>
  <si>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</si>
  <si>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</si>
  <si>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</si>
  <si>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</si>
  <si>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</si>
  <si>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</si>
  <si>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</si>
  <si>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</si>
  <si>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</si>
  <si>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</si>
  <si>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</si>
  <si>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</si>
  <si>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</si>
  <si>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</si>
  <si>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</si>
  <si>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</si>
  <si>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</si>
  <si>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</si>
  <si>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</si>
  <si>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</si>
  <si>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</si>
  <si>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</si>
  <si>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</si>
  <si>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</si>
  <si>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</si>
  <si>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</si>
  <si>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</si>
  <si>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</si>
  <si>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</si>
  <si>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</si>
  <si>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</si>
  <si>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</si>
  <si>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</si>
  <si>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</si>
  <si>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</si>
  <si>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</si>
  <si>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</si>
  <si>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</si>
  <si>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</si>
  <si>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</si>
  <si>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</si>
  <si>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</si>
  <si>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</si>
  <si>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</si>
  <si>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</si>
  <si>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</si>
  <si>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</si>
  <si>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</si>
  <si>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</si>
  <si>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</si>
  <si>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</si>
  <si>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</si>
  <si>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</si>
  <si>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</si>
  <si>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</si>
  <si>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</si>
  <si>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</si>
  <si>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</si>
  <si>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</si>
  <si>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</si>
  <si>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</si>
  <si>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</si>
  <si>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</si>
  <si>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</si>
  <si>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</si>
  <si>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</si>
  <si>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</si>
  <si>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</si>
  <si>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</si>
  <si>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</si>
  <si>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</si>
  <si>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</si>
  <si>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</si>
  <si>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</si>
  <si>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</si>
  <si>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</si>
  <si>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</si>
  <si>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</si>
  <si>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</si>
  <si>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</si>
  <si>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</si>
  <si>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</si>
  <si>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</si>
  <si>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</si>
  <si>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</si>
  <si>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</si>
  <si>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</si>
  <si>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</si>
  <si>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</si>
  <si>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</si>
  <si>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</si>
  <si>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</si>
  <si>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</si>
  <si>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</si>
  <si>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</si>
  <si>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</si>
  <si>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</si>
  <si>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</si>
  <si>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</si>
  <si>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</si>
  <si>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</si>
  <si>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</si>
  <si>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</si>
  <si>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</si>
  <si>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</si>
  <si>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</si>
  <si>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</si>
  <si>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</si>
  <si>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</si>
  <si>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</si>
  <si>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</si>
  <si>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</si>
  <si>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</si>
  <si>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</si>
  <si>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</si>
  <si>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</si>
  <si>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</si>
  <si>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</si>
  <si>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</si>
  <si>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</si>
  <si>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</si>
  <si>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</si>
  <si>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</si>
  <si>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</si>
  <si>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</si>
  <si>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</si>
  <si>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</si>
  <si>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</si>
  <si>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</si>
  <si>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</si>
  <si>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</si>
  <si>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</si>
  <si>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</si>
  <si>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</si>
  <si>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</si>
  <si>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</si>
  <si>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</si>
  <si>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</si>
  <si>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</si>
  <si>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</si>
  <si>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</si>
  <si>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</si>
  <si>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</si>
  <si>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</si>
  <si>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</si>
  <si>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</si>
  <si>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</si>
  <si>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</si>
  <si>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</si>
  <si>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</si>
  <si>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</si>
  <si>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</si>
  <si>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</si>
  <si>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</si>
  <si>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</si>
  <si>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</si>
  <si>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</si>
  <si>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</si>
  <si>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</si>
  <si>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</si>
  <si>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</si>
  <si>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</si>
  <si>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</si>
  <si>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</si>
  <si>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</si>
  <si>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</si>
  <si>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</si>
  <si>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</si>
  <si>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</si>
  <si>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</si>
  <si>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</si>
  <si>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</si>
  <si>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</si>
  <si>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</si>
  <si>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</si>
  <si>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</si>
  <si>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</si>
  <si>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</si>
  <si>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</si>
  <si>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</si>
  <si>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</si>
  <si>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</si>
  <si>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</si>
  <si>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</si>
  <si>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</si>
  <si>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</si>
  <si>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</si>
  <si>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</si>
  <si>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</si>
  <si>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</si>
  <si>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</si>
  <si>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</si>
  <si>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</si>
  <si>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</si>
  <si>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</si>
  <si>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</si>
  <si>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</si>
  <si>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</si>
  <si>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</si>
  <si>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</si>
  <si>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</si>
  <si>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</si>
  <si>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</si>
  <si>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</si>
  <si>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</si>
  <si>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</si>
  <si>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</si>
  <si>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</si>
  <si>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</si>
  <si>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</si>
  <si>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</si>
  <si>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</si>
  <si>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</si>
  <si>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</si>
  <si>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</si>
  <si>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</si>
  <si>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</si>
  <si>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</si>
  <si>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</si>
  <si>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</si>
  <si>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</si>
  <si>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</si>
  <si>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</si>
  <si>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</si>
  <si>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</si>
  <si>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</si>
  <si>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</si>
  <si>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</si>
  <si>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</si>
  <si>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</si>
  <si>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</si>
  <si>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</si>
  <si>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</si>
  <si>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</si>
  <si>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</si>
  <si>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</si>
  <si>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</si>
  <si>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</si>
  <si>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</si>
  <si>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</si>
  <si>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</si>
  <si>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</si>
  <si>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</si>
  <si>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</si>
  <si>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</si>
  <si>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</si>
  <si>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</si>
  <si>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</si>
  <si>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</si>
  <si>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</si>
  <si>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</si>
  <si>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</si>
  <si>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</si>
  <si>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</si>
  <si>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</si>
  <si>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</si>
  <si>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</si>
  <si>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</si>
  <si>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</si>
  <si>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</si>
  <si>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</si>
  <si>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</si>
  <si>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</si>
  <si>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</si>
  <si>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</si>
  <si>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</si>
  <si>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</si>
  <si>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</si>
  <si>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</si>
  <si>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</si>
  <si>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</si>
  <si>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</si>
  <si>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</si>
  <si>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</si>
  <si>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</si>
  <si>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</si>
  <si>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</si>
  <si>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</si>
  <si>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</si>
  <si>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</si>
  <si>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</si>
  <si>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</si>
  <si>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</si>
  <si>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</si>
  <si>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</si>
  <si>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</si>
  <si>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</si>
  <si>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</si>
  <si>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</si>
  <si>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</si>
  <si>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</si>
  <si>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</si>
  <si>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</si>
  <si>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</si>
  <si>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</si>
  <si>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</si>
  <si>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</si>
  <si>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</si>
  <si>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</si>
  <si>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</si>
  <si>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</si>
  <si>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</si>
  <si>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</si>
  <si>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</si>
  <si>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</si>
  <si>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</si>
  <si>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</si>
  <si>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</si>
  <si>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</si>
  <si>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</si>
  <si>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</si>
  <si>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</si>
  <si>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</si>
  <si>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</si>
  <si>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</si>
  <si>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</si>
  <si>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</si>
  <si>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</si>
  <si>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</si>
  <si>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</si>
  <si>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</si>
  <si>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</si>
  <si>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</si>
  <si>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</si>
  <si>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</si>
  <si>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</si>
  <si>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</si>
  <si>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</si>
  <si>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</si>
  <si>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</si>
  <si>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</si>
  <si>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</si>
  <si>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</si>
  <si>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</si>
  <si>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</si>
  <si>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</si>
  <si>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</si>
  <si>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</si>
  <si>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</si>
  <si>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</si>
  <si>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</si>
  <si>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</si>
  <si>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</si>
  <si>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</si>
  <si>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</si>
  <si>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</si>
  <si>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</si>
  <si>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</si>
  <si>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</si>
  <si>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</si>
  <si>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</si>
  <si>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</si>
  <si>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</si>
  <si>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</si>
  <si>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</si>
  <si>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</si>
  <si>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</si>
  <si>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</si>
  <si>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</si>
  <si>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</si>
  <si>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</si>
  <si>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</si>
  <si>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</si>
  <si>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</si>
  <si>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</si>
  <si>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</si>
  <si>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</si>
  <si>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</si>
  <si>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</si>
  <si>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</si>
  <si>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</si>
  <si>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</si>
  <si>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</si>
  <si>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</si>
  <si>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</si>
  <si>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</si>
  <si>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</si>
  <si>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</si>
  <si>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</si>
  <si>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</si>
  <si>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</si>
  <si>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</si>
  <si>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</si>
  <si>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</si>
  <si>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</si>
  <si>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</si>
  <si>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</si>
  <si>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</si>
  <si>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</si>
  <si>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</si>
  <si>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</si>
  <si>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</si>
  <si>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</si>
  <si>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</si>
  <si>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</si>
  <si>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</si>
  <si>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</si>
  <si>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</si>
  <si>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</si>
  <si>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</si>
  <si>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</si>
  <si>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</si>
  <si>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</si>
  <si>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</si>
  <si>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</si>
  <si>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</si>
  <si>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</si>
  <si>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</si>
  <si>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</si>
  <si>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</si>
  <si>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</si>
  <si>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</si>
  <si>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</si>
  <si>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</si>
  <si>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</si>
  <si>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</si>
  <si>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</si>
  <si>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</si>
  <si>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</si>
  <si>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</si>
  <si>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</si>
  <si>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</si>
  <si>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</si>
  <si>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</si>
  <si>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</si>
  <si>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</si>
  <si>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</si>
  <si>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</si>
  <si>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</si>
  <si>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</si>
  <si>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</si>
  <si>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</si>
  <si>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</si>
  <si>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</si>
  <si>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</si>
  <si>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</si>
  <si>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</si>
  <si>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</si>
  <si>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</si>
  <si>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</si>
  <si>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</si>
  <si>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</si>
  <si>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</si>
  <si>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</si>
  <si>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</si>
  <si>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</si>
  <si>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</si>
  <si>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</si>
  <si>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</si>
  <si>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</si>
  <si>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</si>
  <si>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</si>
  <si>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</si>
  <si>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</si>
  <si>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</si>
  <si>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</si>
  <si>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</si>
  <si>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</si>
  <si>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</si>
  <si>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</si>
  <si>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</si>
  <si>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</si>
  <si>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</si>
  <si>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</si>
  <si>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</si>
  <si>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</si>
  <si>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</si>
  <si>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</si>
  <si>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</si>
  <si>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</si>
  <si>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</si>
  <si>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</si>
  <si>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</si>
  <si>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</si>
  <si>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</si>
  <si>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</si>
  <si>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</si>
  <si>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</si>
  <si>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</si>
  <si>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</si>
  <si>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</si>
  <si>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</si>
  <si>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</si>
  <si>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</si>
  <si>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</si>
  <si>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</si>
  <si>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</si>
  <si>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</si>
  <si>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</si>
  <si>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</si>
  <si>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</si>
  <si>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</si>
  <si>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</si>
  <si>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</si>
  <si>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</si>
  <si>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</si>
  <si>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</si>
  <si>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</si>
  <si>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</si>
  <si>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</si>
  <si>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</si>
  <si>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</si>
  <si>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</si>
  <si>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</si>
  <si>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</si>
  <si>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</si>
  <si>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</si>
  <si>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</si>
  <si>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</si>
  <si>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</si>
  <si>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</si>
  <si>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</si>
  <si>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</si>
  <si>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</si>
  <si>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</si>
  <si>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</si>
  <si>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</si>
  <si>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</si>
  <si>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</si>
  <si>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</si>
  <si>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</si>
  <si>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</si>
  <si>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</si>
  <si>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</si>
  <si>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</si>
  <si>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</si>
  <si>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</si>
  <si>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</si>
  <si>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</si>
  <si>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</si>
  <si>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</si>
  <si>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</si>
  <si>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</si>
  <si>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</si>
  <si>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</si>
  <si>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</si>
  <si>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</si>
  <si>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</si>
  <si>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</si>
  <si>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</si>
  <si>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</si>
  <si>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</si>
  <si>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</si>
  <si>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</si>
  <si>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</si>
  <si>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</si>
  <si>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</si>
  <si>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</si>
  <si>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</si>
  <si>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</si>
  <si>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</si>
  <si>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</si>
  <si>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</si>
  <si>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</si>
  <si>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</si>
  <si>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</si>
  <si>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</si>
  <si>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</si>
  <si>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</si>
  <si>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</si>
  <si>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</si>
  <si>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</si>
  <si>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</si>
  <si>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</si>
  <si>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</si>
  <si>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</si>
  <si>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</si>
  <si>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</si>
  <si>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</si>
  <si>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</si>
  <si>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</si>
  <si>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</si>
  <si>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</si>
  <si>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</si>
  <si>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</si>
  <si>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</si>
  <si>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</si>
  <si>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</si>
  <si>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</si>
  <si>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</si>
  <si>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</si>
  <si>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</si>
  <si>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</si>
  <si>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</si>
  <si>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</si>
  <si>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</si>
  <si>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</si>
  <si>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</si>
  <si>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</si>
  <si>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</si>
  <si>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</si>
  <si>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</si>
  <si>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</si>
  <si>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</si>
  <si>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</si>
  <si>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</si>
  <si>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</si>
  <si>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</si>
  <si>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</si>
  <si>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</si>
  <si>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</si>
  <si>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</si>
  <si>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</si>
  <si>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</si>
  <si>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</si>
  <si>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</si>
  <si>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</si>
  <si>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</si>
  <si>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</si>
  <si>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</si>
  <si>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</si>
  <si>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</si>
  <si>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</si>
  <si>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</si>
  <si>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</si>
  <si>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</si>
  <si>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</si>
  <si>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</si>
  <si>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</si>
  <si>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</si>
  <si>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</si>
  <si>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</si>
  <si>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</si>
  <si>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</si>
  <si>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</si>
  <si>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</si>
  <si>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</si>
  <si>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</si>
  <si>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</si>
  <si>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</si>
  <si>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</si>
  <si>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</si>
  <si>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</si>
  <si>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</si>
  <si>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</si>
  <si>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</si>
  <si>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</si>
  <si>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</si>
  <si>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</si>
  <si>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</si>
  <si>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</si>
  <si>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</si>
  <si>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</si>
  <si>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</si>
  <si>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</si>
  <si>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</si>
  <si>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</si>
  <si>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</si>
  <si>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</si>
  <si>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</si>
  <si>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</si>
  <si>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</si>
  <si>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</si>
  <si>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</si>
  <si>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</si>
  <si>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</si>
  <si>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</si>
  <si>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</si>
  <si>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</si>
  <si>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</si>
  <si>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</si>
  <si>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</si>
  <si>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</si>
  <si>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</si>
  <si>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</si>
  <si>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</si>
  <si>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</si>
  <si>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</si>
  <si>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</si>
  <si>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</si>
  <si>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</si>
  <si>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</si>
  <si>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</si>
  <si>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</si>
  <si>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</si>
  <si>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</si>
  <si>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</si>
  <si>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</si>
  <si>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</si>
  <si>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</si>
  <si>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</si>
  <si>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</si>
  <si>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</si>
  <si>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</si>
  <si>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</si>
  <si>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</si>
  <si>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</si>
  <si>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</si>
  <si>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</si>
  <si>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</si>
  <si>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</si>
  <si>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</si>
  <si>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</si>
  <si>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</si>
  <si>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</si>
  <si>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</si>
  <si>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</si>
  <si>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</si>
  <si>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</si>
  <si>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</si>
  <si>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</si>
  <si>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</si>
  <si>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</si>
  <si>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</si>
  <si>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</si>
  <si>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</si>
  <si>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</si>
  <si>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</si>
  <si>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</si>
  <si>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</si>
  <si>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</si>
  <si>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</si>
  <si>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</si>
  <si>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</si>
  <si>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</si>
  <si>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</si>
  <si>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</si>
  <si>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</si>
  <si>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</si>
  <si>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</si>
  <si>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</si>
  <si>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</si>
  <si>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</si>
  <si>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</si>
  <si>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</si>
  <si>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</si>
  <si>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</si>
  <si>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</si>
  <si>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</si>
  <si>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</si>
  <si>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</si>
  <si>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</si>
  <si>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</si>
  <si>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</si>
  <si>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</si>
  <si>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</si>
  <si>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</si>
  <si>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</si>
  <si>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</si>
  <si>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</si>
  <si>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</si>
  <si>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</si>
  <si>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</si>
  <si>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</si>
  <si>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</si>
  <si>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</si>
  <si>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</si>
  <si>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</si>
  <si>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</si>
  <si>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</si>
  <si>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</si>
  <si>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</si>
  <si>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</si>
  <si>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</si>
  <si>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</si>
  <si>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</si>
  <si>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</si>
  <si>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</si>
  <si>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</si>
  <si>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</si>
  <si>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</si>
  <si>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</si>
  <si>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</si>
  <si>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</si>
  <si>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</si>
  <si>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</si>
  <si>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</si>
  <si>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</si>
  <si>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</si>
  <si>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</si>
  <si>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</si>
  <si>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</si>
  <si>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</si>
  <si>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</si>
  <si>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</si>
  <si>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</si>
  <si>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</si>
  <si>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</si>
  <si>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</si>
  <si>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</si>
  <si>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</si>
  <si>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</si>
  <si>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</si>
  <si>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</si>
  <si>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</si>
  <si>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</si>
  <si>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</si>
  <si>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</si>
  <si>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</si>
  <si>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</si>
  <si>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</si>
  <si>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</si>
  <si>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</si>
  <si>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</si>
  <si>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</si>
  <si>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</si>
  <si>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</si>
  <si>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</si>
  <si>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</si>
  <si>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</si>
  <si>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</si>
  <si>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</si>
  <si>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</si>
  <si>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</si>
  <si>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</si>
  <si>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</si>
  <si>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</si>
  <si>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</si>
  <si>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</si>
  <si>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</si>
  <si>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</si>
  <si>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</si>
  <si>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</si>
  <si>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</si>
  <si>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</si>
  <si>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</si>
  <si>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</si>
  <si>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</si>
  <si>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</si>
  <si>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</si>
  <si>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</si>
  <si>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</si>
  <si>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</si>
  <si>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</si>
  <si>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</si>
  <si>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</si>
  <si>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</si>
  <si>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</si>
  <si>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</si>
  <si>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</si>
  <si>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</si>
  <si>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</si>
  <si>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</si>
  <si>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</si>
  <si>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</si>
  <si>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</si>
  <si>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</si>
  <si>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</si>
  <si>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</si>
  <si>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</si>
  <si>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</si>
  <si>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</si>
  <si>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</si>
  <si>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</si>
  <si>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</si>
  <si>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</si>
  <si>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</si>
  <si>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</si>
  <si>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</si>
  <si>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</si>
  <si>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</si>
  <si>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</si>
  <si>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</si>
  <si>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</si>
  <si>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</si>
  <si>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</si>
  <si>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</si>
  <si>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</si>
  <si>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</si>
  <si>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</si>
  <si>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</si>
  <si>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</si>
  <si>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</si>
  <si>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</si>
  <si>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</si>
  <si>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</si>
  <si>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</si>
  <si>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</si>
  <si>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</si>
  <si>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</si>
  <si>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</si>
  <si>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</si>
  <si>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</si>
  <si>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</si>
  <si>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</si>
  <si>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</si>
  <si>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</si>
  <si>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</si>
  <si>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</si>
  <si>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</si>
  <si>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</si>
  <si>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</si>
  <si>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</si>
  <si>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</si>
  <si>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</si>
  <si>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</si>
  <si>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</si>
  <si>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</si>
  <si>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</si>
  <si>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</si>
  <si>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</si>
  <si>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</si>
  <si>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</si>
  <si>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</si>
  <si>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</si>
  <si>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</si>
  <si>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</si>
  <si>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</si>
  <si>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</si>
  <si>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</si>
  <si>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</si>
  <si>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</si>
  <si>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</si>
  <si>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</si>
  <si>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</si>
  <si>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</si>
  <si>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</si>
  <si>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</si>
  <si>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</si>
  <si>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</si>
  <si>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</si>
  <si>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</si>
  <si>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</si>
  <si>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</si>
  <si>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</si>
  <si>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</si>
  <si>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</si>
  <si>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</si>
  <si>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</si>
  <si>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</si>
  <si>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</si>
  <si>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</si>
  <si>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</si>
  <si>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</si>
  <si>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</si>
  <si>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</si>
  <si>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</si>
  <si>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</si>
  <si>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</si>
  <si>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</si>
  <si>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</si>
  <si>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</si>
  <si>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</si>
  <si>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</si>
  <si>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</si>
  <si>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</si>
  <si>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</si>
  <si>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</si>
  <si>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</si>
  <si>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</si>
  <si>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</si>
  <si>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</si>
  <si>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</si>
  <si>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</si>
  <si>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</si>
  <si>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</si>
  <si>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</si>
  <si>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</si>
  <si>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</si>
  <si>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</si>
  <si>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</si>
  <si>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</si>
  <si>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</si>
  <si>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</si>
  <si>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</si>
  <si>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</si>
  <si>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</si>
  <si>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</si>
  <si>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</si>
  <si>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</si>
  <si>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</si>
  <si>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</si>
  <si>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</si>
  <si>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</si>
  <si>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</si>
  <si>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</si>
  <si>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</si>
  <si>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</si>
  <si>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</si>
  <si>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</si>
  <si>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</si>
  <si>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</si>
  <si>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</si>
  <si>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</si>
  <si>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</si>
  <si>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</si>
  <si>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</si>
  <si>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</si>
  <si>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</si>
  <si>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</si>
  <si>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</si>
  <si>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</si>
  <si>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</si>
  <si>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</si>
  <si>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</si>
  <si>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</si>
  <si>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</si>
  <si>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</si>
  <si>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</si>
  <si>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</si>
  <si>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</si>
  <si>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</si>
  <si>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</si>
  <si>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</si>
  <si>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</si>
  <si>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</si>
  <si>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</si>
  <si>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</si>
  <si>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</si>
  <si>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</si>
  <si>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</si>
  <si>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</si>
  <si>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</si>
  <si>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</si>
  <si>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</si>
  <si>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</si>
  <si>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</si>
  <si>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</si>
  <si>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</si>
  <si>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</si>
  <si>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</si>
  <si>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</si>
  <si>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</si>
  <si>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</si>
  <si>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</si>
  <si>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</si>
  <si>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</si>
  <si>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</si>
  <si>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</si>
  <si>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</si>
  <si>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</si>
  <si>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</si>
  <si>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</si>
  <si>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</si>
  <si>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</si>
  <si>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</si>
  <si>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</si>
  <si>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</si>
  <si>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</si>
  <si>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</si>
  <si>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</si>
  <si>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</si>
  <si>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</si>
  <si>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</si>
  <si>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</si>
  <si>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</si>
  <si>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</si>
  <si>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</si>
  <si>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</si>
  <si>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</si>
  <si>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</si>
  <si>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</si>
  <si>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</si>
  <si>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</si>
  <si>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</si>
  <si>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</si>
  <si>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</si>
  <si>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</si>
  <si>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</si>
  <si>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</si>
  <si>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</si>
  <si>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</si>
  <si>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</si>
  <si>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</si>
  <si>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</si>
  <si>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</si>
  <si>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</si>
  <si>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</si>
  <si>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</si>
  <si>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</si>
  <si>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</si>
  <si>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</si>
  <si>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</si>
  <si>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</si>
  <si>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</si>
  <si>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</si>
  <si>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</si>
  <si>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</si>
  <si>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</si>
  <si>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</si>
  <si>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</si>
  <si>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</si>
  <si>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</si>
  <si>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</si>
  <si>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</si>
  <si>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</si>
  <si>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</si>
  <si>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</si>
  <si>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</si>
  <si>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</si>
  <si>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</si>
  <si>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</si>
  <si>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</si>
  <si>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</si>
  <si>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</si>
  <si>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</si>
  <si>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</si>
  <si>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</si>
  <si>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</si>
  <si>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</si>
  <si>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</si>
  <si>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</si>
  <si>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</si>
  <si>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</si>
  <si>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</si>
  <si>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</si>
  <si>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</si>
  <si>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</si>
  <si>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</si>
  <si>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</si>
  <si>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</si>
  <si>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</si>
  <si>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</si>
  <si>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</si>
  <si>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</si>
  <si>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</si>
  <si>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</si>
  <si>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</si>
  <si>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</si>
  <si>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</si>
  <si>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</si>
  <si>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</si>
  <si>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</si>
  <si>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</si>
  <si>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</si>
  <si>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</si>
  <si>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</si>
  <si>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</si>
  <si>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</si>
  <si>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</si>
  <si>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</si>
  <si>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</si>
  <si>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</si>
  <si>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</si>
  <si>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</si>
  <si>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</si>
  <si>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</si>
  <si>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</si>
  <si>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</si>
  <si>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</si>
  <si>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</si>
  <si>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</si>
  <si>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</si>
  <si>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</si>
  <si>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</si>
  <si>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</si>
  <si>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</si>
  <si>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</si>
  <si>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</si>
  <si>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</si>
  <si>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</si>
  <si>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</si>
  <si>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</si>
  <si>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</si>
  <si>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</si>
  <si>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</si>
  <si>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</si>
  <si>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</si>
  <si>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</si>
  <si>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</si>
  <si>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</si>
  <si>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</si>
  <si>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</si>
  <si>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</si>
  <si>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</si>
  <si>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</si>
  <si>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</si>
  <si>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</si>
  <si>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</si>
  <si>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</si>
  <si>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</si>
  <si>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</si>
  <si>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</si>
  <si>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</si>
  <si>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</si>
  <si>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</si>
  <si>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</si>
  <si>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</si>
  <si>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</si>
  <si>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</si>
  <si>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</si>
  <si>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</si>
  <si>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</si>
  <si>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</si>
  <si>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</si>
  <si>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</si>
  <si>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</si>
  <si>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</si>
  <si>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</si>
  <si>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</si>
  <si>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</si>
  <si>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</si>
  <si>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</si>
  <si>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</si>
  <si>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</si>
  <si>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</si>
  <si>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</si>
  <si>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</si>
  <si>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</si>
  <si>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</si>
  <si>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</si>
  <si>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</si>
  <si>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</si>
  <si>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</si>
  <si>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</si>
  <si>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</si>
  <si>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</si>
  <si>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</si>
  <si>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</si>
  <si>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</si>
  <si>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</si>
  <si>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</si>
  <si>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</si>
  <si>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</si>
  <si>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</si>
  <si>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</si>
  <si>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</si>
  <si>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</si>
  <si>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</si>
  <si>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</si>
  <si>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</si>
  <si>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</si>
  <si>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</si>
  <si>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</si>
  <si>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</si>
  <si>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</si>
  <si>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</si>
  <si>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</si>
  <si>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</si>
  <si>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</si>
  <si>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</si>
  <si>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</si>
  <si>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</si>
  <si>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</si>
  <si>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</si>
  <si>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</si>
  <si>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</si>
  <si>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</si>
  <si>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</si>
  <si>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</si>
  <si>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</si>
  <si>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</si>
  <si>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</si>
  <si>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</si>
  <si>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</si>
  <si>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</si>
  <si>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</si>
  <si>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</si>
  <si>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</si>
  <si>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</si>
  <si>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</si>
  <si>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</si>
  <si>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</si>
  <si>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</si>
  <si>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</si>
  <si>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</si>
  <si>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</si>
  <si>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</si>
  <si>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</si>
  <si>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</si>
  <si>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</si>
  <si>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</si>
  <si>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</si>
  <si>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</si>
  <si>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</si>
  <si>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</si>
  <si>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</si>
  <si>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</si>
  <si>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</si>
  <si>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</si>
  <si>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</si>
  <si>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</si>
  <si>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</si>
  <si>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</si>
  <si>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</si>
  <si>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</si>
  <si>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</si>
  <si>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</si>
  <si>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</si>
  <si>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</si>
  <si>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</si>
  <si>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</si>
  <si>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</si>
  <si>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</si>
  <si>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</si>
  <si>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</si>
  <si>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</si>
  <si>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</si>
  <si>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</si>
  <si>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</si>
  <si>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</si>
  <si>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</si>
  <si>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</si>
  <si>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</si>
  <si>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</si>
  <si>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</si>
  <si>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</si>
  <si>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</si>
  <si>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</si>
  <si>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</si>
  <si>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</si>
  <si>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</si>
  <si>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</si>
  <si>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</si>
  <si>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</si>
  <si>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</si>
  <si>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</si>
  <si>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</si>
  <si>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</si>
  <si>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</si>
  <si>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</si>
  <si>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</si>
  <si>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</si>
  <si>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</si>
  <si>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</si>
  <si>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</si>
  <si>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</si>
  <si>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</si>
  <si>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</si>
  <si>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</si>
  <si>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</si>
  <si>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</si>
  <si>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</si>
  <si>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</si>
  <si>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</si>
  <si>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</si>
  <si>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</si>
  <si>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</si>
  <si>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</si>
  <si>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</si>
  <si>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</si>
  <si>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</si>
  <si>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</si>
  <si>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</si>
  <si>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</si>
  <si>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</si>
  <si>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</si>
  <si>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</si>
  <si>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</si>
  <si>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</si>
  <si>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</si>
  <si>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</si>
  <si>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</si>
  <si>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</si>
  <si>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</si>
  <si>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</si>
  <si>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</si>
  <si>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</si>
  <si>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</si>
  <si>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</si>
  <si>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</si>
  <si>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</si>
  <si>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</si>
  <si>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</si>
  <si>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</si>
  <si>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</si>
  <si>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</si>
  <si>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</si>
  <si>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</si>
  <si>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</si>
  <si>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</si>
  <si>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</si>
  <si>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</si>
  <si>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</si>
  <si>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</si>
  <si>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</si>
  <si>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</si>
  <si>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</si>
  <si>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</si>
  <si>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</si>
  <si>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</si>
  <si>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</si>
  <si>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</si>
  <si>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rPr>
        <sz val="10"/>
        <color theme="9" tint="-0.249977111117893"/>
        <rFont val="宋体"/>
        <family val="3"/>
        <charset val="134"/>
      </rPr>
      <t>东城区王府井大街</t>
    </r>
    <r>
      <rPr>
        <sz val="10"/>
        <color theme="9" tint="-0.249977111117893"/>
        <rFont val="Arial"/>
        <family val="2"/>
      </rPr>
      <t>57</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phoneticPr fontId="6" type="noConversion"/>
  </si>
  <si>
    <t>Ⅰ—01</t>
  </si>
  <si>
    <t>是</t>
  </si>
  <si>
    <t>地上</t>
  </si>
  <si>
    <t>酒店</t>
  </si>
  <si>
    <t>王府井大街</t>
  </si>
  <si>
    <t>序号</t>
    <phoneticPr fontId="134" type="noConversion"/>
  </si>
  <si>
    <t>产证号</t>
    <phoneticPr fontId="134" type="noConversion"/>
  </si>
  <si>
    <t>产权人</t>
    <phoneticPr fontId="134" type="noConversion"/>
  </si>
  <si>
    <t>坐落</t>
    <phoneticPr fontId="134" type="noConversion"/>
  </si>
  <si>
    <t>用途</t>
    <phoneticPr fontId="134" type="noConversion"/>
  </si>
  <si>
    <t>建筑面积</t>
    <phoneticPr fontId="134" type="noConversion"/>
  </si>
  <si>
    <t>京（2018）东不动产权第0025188号</t>
    <phoneticPr fontId="134" type="noConversion"/>
  </si>
  <si>
    <t>王府井饭店管理有限公司</t>
    <phoneticPr fontId="134" type="noConversion"/>
  </si>
  <si>
    <t>东城区王府井大街57号1幢-1层，-2层</t>
    <phoneticPr fontId="134" type="noConversion"/>
  </si>
  <si>
    <t>酒店及附属设施、地下车库</t>
    <phoneticPr fontId="134" type="noConversion"/>
  </si>
  <si>
    <t>钢混</t>
    <phoneticPr fontId="134" type="noConversion"/>
  </si>
  <si>
    <t>京（2018）东不动产权第0025185号</t>
    <phoneticPr fontId="134" type="noConversion"/>
  </si>
  <si>
    <t>东城区王府井大街57号1幢</t>
    <phoneticPr fontId="134" type="noConversion"/>
  </si>
  <si>
    <t>酒店及附属设施、地下车库</t>
    <phoneticPr fontId="134" type="noConversion"/>
  </si>
  <si>
    <t>钢混</t>
    <phoneticPr fontId="134" type="noConversion"/>
  </si>
  <si>
    <t>京（2018）东不动产权第0025186号</t>
  </si>
  <si>
    <t>王府井饭店管理有限公司</t>
    <phoneticPr fontId="134" type="noConversion"/>
  </si>
  <si>
    <t>东城区王府井大街57号2幢1层</t>
    <phoneticPr fontId="134" type="noConversion"/>
  </si>
  <si>
    <t>酒店</t>
    <phoneticPr fontId="134" type="noConversion"/>
  </si>
  <si>
    <t>总土地面积</t>
    <phoneticPr fontId="134" type="noConversion"/>
  </si>
  <si>
    <t>1幢</t>
    <phoneticPr fontId="134" type="noConversion"/>
  </si>
  <si>
    <t>B1层</t>
    <phoneticPr fontId="134" type="noConversion"/>
  </si>
  <si>
    <t>B2层</t>
    <phoneticPr fontId="134" type="noConversion"/>
  </si>
  <si>
    <t>1层</t>
    <phoneticPr fontId="134" type="noConversion"/>
  </si>
  <si>
    <t>2层</t>
    <phoneticPr fontId="134" type="noConversion"/>
  </si>
  <si>
    <t>3层</t>
  </si>
  <si>
    <t>4层</t>
  </si>
  <si>
    <t>5层</t>
  </si>
  <si>
    <t>6层</t>
  </si>
  <si>
    <t>7层</t>
  </si>
  <si>
    <t>8层</t>
  </si>
  <si>
    <t>9层</t>
  </si>
  <si>
    <t>10层</t>
  </si>
  <si>
    <t>11层</t>
  </si>
  <si>
    <t>12层</t>
  </si>
  <si>
    <t>13层</t>
  </si>
  <si>
    <t>14层</t>
  </si>
  <si>
    <t>成新度</t>
  </si>
  <si>
    <t>利息：取LPR加浮动点数</t>
  </si>
  <si>
    <t>收益法</t>
  </si>
  <si>
    <t>押一</t>
  </si>
  <si>
    <t>钢混</t>
  </si>
  <si>
    <t>非生产用房</t>
  </si>
  <si>
    <t>楼层修正</t>
  </si>
  <si>
    <t>与级别开发程度一致</t>
  </si>
  <si>
    <t>通路</t>
  </si>
  <si>
    <t>通电</t>
  </si>
  <si>
    <t>通讯</t>
  </si>
  <si>
    <t>通上水</t>
  </si>
  <si>
    <t>通下水</t>
  </si>
  <si>
    <t>通热</t>
  </si>
  <si>
    <t>燃气</t>
  </si>
  <si>
    <t>平整</t>
  </si>
  <si>
    <t>好</t>
  </si>
  <si>
    <t>较好</t>
  </si>
  <si>
    <t>一般</t>
  </si>
  <si>
    <t>未包含在土地购买价格中</t>
  </si>
  <si>
    <t>全部缴纳</t>
  </si>
  <si>
    <t>已包含在土地取得成本中</t>
  </si>
  <si>
    <t>现房</t>
  </si>
  <si>
    <t>项目局部</t>
  </si>
  <si>
    <t>成本法</t>
  </si>
  <si>
    <t>总价</t>
  </si>
  <si>
    <t>成本比率</t>
  </si>
  <si>
    <t>出让金</t>
    <phoneticPr fontId="134" type="noConversion"/>
  </si>
  <si>
    <t>出让合同</t>
    <phoneticPr fontId="134" type="noConversion"/>
  </si>
  <si>
    <t>地上商业</t>
    <phoneticPr fontId="134" type="noConversion"/>
  </si>
  <si>
    <t>地下商业</t>
    <phoneticPr fontId="134" type="noConversion"/>
  </si>
  <si>
    <t>地下车库</t>
    <phoneticPr fontId="134" type="noConversion"/>
  </si>
  <si>
    <t>地下设备</t>
    <phoneticPr fontId="134" type="noConversion"/>
  </si>
  <si>
    <t>地下合计</t>
    <phoneticPr fontId="134" type="noConversion"/>
  </si>
  <si>
    <t>折算到</t>
    <phoneticPr fontId="134" type="noConversion"/>
  </si>
  <si>
    <t>经营性用途</t>
    <phoneticPr fontId="134" type="noConversion"/>
  </si>
  <si>
    <t>地价款</t>
    <phoneticPr fontId="134" type="noConversion"/>
  </si>
  <si>
    <t>出让金+开发费</t>
  </si>
  <si>
    <t>情况3</t>
  </si>
  <si>
    <t>正常</t>
  </si>
  <si>
    <t>自行开发建设</t>
  </si>
  <si>
    <t>非个人房产</t>
  </si>
  <si>
    <t>分摊土地面积</t>
    <phoneticPr fontId="134" type="noConversion"/>
  </si>
  <si>
    <t>合计</t>
    <phoneticPr fontId="134" type="noConversion"/>
  </si>
  <si>
    <t>地下</t>
  </si>
  <si>
    <t>酒店</t>
    <phoneticPr fontId="7" type="noConversion"/>
  </si>
  <si>
    <t>豪华大床房</t>
    <phoneticPr fontId="3" type="noConversion"/>
  </si>
  <si>
    <t>贵客大床房</t>
    <phoneticPr fontId="3" type="noConversion"/>
  </si>
  <si>
    <t>行政大床房</t>
    <phoneticPr fontId="3" type="noConversion"/>
  </si>
  <si>
    <t>贵客双床房</t>
    <phoneticPr fontId="3" type="noConversion"/>
  </si>
  <si>
    <t>豪华双床房</t>
    <phoneticPr fontId="3" type="noConversion"/>
  </si>
  <si>
    <t>行政双床房</t>
    <phoneticPr fontId="3" type="noConversion"/>
  </si>
  <si>
    <t>套房</t>
    <phoneticPr fontId="3" type="noConversion"/>
  </si>
  <si>
    <t>大堂吧</t>
    <phoneticPr fontId="3" type="noConversion"/>
  </si>
  <si>
    <t>按比例</t>
  </si>
  <si>
    <t>收益法-酒店模型</t>
  </si>
  <si>
    <t>营业收入</t>
    <phoneticPr fontId="134" type="noConversion"/>
  </si>
  <si>
    <t>营业成本</t>
    <phoneticPr fontId="134" type="noConversion"/>
  </si>
  <si>
    <t>销售费用</t>
    <phoneticPr fontId="134" type="noConversion"/>
  </si>
  <si>
    <t>管理费用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</si>
</sst>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07" fillId="0" borderId="0" xfId="0" applyFont="1" applyAlignment="1">
      <alignment vertical="center" wrapText="1"/>
    </xf>
    <xf numFmtId="0" fontId="95" fillId="0" borderId="0" xfId="0" applyFont="1">
      <alignment vertical="center"/>
    </xf>
    <xf numFmtId="0" fontId="107" fillId="0" borderId="0" xfId="0" applyFont="1">
      <alignment vertical="center"/>
    </xf>
    <xf numFmtId="0" fontId="19" fillId="0" borderId="5" xfId="4"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731-P01&#37329;&#33538;&#19975;&#20029;&#37202;&#24215;&#22235;&#21512;&#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1061.22</v>
          </cell>
          <cell r="C14">
            <v>235.55</v>
          </cell>
          <cell r="D14">
            <v>7642</v>
          </cell>
          <cell r="G14">
            <v>7642</v>
          </cell>
          <cell r="I14">
            <v>3997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北京市东城区王府井大街57号2幢1层房地产抵押价值预评估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受贵公司委托，我公司对北京市东城区王府井大街57号2幢1层房地产抵押价值进行了预评估。</v>
      </c>
    </row>
    <row r="7" spans="1:2" s="1203" customFormat="1">
      <c r="A7" s="1201" t="s">
        <v>566</v>
      </c>
      <c r="B7" s="1202" t="str">
        <f>'预评函-1'!A7</f>
        <v>估价对象为北京市东城区王府井大街57号2幢1层房地产，为所有。根据《国有土地使用证》[]，估价对象（分摊）出让国有建设用地使用权面积为9622.35平方米，建筑面积为43351.65平方米。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王府井大街57号2幢1层房地产,属开发建设的，该项目尚在开发建设中。根据《国有土地使用证》[]，估价对象（分摊）出让国有建设用地使用权面积为9622.35平方米，规划建筑面积为43351.65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2022年12月26日（评估专业人员实地查勘之日）</v>
      </c>
    </row>
    <row r="13" spans="1:2" s="1203" customFormat="1">
      <c r="A13" s="1201" t="s">
        <v>529</v>
      </c>
      <c r="B13" s="1202" t="str">
        <f>'预评函-1'!A18</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162272</v>
      </c>
    </row>
    <row r="21" spans="1:2" s="1203" customFormat="1">
      <c r="A21" s="1201" t="s">
        <v>537</v>
      </c>
      <c r="B21" s="1202">
        <f ca="1">'预评函-2'!D7</f>
        <v>37432</v>
      </c>
    </row>
    <row r="22" spans="1:2" s="1203" customFormat="1">
      <c r="A22" s="1201" t="s">
        <v>538</v>
      </c>
      <c r="B22" s="1202" t="str">
        <f ca="1">'预评函-2'!D6</f>
        <v>壹拾陆亿贰仟贰佰柒拾贰万元整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162272</v>
      </c>
    </row>
    <row r="31" spans="1:2" s="1203" customFormat="1">
      <c r="A31" s="1201" t="s">
        <v>576</v>
      </c>
      <c r="B31" s="1202">
        <f ca="1">'预评函-2'!D15</f>
        <v>37432</v>
      </c>
    </row>
    <row r="32" spans="1:2" s="1203" customFormat="1">
      <c r="A32" s="1201" t="s">
        <v>543</v>
      </c>
      <c r="B32" s="1202" t="str">
        <f ca="1">'预评函-2'!D14</f>
        <v>壹拾陆亿贰仟贰佰柒拾贰万元整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117294</v>
      </c>
    </row>
    <row r="39" spans="1:2" s="1203" customFormat="1">
      <c r="A39" s="1201" t="s">
        <v>545</v>
      </c>
      <c r="B39" s="1202">
        <f ca="1">'预评函-2'!D21</f>
        <v>27056</v>
      </c>
    </row>
    <row r="40" spans="1:2" s="1203" customFormat="1">
      <c r="A40" s="1201" t="s">
        <v>546</v>
      </c>
      <c r="B40" s="1202" t="str">
        <f ca="1">'预评函-2'!D20</f>
        <v>壹拾壹亿柒仟贰佰玖拾肆万元整</v>
      </c>
    </row>
    <row r="41" spans="1:2" s="1203" customFormat="1">
      <c r="A41" s="1201" t="s">
        <v>592</v>
      </c>
      <c r="B41" s="1202" t="str">
        <f>'预评函-3'!A4</f>
        <v>北京市东城区王府井大街57号2幢1层房地产</v>
      </c>
    </row>
    <row r="42" spans="1:2" s="1203" customFormat="1">
      <c r="A42" s="1201" t="s">
        <v>590</v>
      </c>
      <c r="B42" s="1202" t="str">
        <f>'预评函-3'!B2</f>
        <v>建筑面积</v>
      </c>
    </row>
    <row r="43" spans="1:2" s="1203" customFormat="1">
      <c r="A43" s="1201" t="s">
        <v>591</v>
      </c>
      <c r="B43" s="1202">
        <f>'预评函-3'!B4</f>
        <v>43351.65</v>
      </c>
    </row>
    <row r="44" spans="1:2" s="1203" customFormat="1">
      <c r="A44" s="1201" t="s">
        <v>575</v>
      </c>
      <c r="B44" s="1202" t="str">
        <f>'预评函-3'!C2</f>
        <v>(分摊)土地面积</v>
      </c>
    </row>
    <row r="45" spans="1:2" s="1203" customFormat="1">
      <c r="A45" s="1201" t="s">
        <v>547</v>
      </c>
      <c r="B45" s="1202">
        <f>'预评函-3'!C4</f>
        <v>9622.35</v>
      </c>
    </row>
    <row r="46" spans="1:2" s="1203" customFormat="1">
      <c r="A46" s="1201" t="s">
        <v>573</v>
      </c>
      <c r="B46" s="1202" t="str">
        <f>'预评函-3'!D2</f>
        <v>出让国有建设用地使用权价值</v>
      </c>
    </row>
    <row r="47" spans="1:2" s="1203" customFormat="1">
      <c r="A47" s="1201" t="s">
        <v>548</v>
      </c>
      <c r="B47" s="1202">
        <f ca="1">'预评函-3'!D4</f>
        <v>124300</v>
      </c>
    </row>
    <row r="48" spans="1:2" s="1203" customFormat="1">
      <c r="A48" s="1201" t="s">
        <v>549</v>
      </c>
      <c r="B48" s="1202">
        <f ca="1">'预评函-3'!E4</f>
        <v>28673</v>
      </c>
    </row>
    <row r="49" spans="1:2" s="1203" customFormat="1">
      <c r="A49" s="1201" t="s">
        <v>550</v>
      </c>
      <c r="B49" s="1202" t="str">
        <f ca="1">'预评函-3'!D5</f>
        <v>壹拾贰亿肆仟叁佰万元整</v>
      </c>
    </row>
    <row r="50" spans="1:2" s="1203" customFormat="1">
      <c r="A50" s="1201" t="s">
        <v>574</v>
      </c>
      <c r="B50" s="1202" t="str">
        <f>'预评函-3'!F2</f>
        <v>在建建筑物价值</v>
      </c>
    </row>
    <row r="51" spans="1:2" s="1203" customFormat="1">
      <c r="A51" s="1201" t="s">
        <v>551</v>
      </c>
      <c r="B51" s="1202">
        <f ca="1">'预评函-3'!F4</f>
        <v>37972</v>
      </c>
    </row>
    <row r="52" spans="1:2" s="1203" customFormat="1">
      <c r="A52" s="1201" t="s">
        <v>552</v>
      </c>
      <c r="B52" s="1202">
        <f ca="1">'预评函-3'!G4</f>
        <v>8759</v>
      </c>
    </row>
    <row r="53" spans="1:2" s="1203" customFormat="1">
      <c r="A53" s="1201" t="s">
        <v>580</v>
      </c>
      <c r="B53" s="1202" t="str">
        <f ca="1">'预评函-3'!F5</f>
        <v>叁亿柒仟玖佰柒拾贰万元整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2571</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2572</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2494</v>
      </c>
      <c r="B1" s="3010"/>
      <c r="C1" s="3010"/>
      <c r="D1" s="3010"/>
      <c r="E1" s="3010"/>
      <c r="F1" s="3011"/>
      <c r="I1" s="3435" t="s">
        <v>2587</v>
      </c>
      <c r="J1" s="3223"/>
      <c r="K1" s="3223"/>
      <c r="L1" s="3223"/>
      <c r="M1" s="3223"/>
      <c r="N1" s="3436"/>
      <c r="O1" s="3436"/>
      <c r="P1" s="3436"/>
      <c r="Q1" s="3436"/>
      <c r="R1" s="3436"/>
    </row>
    <row r="2" spans="1:18">
      <c r="A2" s="3013"/>
      <c r="B2" s="3014"/>
      <c r="C2" s="3014"/>
      <c r="D2" s="3014"/>
      <c r="E2" s="3014"/>
      <c r="F2" s="3015"/>
      <c r="I2" s="3489" t="s">
        <v>2574</v>
      </c>
      <c r="J2" s="3489"/>
      <c r="K2" s="3489"/>
      <c r="L2" s="3489"/>
      <c r="M2" s="3489"/>
      <c r="N2" s="3489"/>
      <c r="O2" s="3489"/>
      <c r="P2" s="3489"/>
      <c r="Q2" s="3489"/>
      <c r="R2" s="3489"/>
    </row>
    <row r="3" spans="1:18">
      <c r="A3" s="3016" t="s">
        <v>2495</v>
      </c>
      <c r="B3" s="3017">
        <f>项目基本情况!D3</f>
        <v>44921</v>
      </c>
      <c r="C3" s="3019"/>
      <c r="D3" s="3019"/>
      <c r="E3" s="3019"/>
      <c r="F3" s="3015"/>
      <c r="I3" s="3437"/>
      <c r="J3" s="3437" t="s">
        <v>2578</v>
      </c>
      <c r="K3" s="3437" t="s">
        <v>2579</v>
      </c>
      <c r="L3" s="3437" t="s">
        <v>2580</v>
      </c>
      <c r="M3" s="3437" t="s">
        <v>2581</v>
      </c>
      <c r="N3" s="3438" t="s">
        <v>2582</v>
      </c>
      <c r="O3" s="3438" t="s">
        <v>2583</v>
      </c>
      <c r="P3" s="3438" t="s">
        <v>2584</v>
      </c>
      <c r="Q3" s="3438" t="s">
        <v>2585</v>
      </c>
      <c r="R3" s="3438" t="s">
        <v>2586</v>
      </c>
    </row>
    <row r="4" spans="1:18">
      <c r="A4" s="3016" t="s">
        <v>2496</v>
      </c>
      <c r="B4" s="3019" t="s">
        <v>2497</v>
      </c>
      <c r="C4" s="3019" t="s">
        <v>2498</v>
      </c>
      <c r="D4" s="3019" t="s">
        <v>2499</v>
      </c>
      <c r="E4" s="3019" t="s">
        <v>2500</v>
      </c>
      <c r="F4" s="3015"/>
      <c r="I4" s="3437" t="s">
        <v>2575</v>
      </c>
      <c r="J4" s="3437">
        <v>80</v>
      </c>
      <c r="K4" s="3437">
        <v>70</v>
      </c>
      <c r="L4" s="3437">
        <v>20</v>
      </c>
      <c r="M4" s="3437">
        <v>30</v>
      </c>
      <c r="N4" s="3019">
        <v>45</v>
      </c>
      <c r="O4" s="3019">
        <v>60</v>
      </c>
      <c r="P4" s="3019">
        <v>50</v>
      </c>
      <c r="Q4" s="3019">
        <v>20</v>
      </c>
      <c r="R4" s="3019">
        <v>375</v>
      </c>
    </row>
    <row r="5" spans="1:18">
      <c r="A5" s="3020">
        <v>40</v>
      </c>
      <c r="B5" s="3017">
        <v>46375</v>
      </c>
      <c r="C5" s="3019">
        <f>ROUNDDOWN(MIN((B5-B3)/365,A5),2)</f>
        <v>3.98</v>
      </c>
      <c r="D5" s="3021">
        <f>IF(ISERROR(ROUND(POWER(1+E5,A5-C5)*(POWER(1+E5,C5)-1)/(POWER(1+E5,A5)-1),3)),0,ROUND(POWER(1+E5,A5-C5)*(POWER(1+E5,C5)-1)/(POWER(1+E5,A5)-1),4))</f>
        <v>0.1825</v>
      </c>
      <c r="E5" s="3022">
        <v>0.04</v>
      </c>
      <c r="F5" s="3015"/>
      <c r="I5" s="3437" t="s">
        <v>2576</v>
      </c>
      <c r="J5" s="3437">
        <v>70</v>
      </c>
      <c r="K5" s="3437">
        <v>60</v>
      </c>
      <c r="L5" s="3437">
        <v>15</v>
      </c>
      <c r="M5" s="3437">
        <v>25</v>
      </c>
      <c r="N5" s="3019">
        <v>40</v>
      </c>
      <c r="O5" s="3019">
        <v>50</v>
      </c>
      <c r="P5" s="3019">
        <v>40</v>
      </c>
      <c r="Q5" s="3019">
        <v>15</v>
      </c>
      <c r="R5" s="3019">
        <v>315</v>
      </c>
    </row>
    <row r="6" spans="1:18">
      <c r="A6" s="3020">
        <v>50</v>
      </c>
      <c r="B6" s="3017">
        <v>50028</v>
      </c>
      <c r="C6" s="3019">
        <f>ROUNDDOWN(MIN((B6-B3)/365,A6),2)</f>
        <v>13.99</v>
      </c>
      <c r="D6" s="3021">
        <f>IF(ISERROR(ROUND(POWER(1+E6,A6-C6)*(POWER(1+E6,C6)-1)/(POWER(1+E6,A6)-1),3)),0,ROUND(POWER(1+E6,A6-C6)*(POWER(1+E6,C6)-1)/(POWER(1+E6,A6)-1),4))</f>
        <v>0.49149999999999999</v>
      </c>
      <c r="E6" s="3022">
        <v>0.04</v>
      </c>
      <c r="F6" s="3015"/>
      <c r="I6" s="3437" t="s">
        <v>2577</v>
      </c>
      <c r="J6" s="3437">
        <v>60</v>
      </c>
      <c r="K6" s="3437">
        <v>50</v>
      </c>
      <c r="L6" s="3437">
        <v>10</v>
      </c>
      <c r="M6" s="3437">
        <v>20</v>
      </c>
      <c r="N6" s="3019">
        <v>35</v>
      </c>
      <c r="O6" s="3019">
        <v>40</v>
      </c>
      <c r="P6" s="3019">
        <v>30</v>
      </c>
      <c r="Q6" s="3019">
        <v>10</v>
      </c>
      <c r="R6" s="3019">
        <v>255</v>
      </c>
    </row>
    <row r="7" spans="1:18">
      <c r="A7" s="3020">
        <v>70</v>
      </c>
      <c r="B7" s="3017">
        <v>57333</v>
      </c>
      <c r="C7" s="3019">
        <f>ROUNDDOWN(MIN((B7-B3)/365,A7),2)</f>
        <v>34</v>
      </c>
      <c r="D7" s="3021">
        <f>IF(ISERROR(ROUND(POWER(1+E7,A7-C7)*(POWER(1+E7,C7)-1)/(POWER(1+E7,A7)-1),3)),0,ROUND(POWER(1+E7,A7-C7)*(POWER(1+E7,C7)-1)/(POWER(1+E7,A7)-1),4))</f>
        <v>0.78700000000000003</v>
      </c>
      <c r="E7" s="3022">
        <v>0.04</v>
      </c>
      <c r="F7" s="3015"/>
    </row>
    <row r="8" spans="1:18">
      <c r="A8" s="3013"/>
      <c r="B8" s="3014"/>
      <c r="C8" s="3014"/>
      <c r="D8" s="3014"/>
      <c r="E8" s="3014"/>
      <c r="F8" s="3015"/>
    </row>
    <row r="9" spans="1:18">
      <c r="A9" s="3016" t="s">
        <v>2501</v>
      </c>
      <c r="B9" s="3019"/>
      <c r="C9" s="3019"/>
      <c r="D9" s="3019"/>
      <c r="E9" s="3019"/>
      <c r="F9" s="3023"/>
    </row>
    <row r="10" spans="1:18">
      <c r="A10" s="3016" t="s">
        <v>2502</v>
      </c>
      <c r="B10" s="3019"/>
      <c r="C10" s="3019"/>
      <c r="D10" s="3019" t="s">
        <v>2500</v>
      </c>
      <c r="E10" s="3019"/>
      <c r="F10" s="3023" t="s">
        <v>2499</v>
      </c>
    </row>
    <row r="11" spans="1:18">
      <c r="A11" s="3016" t="s">
        <v>2503</v>
      </c>
      <c r="B11" s="3024">
        <v>70</v>
      </c>
      <c r="C11" s="3019" t="s">
        <v>2504</v>
      </c>
      <c r="D11" s="3025">
        <v>4.4999999999999998E-2</v>
      </c>
      <c r="E11" s="3019" t="s">
        <v>2505</v>
      </c>
      <c r="F11" s="3026">
        <f>ROUND(1-(1/(POWER(1+D11,B11))),4)</f>
        <v>0.95409999999999995</v>
      </c>
    </row>
    <row r="12" spans="1:18">
      <c r="A12" s="3016" t="s">
        <v>2506</v>
      </c>
      <c r="B12" s="3024">
        <v>40</v>
      </c>
      <c r="C12" s="3019" t="s">
        <v>2507</v>
      </c>
      <c r="D12" s="3025">
        <v>4.4999999999999998E-2</v>
      </c>
      <c r="E12" s="3019" t="s">
        <v>2508</v>
      </c>
      <c r="F12" s="3026">
        <f>ROUND(1-(1/(POWER(1+D12,B12))),4)</f>
        <v>0.82809999999999995</v>
      </c>
    </row>
    <row r="13" spans="1:18">
      <c r="A13" s="3016" t="s">
        <v>2509</v>
      </c>
      <c r="B13" s="3019"/>
      <c r="C13" s="3019"/>
      <c r="D13" s="3014"/>
      <c r="E13" s="3014"/>
      <c r="F13" s="3015"/>
    </row>
    <row r="14" spans="1:18">
      <c r="A14" s="3016" t="s">
        <v>2510</v>
      </c>
      <c r="B14" s="3024">
        <v>5000</v>
      </c>
      <c r="C14" s="3018"/>
      <c r="D14" s="3014"/>
      <c r="E14" s="3014"/>
      <c r="F14" s="3015"/>
    </row>
    <row r="15" spans="1:18">
      <c r="A15" s="3016" t="s">
        <v>2511</v>
      </c>
      <c r="B15" s="3019">
        <f>ROUND(B14*F12/F11,2)</f>
        <v>4339.6899999999996</v>
      </c>
      <c r="C15" s="3019">
        <f>ROUND(F12/F11,4)</f>
        <v>0.8679</v>
      </c>
      <c r="D15" s="3014"/>
      <c r="E15" s="3014"/>
      <c r="F15" s="3015"/>
    </row>
    <row r="16" spans="1:18">
      <c r="A16" s="3016" t="s">
        <v>2512</v>
      </c>
      <c r="B16" s="3019"/>
      <c r="C16" s="3019"/>
      <c r="D16" s="3014"/>
      <c r="E16" s="3014"/>
      <c r="F16" s="3015"/>
    </row>
    <row r="17" spans="1:13">
      <c r="A17" s="3016" t="s">
        <v>2511</v>
      </c>
      <c r="B17" s="3025">
        <v>4810</v>
      </c>
      <c r="C17" s="3018"/>
      <c r="D17" s="3014"/>
      <c r="E17" s="3014"/>
      <c r="F17" s="3015"/>
    </row>
    <row r="18" spans="1:13" ht="14.25" thickBot="1">
      <c r="A18" s="3027" t="s">
        <v>2510</v>
      </c>
      <c r="B18" s="3028">
        <f>ROUND(B17*F11/F12,2)</f>
        <v>5541.87</v>
      </c>
      <c r="C18" s="3028">
        <f>ROUND(F11/F12,4)</f>
        <v>1.1521999999999999</v>
      </c>
      <c r="D18" s="3029"/>
      <c r="E18" s="3029"/>
      <c r="F18" s="3030"/>
    </row>
    <row r="19" spans="1:13" ht="14.25" thickBot="1"/>
    <row r="20" spans="1:13" s="3065" customFormat="1" ht="14.25" thickTop="1">
      <c r="A20" s="3062" t="s">
        <v>2513</v>
      </c>
      <c r="B20" s="3063"/>
      <c r="C20" s="3063"/>
      <c r="D20" s="3063"/>
      <c r="E20" s="3063"/>
      <c r="F20" s="3063"/>
      <c r="G20" s="3064"/>
      <c r="I20" s="3066" t="s">
        <v>2558</v>
      </c>
      <c r="J20" s="3066" t="s">
        <v>2563</v>
      </c>
      <c r="K20" s="3066"/>
      <c r="L20" s="3066"/>
      <c r="M20" s="3066"/>
    </row>
    <row r="21" spans="1:13">
      <c r="A21" s="3031"/>
      <c r="B21" s="3032" t="s">
        <v>2514</v>
      </c>
      <c r="C21" s="3032" t="s">
        <v>2515</v>
      </c>
      <c r="D21" s="3032" t="s">
        <v>2516</v>
      </c>
      <c r="E21" s="3032" t="s">
        <v>2517</v>
      </c>
      <c r="F21" s="3032" t="s">
        <v>2518</v>
      </c>
      <c r="G21" s="3033" t="s">
        <v>2519</v>
      </c>
      <c r="I21" s="3054">
        <v>5</v>
      </c>
      <c r="J21" s="3054">
        <v>54.2</v>
      </c>
    </row>
    <row r="22" spans="1:13">
      <c r="A22" s="3031" t="s">
        <v>2520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2561</v>
      </c>
      <c r="M23" s="3054" t="s">
        <v>2562</v>
      </c>
    </row>
    <row r="24" spans="1:13">
      <c r="A24" s="3031" t="s">
        <v>2522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2560</v>
      </c>
      <c r="M24" s="3054">
        <v>10</v>
      </c>
    </row>
    <row r="25" spans="1:13">
      <c r="A25" s="3031" t="s">
        <v>2523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2564</v>
      </c>
      <c r="M25" s="3054">
        <v>8</v>
      </c>
    </row>
    <row r="26" spans="1:13">
      <c r="A26" s="3036"/>
      <c r="B26" s="3037"/>
      <c r="C26" s="3037"/>
      <c r="D26" s="3037"/>
      <c r="E26" s="3037"/>
      <c r="F26" s="3037"/>
      <c r="G26" s="3038"/>
      <c r="I26" s="3054">
        <v>30</v>
      </c>
      <c r="J26" s="3054">
        <v>90.5</v>
      </c>
      <c r="K26" s="3054">
        <f t="shared" si="2"/>
        <v>4.2000000000000028</v>
      </c>
      <c r="L26" s="3054" t="s">
        <v>2565</v>
      </c>
      <c r="M26" s="3054">
        <v>5</v>
      </c>
    </row>
    <row r="27" spans="1:13">
      <c r="A27" s="3036" t="s">
        <v>2524</v>
      </c>
      <c r="B27" s="3037"/>
      <c r="C27" s="3037"/>
      <c r="D27" s="3037"/>
      <c r="E27" s="3037"/>
      <c r="F27" s="3037"/>
      <c r="G27" s="3038"/>
      <c r="I27" s="3054">
        <v>35</v>
      </c>
      <c r="J27" s="3054">
        <v>93.8</v>
      </c>
      <c r="K27" s="3054">
        <f t="shared" si="2"/>
        <v>3.2999999999999972</v>
      </c>
      <c r="L27" s="3054" t="s">
        <v>2566</v>
      </c>
      <c r="M27" s="3054">
        <v>3</v>
      </c>
    </row>
    <row r="28" spans="1:13">
      <c r="A28" s="3036" t="s">
        <v>2525</v>
      </c>
      <c r="B28" s="3037"/>
      <c r="C28" s="3037"/>
      <c r="D28" s="3037"/>
      <c r="E28" s="3037"/>
      <c r="F28" s="3037"/>
      <c r="G28" s="3038"/>
      <c r="I28" s="3054">
        <v>40</v>
      </c>
      <c r="J28" s="3054">
        <v>96.4</v>
      </c>
      <c r="K28" s="3054">
        <f t="shared" si="2"/>
        <v>2.6000000000000085</v>
      </c>
      <c r="L28" s="3054" t="s">
        <v>2567</v>
      </c>
      <c r="M28" s="3054">
        <v>2</v>
      </c>
    </row>
    <row r="29" spans="1:13">
      <c r="A29" s="3036" t="s">
        <v>2526</v>
      </c>
      <c r="B29" s="3037"/>
      <c r="C29" s="3037"/>
      <c r="D29" s="3037"/>
      <c r="E29" s="3037"/>
      <c r="F29" s="3037"/>
      <c r="G29" s="3038"/>
      <c r="I29" s="3054">
        <v>45</v>
      </c>
      <c r="J29" s="3054">
        <v>98.4</v>
      </c>
      <c r="K29" s="3054">
        <f t="shared" si="2"/>
        <v>2</v>
      </c>
    </row>
    <row r="30" spans="1:13">
      <c r="A30" s="3036" t="s">
        <v>2527</v>
      </c>
      <c r="B30" s="3037"/>
      <c r="C30" s="3037"/>
      <c r="D30" s="3037"/>
      <c r="E30" s="3037"/>
      <c r="F30" s="3037"/>
      <c r="G30" s="3038"/>
      <c r="I30" s="3054">
        <v>50</v>
      </c>
      <c r="J30" s="3054">
        <v>100</v>
      </c>
      <c r="K30" s="3054">
        <f t="shared" si="2"/>
        <v>1.5999999999999943</v>
      </c>
    </row>
    <row r="31" spans="1:13">
      <c r="A31" s="3036" t="s">
        <v>2528</v>
      </c>
      <c r="B31" s="3037"/>
      <c r="C31" s="3037"/>
      <c r="D31" s="3037"/>
      <c r="E31" s="3037"/>
      <c r="F31" s="3037"/>
      <c r="G31" s="3038"/>
      <c r="I31" s="3054" t="s">
        <v>2559</v>
      </c>
    </row>
    <row r="32" spans="1:13">
      <c r="A32" s="3036" t="s">
        <v>2529</v>
      </c>
      <c r="B32" s="3037"/>
      <c r="C32" s="3037"/>
      <c r="D32" s="3037"/>
      <c r="E32" s="3037"/>
      <c r="F32" s="3037"/>
      <c r="G32" s="3038"/>
    </row>
    <row r="33" spans="1:13">
      <c r="A33" s="3036" t="s">
        <v>2530</v>
      </c>
      <c r="B33" s="3037"/>
      <c r="C33" s="3037"/>
      <c r="D33" s="3037"/>
      <c r="E33" s="3037"/>
      <c r="F33" s="3037"/>
      <c r="G33" s="3038"/>
      <c r="I33" s="3054" t="s">
        <v>2558</v>
      </c>
      <c r="J33" s="3054" t="s">
        <v>2568</v>
      </c>
    </row>
    <row r="34" spans="1:13">
      <c r="A34" s="3036" t="s">
        <v>2531</v>
      </c>
      <c r="B34" s="3037"/>
      <c r="C34" s="3037"/>
      <c r="D34" s="3037"/>
      <c r="E34" s="3037"/>
      <c r="F34" s="3037"/>
      <c r="G34" s="3038"/>
      <c r="I34" s="3054">
        <v>5</v>
      </c>
      <c r="J34" s="3054">
        <v>55.1</v>
      </c>
    </row>
    <row r="35" spans="1:13">
      <c r="A35" s="3036" t="s">
        <v>2532</v>
      </c>
      <c r="B35" s="3037"/>
      <c r="C35" s="3037"/>
      <c r="D35" s="3037"/>
      <c r="E35" s="3037"/>
      <c r="F35" s="3037"/>
      <c r="G35" s="3038"/>
      <c r="I35" s="3054">
        <v>10</v>
      </c>
      <c r="J35" s="3054">
        <v>67</v>
      </c>
      <c r="K35" s="3054">
        <f>J35-J34</f>
        <v>11.899999999999999</v>
      </c>
    </row>
    <row r="36" spans="1:13">
      <c r="A36" s="3036" t="s">
        <v>2533</v>
      </c>
      <c r="B36" s="3037"/>
      <c r="C36" s="3037"/>
      <c r="D36" s="3037"/>
      <c r="E36" s="3037"/>
      <c r="F36" s="3037"/>
      <c r="G36" s="3038"/>
      <c r="I36" s="3054">
        <v>15</v>
      </c>
      <c r="J36" s="3054">
        <v>76.3</v>
      </c>
      <c r="K36" s="3054">
        <f t="shared" ref="K36:K41" si="3">J36-J35</f>
        <v>9.2999999999999972</v>
      </c>
      <c r="L36" s="3054" t="s">
        <v>2561</v>
      </c>
      <c r="M36" s="3054" t="s">
        <v>2562</v>
      </c>
    </row>
    <row r="37" spans="1:13">
      <c r="A37" s="3036" t="s">
        <v>2534</v>
      </c>
      <c r="B37" s="3037"/>
      <c r="C37" s="3037"/>
      <c r="D37" s="3037"/>
      <c r="E37" s="3037"/>
      <c r="F37" s="3037"/>
      <c r="G37" s="3038"/>
      <c r="I37" s="3054">
        <v>20</v>
      </c>
      <c r="J37" s="3054">
        <v>83.6</v>
      </c>
      <c r="K37" s="3054">
        <f t="shared" si="3"/>
        <v>7.2999999999999972</v>
      </c>
      <c r="L37" s="3054" t="s">
        <v>2560</v>
      </c>
      <c r="M37" s="3054">
        <v>10</v>
      </c>
    </row>
    <row r="38" spans="1:13">
      <c r="A38" s="3036" t="s">
        <v>2535</v>
      </c>
      <c r="B38" s="3037"/>
      <c r="C38" s="3037"/>
      <c r="D38" s="3037"/>
      <c r="E38" s="3037"/>
      <c r="F38" s="3037"/>
      <c r="G38" s="3038"/>
      <c r="I38" s="3054">
        <v>25</v>
      </c>
      <c r="J38" s="3054">
        <v>89.3</v>
      </c>
      <c r="K38" s="3054">
        <f t="shared" si="3"/>
        <v>5.7000000000000028</v>
      </c>
      <c r="L38" s="3054" t="s">
        <v>2564</v>
      </c>
      <c r="M38" s="3054">
        <v>8</v>
      </c>
    </row>
    <row r="39" spans="1:13">
      <c r="A39" s="3036"/>
      <c r="B39" s="3037"/>
      <c r="C39" s="3037"/>
      <c r="D39" s="3037"/>
      <c r="E39" s="3037"/>
      <c r="F39" s="3037"/>
      <c r="G39" s="3038"/>
      <c r="I39" s="3054">
        <v>30</v>
      </c>
      <c r="J39" s="3054">
        <v>93.8</v>
      </c>
      <c r="K39" s="3054">
        <f t="shared" si="3"/>
        <v>4.5</v>
      </c>
      <c r="L39" s="3054" t="s">
        <v>2565</v>
      </c>
      <c r="M39" s="3054">
        <v>6</v>
      </c>
    </row>
    <row r="40" spans="1:13">
      <c r="A40" s="3039" t="s">
        <v>2536</v>
      </c>
      <c r="B40" s="3040"/>
      <c r="C40" s="3040"/>
      <c r="D40" s="3040"/>
      <c r="E40" s="3040"/>
      <c r="F40" s="3040"/>
      <c r="G40" s="3041"/>
      <c r="I40" s="3054">
        <v>35</v>
      </c>
      <c r="J40" s="3054">
        <v>97.2</v>
      </c>
      <c r="K40" s="3054">
        <f t="shared" si="3"/>
        <v>3.4000000000000057</v>
      </c>
      <c r="L40" s="3054" t="s">
        <v>2566</v>
      </c>
      <c r="M40" s="3054">
        <v>3</v>
      </c>
    </row>
    <row r="41" spans="1:13">
      <c r="A41" s="3042" t="s">
        <v>2537</v>
      </c>
      <c r="B41" s="3043" t="s">
        <v>2538</v>
      </c>
      <c r="C41" s="3044" t="s">
        <v>2539</v>
      </c>
      <c r="D41" s="3044" t="s">
        <v>2540</v>
      </c>
      <c r="E41" s="3045"/>
      <c r="F41" s="3046"/>
      <c r="G41" s="3047"/>
      <c r="I41" s="3054">
        <v>40</v>
      </c>
      <c r="J41" s="3054">
        <v>100</v>
      </c>
      <c r="K41" s="3054">
        <f t="shared" si="3"/>
        <v>2.7999999999999972</v>
      </c>
    </row>
    <row r="42" spans="1:13">
      <c r="A42" s="3042" t="s">
        <v>2541</v>
      </c>
      <c r="B42" s="3043" t="s">
        <v>2542</v>
      </c>
      <c r="C42" s="3044" t="s">
        <v>2543</v>
      </c>
      <c r="D42" s="3048" t="s">
        <v>2544</v>
      </c>
      <c r="E42" s="3040" t="s">
        <v>2545</v>
      </c>
      <c r="F42" s="3040"/>
      <c r="G42" s="3041"/>
    </row>
    <row r="43" spans="1:13">
      <c r="A43" s="3042" t="s">
        <v>2546</v>
      </c>
      <c r="B43" s="3043" t="s">
        <v>2547</v>
      </c>
      <c r="C43" s="3044" t="s">
        <v>2548</v>
      </c>
      <c r="D43" s="3044" t="s">
        <v>2549</v>
      </c>
      <c r="E43" s="3045" t="s">
        <v>2550</v>
      </c>
      <c r="F43" s="3046"/>
      <c r="G43" s="3047"/>
      <c r="I43" s="3054" t="s">
        <v>2558</v>
      </c>
      <c r="J43" s="3054" t="s">
        <v>2569</v>
      </c>
    </row>
    <row r="44" spans="1:13">
      <c r="A44" s="3042" t="s">
        <v>2551</v>
      </c>
      <c r="B44" s="3043" t="s">
        <v>2552</v>
      </c>
      <c r="C44" s="3044" t="s">
        <v>2553</v>
      </c>
      <c r="D44" s="3048">
        <v>0.5</v>
      </c>
      <c r="E44" s="3045" t="s">
        <v>2554</v>
      </c>
      <c r="F44" s="3046"/>
      <c r="G44" s="3047"/>
      <c r="I44" s="3054">
        <v>30</v>
      </c>
      <c r="J44" s="3054">
        <v>81.7</v>
      </c>
    </row>
    <row r="45" spans="1:13" ht="14.25" thickBot="1">
      <c r="A45" s="3049" t="s">
        <v>2555</v>
      </c>
      <c r="B45" s="3050" t="s">
        <v>2542</v>
      </c>
      <c r="C45" s="3051" t="s">
        <v>2542</v>
      </c>
      <c r="D45" s="3051" t="s">
        <v>2556</v>
      </c>
      <c r="E45" s="3052" t="s">
        <v>2557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49" sqref="J4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0" t="str">
        <f>IF(B10="北京市","北京市",C10)&amp;F10&amp;IF(结果表!G1="在建","出让国有建设用地使用权及在建建筑物",IF(结果表!G1="土地","出让国有建设用地使用权",))&amp;B9&amp;"预评估"</f>
        <v>北京市东城区王府井大街57号2幢1层房地产抵押价值预评估</v>
      </c>
      <c r="C1" s="3491"/>
      <c r="D1" s="3491"/>
      <c r="E1" s="3491"/>
      <c r="F1" s="3491"/>
      <c r="G1" s="3491"/>
      <c r="H1" s="3491"/>
      <c r="I1" s="349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北京市东城区王府井大街57号2幢1层房地产抵押价值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北京市东城区王府井大街57号2幢1层房地产</v>
      </c>
      <c r="T2" s="1745"/>
      <c r="U2" s="1745"/>
      <c r="V2" s="1745"/>
      <c r="W2" s="1745"/>
      <c r="X2" s="1745"/>
      <c r="Y2" s="1745"/>
      <c r="Z2" s="1745"/>
      <c r="AA2" s="1745"/>
      <c r="AB2" s="1745"/>
    </row>
    <row r="3" spans="1:30">
      <c r="A3" s="302" t="s">
        <v>2170</v>
      </c>
      <c r="B3" s="2373">
        <v>44921</v>
      </c>
      <c r="C3" s="2374" t="s">
        <v>2171</v>
      </c>
      <c r="D3" s="2373">
        <f>B3</f>
        <v>44921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3364</v>
      </c>
      <c r="C8" s="2390"/>
      <c r="D8" s="3493" t="s">
        <v>2177</v>
      </c>
      <c r="E8" s="2391" t="s">
        <v>3365</v>
      </c>
      <c r="F8" s="2392"/>
      <c r="G8" s="2663"/>
      <c r="H8" s="2663"/>
      <c r="I8" s="2663"/>
      <c r="J8" s="2439"/>
      <c r="K8" s="2614"/>
      <c r="L8" s="2613"/>
      <c r="M8" s="2613"/>
      <c r="N8" s="2439"/>
      <c r="O8" s="2450"/>
      <c r="P8" s="2439"/>
      <c r="Q8" s="2439"/>
      <c r="R8" s="2439"/>
    </row>
    <row r="9" spans="1:30" ht="13.5" thickBot="1">
      <c r="A9" s="2393" t="s">
        <v>2178</v>
      </c>
      <c r="B9" s="2394" t="s">
        <v>3365</v>
      </c>
      <c r="C9" s="2395"/>
      <c r="D9" s="3494"/>
      <c r="E9" s="2394" t="s">
        <v>587</v>
      </c>
      <c r="F9" s="2396"/>
      <c r="G9" s="2665"/>
      <c r="H9" s="2665"/>
      <c r="I9" s="2665"/>
      <c r="J9" s="2439"/>
      <c r="K9" s="2616"/>
      <c r="L9" s="2613"/>
      <c r="M9" s="2613"/>
      <c r="N9" s="2439"/>
      <c r="O9" s="2450"/>
      <c r="P9" s="2439"/>
      <c r="Q9" s="2439"/>
      <c r="R9" s="2439"/>
    </row>
    <row r="10" spans="1:30" ht="13.5" thickTop="1">
      <c r="A10" s="2397" t="s">
        <v>2179</v>
      </c>
      <c r="B10" s="2398" t="s">
        <v>3366</v>
      </c>
      <c r="C10" s="2399"/>
      <c r="D10" s="2382"/>
      <c r="E10" s="2400" t="s">
        <v>2180</v>
      </c>
      <c r="F10" s="2666" t="s">
        <v>3368</v>
      </c>
      <c r="G10" s="2667"/>
      <c r="H10" s="2668"/>
      <c r="I10" s="2669"/>
      <c r="J10" s="2439"/>
      <c r="K10" s="2616"/>
      <c r="L10" s="2613"/>
      <c r="M10" s="2613"/>
      <c r="N10" s="2439"/>
      <c r="O10" s="2450"/>
      <c r="P10" s="2439"/>
      <c r="Q10" s="2439"/>
      <c r="R10" s="2439"/>
    </row>
    <row r="11" spans="1:30">
      <c r="A11" s="2401" t="s">
        <v>2181</v>
      </c>
      <c r="B11" s="2402" t="s">
        <v>3367</v>
      </c>
      <c r="C11" s="2403"/>
      <c r="D11" s="2404"/>
      <c r="E11" s="2370"/>
      <c r="F11" s="2370"/>
      <c r="G11" s="2370"/>
      <c r="H11" s="2370"/>
      <c r="I11" s="2370"/>
      <c r="J11" s="3057"/>
      <c r="K11" s="3056"/>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2570</v>
      </c>
      <c r="J12" s="3058"/>
      <c r="K12" s="2613"/>
      <c r="L12" s="2613"/>
      <c r="M12" s="2439"/>
      <c r="N12" s="2450"/>
      <c r="O12" s="2439"/>
      <c r="P12" s="2439"/>
      <c r="Q12" s="2439"/>
      <c r="AD12" s="1745"/>
    </row>
    <row r="13" spans="1:30">
      <c r="A13" s="3421" t="s">
        <v>3332</v>
      </c>
      <c r="B13" s="2407" t="s">
        <v>2190</v>
      </c>
      <c r="C13" s="856"/>
      <c r="D13" s="856">
        <v>53591</v>
      </c>
      <c r="E13" s="856"/>
      <c r="F13" s="856">
        <v>57244</v>
      </c>
      <c r="G13" s="856"/>
      <c r="H13" s="856"/>
      <c r="I13" s="856"/>
      <c r="J13" s="3058"/>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59"/>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23.75</v>
      </c>
      <c r="E15" s="2410" t="str">
        <f>IF(A13="出让",IF(E13="","",ROUNDDOWN(MIN((E13-$D$3)/365,E14),2)),E14)</f>
        <v/>
      </c>
      <c r="F15" s="2410">
        <f>IF(A13="出让",IF(F13="","",ROUNDDOWN(MIN((F13-$D$3)/365,F14),2)),F14)</f>
        <v>33.76</v>
      </c>
      <c r="G15" s="2410" t="str">
        <f>IF(A13="出让",IF(G13="","",ROUNDDOWN(MIN((G13-$D$3)/365,G14),2)),G14)</f>
        <v/>
      </c>
      <c r="H15" s="2410" t="str">
        <f>IF(A13="出让",IF(H13="","",ROUNDDOWN(MIN((H13-$D$3)/365,H14),2)),H14)</f>
        <v/>
      </c>
      <c r="I15" s="2410" t="str">
        <f>IF(A13="出让",IF(I13="","",ROUNDDOWN(MIN((I13-$D$3)/365,I14),2)),I14)</f>
        <v/>
      </c>
      <c r="J15" s="3060"/>
      <c r="K15" s="2451"/>
      <c r="L15" s="2451"/>
      <c r="M15" s="2509"/>
      <c r="N15" s="2451"/>
      <c r="O15" s="2509"/>
      <c r="P15" s="2439"/>
      <c r="Q15" s="2439"/>
      <c r="AD15" s="1745"/>
    </row>
    <row r="16" spans="1:30">
      <c r="A16" s="2400" t="s">
        <v>2193</v>
      </c>
      <c r="B16" s="3500"/>
      <c r="C16" s="3501"/>
      <c r="D16" s="3502"/>
      <c r="E16" s="2413" t="s">
        <v>2194</v>
      </c>
      <c r="F16" s="3503"/>
      <c r="G16" s="3504"/>
      <c r="H16" s="3504"/>
      <c r="I16" s="3505"/>
      <c r="J16" s="2439"/>
      <c r="K16" s="2617"/>
      <c r="L16" s="2451"/>
      <c r="M16" s="2451"/>
      <c r="N16" s="2509"/>
      <c r="O16" s="2451"/>
      <c r="P16" s="2509"/>
      <c r="Q16" s="2439"/>
      <c r="R16" s="2439"/>
    </row>
    <row r="17" spans="1:28">
      <c r="A17" s="313" t="s">
        <v>2195</v>
      </c>
      <c r="B17" s="302" t="s">
        <v>2196</v>
      </c>
      <c r="C17" s="8">
        <f>'数据-汇总表'!E3</f>
        <v>43351.65</v>
      </c>
      <c r="D17" s="2322" t="s">
        <v>2197</v>
      </c>
      <c r="E17" s="3506" t="s">
        <v>2198</v>
      </c>
      <c r="F17" s="3507"/>
      <c r="G17" s="3507"/>
      <c r="H17" s="3507"/>
      <c r="I17" s="350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9622.35</v>
      </c>
      <c r="D18" s="1092" t="s">
        <v>2201</v>
      </c>
      <c r="E18" s="3509" t="s">
        <v>2202</v>
      </c>
      <c r="F18" s="3510"/>
      <c r="G18" s="3510"/>
      <c r="H18" s="3510"/>
      <c r="I18" s="351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6" t="s">
        <v>2206</v>
      </c>
      <c r="C20" s="3497"/>
      <c r="D20" s="3498" t="s">
        <v>2207</v>
      </c>
      <c r="E20" s="3499"/>
      <c r="F20" s="2647" t="s">
        <v>1056</v>
      </c>
      <c r="G20" s="2664"/>
      <c r="H20" s="2664"/>
      <c r="I20" s="2664"/>
      <c r="J20" s="2439"/>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1" t="s">
        <v>2573</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3369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L25" sqref="AL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43351.65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面积表!B7-面积表!I4</f>
        <v>9622.35</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43351.65</v>
      </c>
      <c r="H5" s="13">
        <f t="shared" ref="H5:AT5" si="0">SUM(H13:H656)</f>
        <v>43351.65</v>
      </c>
      <c r="I5" s="13">
        <f t="shared" si="0"/>
        <v>32116.74</v>
      </c>
      <c r="J5" s="13">
        <f t="shared" si="0"/>
        <v>0</v>
      </c>
      <c r="K5" s="13">
        <f t="shared" si="0"/>
        <v>11234.91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43351.65</v>
      </c>
      <c r="BA5" s="15">
        <f t="shared" si="1"/>
        <v>43351.65</v>
      </c>
      <c r="BB5" s="15">
        <f t="shared" si="1"/>
        <v>32116.74</v>
      </c>
      <c r="BC5" s="15">
        <f t="shared" si="1"/>
        <v>11234.91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9622.35</v>
      </c>
      <c r="AZ6" s="13" t="s">
        <v>2</v>
      </c>
      <c r="BA6" s="13">
        <f>ROUND($AY$6*BA5/$AZ$5,2)</f>
        <v>9622.35</v>
      </c>
      <c r="BB6" s="13">
        <f>ROUND($AY$6*BB5/$AZ$5,2)</f>
        <v>7128.64</v>
      </c>
      <c r="BC6" s="13">
        <f t="shared" ref="BC6:BH6" si="4">ROUND($AY$6*BC5/$AZ$5,2)</f>
        <v>2493.71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3371</v>
      </c>
      <c r="J9" s="809"/>
      <c r="K9" s="1603" t="s">
        <v>3455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3370</v>
      </c>
      <c r="E13" s="13">
        <f>IF($C$3="是",ROUND($A$3*G13/$B$3,2),ROUND($A$3*(G13-AT13)/$B$3,2))</f>
        <v>0</v>
      </c>
      <c r="F13" s="29"/>
      <c r="G13" s="30">
        <f>H13+AC13+AT13</f>
        <v>43351.65</v>
      </c>
      <c r="H13" s="17">
        <f>SUMIF(I$12:AB$12,"总值",I13:AB13)</f>
        <v>43351.65</v>
      </c>
      <c r="I13" s="1626">
        <f>面积表!F3</f>
        <v>32116.74</v>
      </c>
      <c r="J13" s="1626"/>
      <c r="K13" s="1626">
        <f>面积表!F2</f>
        <v>11234.91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9622.35</v>
      </c>
      <c r="AZ13" s="13">
        <f>BA13+BL13</f>
        <v>43351.65</v>
      </c>
      <c r="BA13" s="13">
        <f>SUM(BB13:BK13)</f>
        <v>43351.65</v>
      </c>
      <c r="BB13" s="13">
        <f>IF($D13="是",I13-J13,0)</f>
        <v>32116.74</v>
      </c>
      <c r="BC13" s="13">
        <f>IF($D13="是",K13-L13,0)</f>
        <v>11234.91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workbookViewId="0">
      <selection activeCell="L21" sqref="L21"/>
    </sheetView>
  </sheetViews>
  <sheetFormatPr defaultRowHeight="13.5"/>
  <sheetData>
    <row r="1" spans="1:9" ht="24">
      <c r="A1" s="3444" t="s">
        <v>3374</v>
      </c>
      <c r="B1" s="3444" t="s">
        <v>3375</v>
      </c>
      <c r="C1" s="3444" t="s">
        <v>3376</v>
      </c>
      <c r="D1" s="3444" t="s">
        <v>3377</v>
      </c>
      <c r="E1" s="3444" t="s">
        <v>3378</v>
      </c>
      <c r="F1" s="3444" t="s">
        <v>3379</v>
      </c>
      <c r="G1" s="3444"/>
      <c r="H1" s="3444" t="s">
        <v>3447</v>
      </c>
      <c r="I1" s="3444" t="s">
        <v>3453</v>
      </c>
    </row>
    <row r="2" spans="1:9" ht="48">
      <c r="A2" s="3444">
        <v>1</v>
      </c>
      <c r="B2" s="3444" t="s">
        <v>3380</v>
      </c>
      <c r="C2" s="3444" t="s">
        <v>3381</v>
      </c>
      <c r="D2" s="3444" t="s">
        <v>3382</v>
      </c>
      <c r="E2" s="3444" t="s">
        <v>3383</v>
      </c>
      <c r="F2" s="3444">
        <v>11234.91</v>
      </c>
      <c r="G2" s="3444" t="s">
        <v>3384</v>
      </c>
    </row>
    <row r="3" spans="1:9" ht="48">
      <c r="A3" s="3444">
        <v>2</v>
      </c>
      <c r="B3" s="3444" t="s">
        <v>3385</v>
      </c>
      <c r="C3" s="3444" t="s">
        <v>3381</v>
      </c>
      <c r="D3" s="3444" t="s">
        <v>3386</v>
      </c>
      <c r="E3" s="3444" t="s">
        <v>3387</v>
      </c>
      <c r="F3" s="3444">
        <v>32116.74</v>
      </c>
      <c r="G3" s="3444" t="s">
        <v>3388</v>
      </c>
    </row>
    <row r="4" spans="1:9" ht="48">
      <c r="A4" s="3444">
        <v>3</v>
      </c>
      <c r="B4" s="3444" t="s">
        <v>3389</v>
      </c>
      <c r="C4" s="3444" t="s">
        <v>3390</v>
      </c>
      <c r="D4" s="3444" t="s">
        <v>3391</v>
      </c>
      <c r="E4" s="3444" t="s">
        <v>3392</v>
      </c>
      <c r="F4" s="3444">
        <v>1061.22</v>
      </c>
      <c r="G4" s="3444" t="s">
        <v>3388</v>
      </c>
      <c r="H4" s="3446">
        <f>ROUND(F4/F6*B8,2)</f>
        <v>298.86</v>
      </c>
      <c r="I4" s="3446">
        <f>ROUND(F4/F5*B7,2)</f>
        <v>235.55</v>
      </c>
    </row>
    <row r="5" spans="1:9">
      <c r="A5" s="3444"/>
      <c r="B5" s="3444"/>
      <c r="C5" s="3444"/>
      <c r="D5" s="3444"/>
      <c r="E5" s="3444" t="s">
        <v>3454</v>
      </c>
      <c r="F5" s="3444">
        <f>SUM(F2:F4)</f>
        <v>44412.87</v>
      </c>
      <c r="G5" s="3444"/>
    </row>
    <row r="6" spans="1:9">
      <c r="A6" s="3444"/>
      <c r="B6" s="3444"/>
      <c r="C6" s="3444"/>
      <c r="E6" s="3444" t="s">
        <v>3446</v>
      </c>
      <c r="F6" s="3444">
        <f>F3+H11+H12</f>
        <v>38054.840000000004</v>
      </c>
      <c r="G6" s="3444"/>
    </row>
    <row r="7" spans="1:9">
      <c r="A7" s="3444" t="s">
        <v>3393</v>
      </c>
      <c r="B7" s="3444">
        <v>9857.9</v>
      </c>
      <c r="C7" s="3444"/>
      <c r="D7" s="3444"/>
      <c r="E7" s="3444"/>
      <c r="F7" s="3444"/>
      <c r="G7" s="3444"/>
    </row>
    <row r="8" spans="1:9">
      <c r="A8" s="3444" t="s">
        <v>3438</v>
      </c>
      <c r="B8" s="3444">
        <v>10717.15</v>
      </c>
      <c r="C8" s="3444"/>
      <c r="D8" s="3444"/>
      <c r="E8" s="3444"/>
      <c r="F8" s="3444"/>
      <c r="G8" s="3444"/>
    </row>
    <row r="9" spans="1:9">
      <c r="A9" s="3444"/>
      <c r="B9" s="3444"/>
      <c r="C9" s="3444"/>
      <c r="D9" s="3444"/>
      <c r="E9" s="3444"/>
      <c r="F9" s="3444"/>
      <c r="G9" s="3444"/>
      <c r="H9" s="3445" t="s">
        <v>3445</v>
      </c>
    </row>
    <row r="10" spans="1:9">
      <c r="A10" s="3444" t="s">
        <v>3394</v>
      </c>
      <c r="B10" s="3444" t="s">
        <v>3395</v>
      </c>
      <c r="C10" s="3444">
        <v>6058.41</v>
      </c>
      <c r="D10" s="3444"/>
      <c r="E10" s="3444" t="s">
        <v>3439</v>
      </c>
      <c r="F10" s="3444" t="s">
        <v>3440</v>
      </c>
      <c r="G10" s="3444">
        <v>33100</v>
      </c>
    </row>
    <row r="11" spans="1:9">
      <c r="A11" s="3444"/>
      <c r="B11" s="3444" t="s">
        <v>3396</v>
      </c>
      <c r="C11" s="3444">
        <v>5176.5</v>
      </c>
      <c r="D11" s="3444"/>
      <c r="E11" s="3444"/>
      <c r="F11" s="3444" t="s">
        <v>3441</v>
      </c>
      <c r="G11" s="3444">
        <v>2230</v>
      </c>
      <c r="H11" s="3446">
        <f>ROUND(G11/$G$14*$F$2,2)</f>
        <v>2210.31</v>
      </c>
    </row>
    <row r="12" spans="1:9">
      <c r="A12" s="3444"/>
      <c r="B12" s="3444" t="s">
        <v>3397</v>
      </c>
      <c r="C12" s="3444">
        <v>3354.79</v>
      </c>
      <c r="D12" s="3444"/>
      <c r="E12" s="3444"/>
      <c r="F12" s="3444" t="s">
        <v>3442</v>
      </c>
      <c r="G12" s="3444">
        <v>3761</v>
      </c>
      <c r="H12" s="3446">
        <f t="shared" ref="H12:H13" si="0">ROUND(G12/$G$14*$F$2,2)</f>
        <v>3727.79</v>
      </c>
    </row>
    <row r="13" spans="1:9">
      <c r="A13" s="3444"/>
      <c r="B13" s="3444" t="s">
        <v>3398</v>
      </c>
      <c r="C13" s="3444">
        <v>2365.21</v>
      </c>
      <c r="D13" s="3444"/>
      <c r="E13" s="3444"/>
      <c r="F13" s="3444" t="s">
        <v>3443</v>
      </c>
      <c r="G13" s="3444">
        <f>11335-G12-G11</f>
        <v>5344</v>
      </c>
      <c r="H13" s="3446">
        <f t="shared" si="0"/>
        <v>5296.81</v>
      </c>
    </row>
    <row r="14" spans="1:9">
      <c r="A14" s="3444"/>
      <c r="B14" s="3444" t="s">
        <v>3399</v>
      </c>
      <c r="C14" s="3444">
        <v>4555.32</v>
      </c>
      <c r="D14" s="3444"/>
      <c r="E14" s="3444"/>
      <c r="F14" s="3444" t="s">
        <v>3444</v>
      </c>
      <c r="G14" s="3444">
        <v>11335</v>
      </c>
      <c r="H14" s="3446">
        <f>SUM(H11:H13)</f>
        <v>11234.91</v>
      </c>
    </row>
    <row r="15" spans="1:9">
      <c r="A15" s="3444"/>
      <c r="B15" s="3444" t="s">
        <v>3400</v>
      </c>
      <c r="C15" s="3444">
        <v>2484.5500000000002</v>
      </c>
      <c r="D15" s="3444"/>
      <c r="E15" s="3444"/>
      <c r="F15" s="3444"/>
      <c r="G15" s="3444"/>
    </row>
    <row r="16" spans="1:9">
      <c r="A16" s="3444"/>
      <c r="B16" s="3444" t="s">
        <v>3401</v>
      </c>
      <c r="C16" s="3444">
        <v>1833.71</v>
      </c>
      <c r="D16" s="3444"/>
      <c r="E16" s="3444"/>
      <c r="F16" s="3444"/>
      <c r="G16" s="3444"/>
    </row>
    <row r="17" spans="1:7">
      <c r="A17" s="3444"/>
      <c r="B17" s="3444" t="s">
        <v>3402</v>
      </c>
      <c r="C17" s="3444">
        <v>1923.03</v>
      </c>
      <c r="D17" s="3444"/>
      <c r="E17" s="3444"/>
      <c r="F17" s="3444"/>
      <c r="G17" s="3444"/>
    </row>
    <row r="18" spans="1:7">
      <c r="A18" s="3444"/>
      <c r="B18" s="3444" t="s">
        <v>3403</v>
      </c>
      <c r="C18" s="3444">
        <v>1923.03</v>
      </c>
      <c r="D18" s="3444"/>
      <c r="E18" s="3444"/>
      <c r="F18" s="3444"/>
      <c r="G18" s="3444"/>
    </row>
    <row r="19" spans="1:7">
      <c r="A19" s="3444"/>
      <c r="B19" s="3444" t="s">
        <v>3404</v>
      </c>
      <c r="C19" s="3444">
        <v>1923.03</v>
      </c>
      <c r="D19" s="3444"/>
      <c r="E19" s="3444"/>
      <c r="F19" s="3444"/>
      <c r="G19" s="3444"/>
    </row>
    <row r="20" spans="1:7">
      <c r="A20" s="3444"/>
      <c r="B20" s="3444" t="s">
        <v>3405</v>
      </c>
      <c r="C20" s="3444">
        <v>1923.03</v>
      </c>
      <c r="D20" s="3444"/>
      <c r="E20" s="3444"/>
      <c r="F20" s="3444"/>
      <c r="G20" s="3444"/>
    </row>
    <row r="21" spans="1:7">
      <c r="A21" s="3444"/>
      <c r="B21" s="3444" t="s">
        <v>3406</v>
      </c>
      <c r="C21" s="3444">
        <v>1923.03</v>
      </c>
      <c r="D21" s="3444"/>
      <c r="E21" s="3444"/>
      <c r="F21" s="3444"/>
      <c r="G21" s="3444"/>
    </row>
    <row r="22" spans="1:7">
      <c r="A22" s="3444"/>
      <c r="B22" s="3444" t="s">
        <v>3407</v>
      </c>
      <c r="C22" s="3444">
        <v>1923.03</v>
      </c>
      <c r="D22" s="3444"/>
      <c r="E22" s="3444"/>
      <c r="F22" s="3444"/>
      <c r="G22" s="3444"/>
    </row>
    <row r="23" spans="1:7">
      <c r="A23" s="3444"/>
      <c r="B23" s="3444" t="s">
        <v>3408</v>
      </c>
      <c r="C23" s="3444">
        <v>1923.03</v>
      </c>
      <c r="D23" s="3444"/>
      <c r="E23" s="3444"/>
      <c r="F23" s="3444"/>
      <c r="G23" s="3444"/>
    </row>
    <row r="24" spans="1:7">
      <c r="A24" s="3444"/>
      <c r="B24" s="3444" t="s">
        <v>3409</v>
      </c>
      <c r="C24" s="3444">
        <v>1923.03</v>
      </c>
      <c r="D24" s="3444"/>
      <c r="E24" s="3444"/>
      <c r="F24" s="3444"/>
      <c r="G24" s="3444"/>
    </row>
    <row r="25" spans="1:7">
      <c r="A25" s="3444"/>
      <c r="B25" s="3444" t="s">
        <v>3410</v>
      </c>
      <c r="C25" s="3444">
        <f>1923.03+215.89</f>
        <v>2138.92</v>
      </c>
      <c r="D25" s="3444"/>
      <c r="E25" s="3444"/>
      <c r="F25" s="3444"/>
      <c r="G25" s="3444"/>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9"/>
      <c r="G2" s="2650"/>
      <c r="H2" s="2651"/>
      <c r="I2" s="2325" t="s">
        <v>1132</v>
      </c>
      <c r="J2" s="2659"/>
      <c r="K2" s="2659"/>
      <c r="L2" s="2659"/>
      <c r="M2" s="2659"/>
      <c r="N2" s="2661"/>
      <c r="O2" s="2659"/>
      <c r="P2" s="2659"/>
    </row>
    <row r="3" spans="1:16" ht="15.75" thickBot="1">
      <c r="A3" s="3530" t="s">
        <v>1105</v>
      </c>
      <c r="B3" s="3530"/>
      <c r="C3" s="3530"/>
      <c r="D3" s="43">
        <f>'数据-基础表'!AY6</f>
        <v>9622.35</v>
      </c>
      <c r="E3" s="43">
        <f>'数据-基础表'!AZ5</f>
        <v>43351.65</v>
      </c>
      <c r="F3" s="2659"/>
      <c r="G3" s="1145"/>
      <c r="H3" s="1026" t="s">
        <v>1106</v>
      </c>
      <c r="I3" s="855" t="e">
        <f>ROUND('数据-基础表'!B3/'数据-基础表'!A3,2)</f>
        <v>#DIV/0!</v>
      </c>
      <c r="J3" s="2659"/>
      <c r="K3" s="2659"/>
      <c r="L3" s="2659"/>
      <c r="M3" s="2659"/>
      <c r="N3" s="2661"/>
      <c r="O3" s="2659"/>
      <c r="P3" s="2659"/>
    </row>
    <row r="4" spans="1:16" ht="15">
      <c r="A4" s="3531"/>
      <c r="B4" s="3532"/>
      <c r="C4" s="353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4" t="s">
        <v>1110</v>
      </c>
      <c r="C5" s="3534"/>
      <c r="D5" s="45">
        <f>ROUND($D$3*E5/$E$3,2)</f>
        <v>0</v>
      </c>
      <c r="E5" s="46">
        <f>SUMIF('数据-基础表'!$11:$11,"住宅",'数据-基础表'!$5:$5)</f>
        <v>0</v>
      </c>
      <c r="F5" s="2659"/>
      <c r="G5" s="1145"/>
      <c r="H5" s="1026" t="s">
        <v>1106</v>
      </c>
      <c r="I5" s="855">
        <f>ROUND(E31/D31,2)</f>
        <v>4.51</v>
      </c>
      <c r="J5" s="2659"/>
      <c r="K5" s="2659"/>
      <c r="L5" s="2659"/>
      <c r="M5" s="2659"/>
      <c r="N5" s="2659"/>
      <c r="O5" s="2659"/>
      <c r="P5" s="2659"/>
    </row>
    <row r="6" spans="1:16" ht="15" thickBot="1">
      <c r="A6" s="1644"/>
      <c r="B6" s="3534" t="s">
        <v>1111</v>
      </c>
      <c r="C6" s="3534"/>
      <c r="D6" s="45">
        <f>ROUND($D$3*E6/$E$3,2)</f>
        <v>9622.35</v>
      </c>
      <c r="E6" s="46">
        <f>E3-E5</f>
        <v>43351.65</v>
      </c>
      <c r="F6" s="2659"/>
      <c r="G6" s="2653" t="s">
        <v>1112</v>
      </c>
      <c r="H6" s="1146" t="s">
        <v>1113</v>
      </c>
      <c r="I6" s="2654">
        <f>ROUND(F31/D31,2)</f>
        <v>3.34</v>
      </c>
      <c r="J6" s="2659"/>
      <c r="K6" s="2659"/>
      <c r="L6" s="2659"/>
      <c r="M6" s="2659"/>
      <c r="N6" s="2659"/>
      <c r="O6" s="2659"/>
      <c r="P6" s="2659"/>
    </row>
    <row r="7" spans="1:16" ht="15.75" thickBot="1">
      <c r="A7" s="3526"/>
      <c r="B7" s="3527"/>
      <c r="C7" s="352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7128.64</v>
      </c>
      <c r="E8" s="48">
        <f>SUMIF('数据-基础表'!BB10:BK10,"地上",'数据-基础表'!BB5:BK5)</f>
        <v>32116.74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2493.71</v>
      </c>
      <c r="E10" s="48">
        <f>SUMPRODUCT(('数据-基础表'!BB10:BK10="地下")*('数据-基础表'!BB11:BK11="商业")*('数据-基础表'!BB5:BK5))</f>
        <v>11234.91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9622.35</v>
      </c>
      <c r="E16" s="50">
        <f>SUM(E8:E15)</f>
        <v>43351.65</v>
      </c>
      <c r="F16" s="2659"/>
      <c r="G16" s="2660"/>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3456</v>
      </c>
      <c r="D19" s="45">
        <f>ROUND($D$3*E19/$E$3,2)</f>
        <v>9622.35</v>
      </c>
      <c r="E19" s="53">
        <f t="shared" ref="E19:E26" si="1">SUM(F19:G19)</f>
        <v>43351.65</v>
      </c>
      <c r="F19" s="2795">
        <f>'数据-基础表'!I5</f>
        <v>32116.74</v>
      </c>
      <c r="G19" s="2796">
        <f>面积表!F2</f>
        <v>11234.91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9622.35</v>
      </c>
      <c r="S19" s="1027">
        <f t="shared" si="5"/>
        <v>43351.65</v>
      </c>
    </row>
    <row r="20" spans="1:19">
      <c r="A20" s="1670"/>
      <c r="B20" s="47" t="s">
        <v>1153</v>
      </c>
      <c r="C20" s="3415"/>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9622.35</v>
      </c>
      <c r="E27" s="1141">
        <f>IF(SUM(E19:E26)='数据-基础表'!BA5,SUM(E19:E26),IF(F27="地上面积有误","面积有误","地下面积有误"))</f>
        <v>43351.65</v>
      </c>
      <c r="F27" s="1140">
        <f>IF(SUM(F19:F26)=E8,SUM(F19:F26),"地上面积有误")</f>
        <v>32116.74</v>
      </c>
      <c r="G27" s="1142">
        <f>SUM(G19:G26)</f>
        <v>11234.91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9622.35</v>
      </c>
      <c r="S27" s="1026">
        <f>IF(SUM(S19:S26)=$E$3,SUM(S19:S26),SUM(S19:S26)&amp;"误差"&amp;ROUND(SUM(S19:S26)-E3,2))</f>
        <v>43351.65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9622.35</v>
      </c>
      <c r="E31" s="676">
        <f>E27+E30</f>
        <v>43351.65</v>
      </c>
      <c r="F31" s="677">
        <f>F27+F30</f>
        <v>32116.74</v>
      </c>
      <c r="G31" s="678">
        <f>G27+G30</f>
        <v>11234.91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41" sqref="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IF(B6="","",SUMIF(项目基本情况!C$12:H$12,C6,项目基本情况!C$13:H$13))</f>
        <v>53591</v>
      </c>
      <c r="F6" s="64">
        <f>SUMIF(项目基本情况!C$12:I$12,C6,项目基本情况!C$15:I$15)</f>
        <v>23.75</v>
      </c>
      <c r="G6" s="65">
        <f>IF(ISERROR(ROUND(POWER(1+H6,D6-F6)*(POWER(1+H6,F6)-1)/(POWER(1+H6,D6)-1),3)),0,ROUND(POWER(1+H6,D6-F6)*(POWER(1+H6,F6)-1)/(POWER(1+H6,D6)-1),3))</f>
        <v>0.8</v>
      </c>
      <c r="H6" s="732">
        <v>0.05</v>
      </c>
      <c r="I6" s="732">
        <v>5.5E-2</v>
      </c>
      <c r="J6" s="66">
        <v>7.0000000000000007E-2</v>
      </c>
      <c r="K6" s="1030">
        <f>SUMIF('数据-汇总表'!C$19:C$33,A6,'数据-汇总表'!E$19:E$33)</f>
        <v>43351.65</v>
      </c>
      <c r="L6" s="733">
        <v>8000</v>
      </c>
      <c r="M6" s="67">
        <f t="shared" ref="M6:M14" si="0">ROUND(K6*L6/10000,0)</f>
        <v>34681</v>
      </c>
      <c r="N6" s="731">
        <f>ROUND(1-(2022-2014)/60,2)</f>
        <v>0.87</v>
      </c>
      <c r="O6" s="67" t="str">
        <f>IF($N$5="成新度","——",ROUND(M6*N6,0))</f>
        <v>——</v>
      </c>
      <c r="P6" s="68" t="str">
        <f>IF($N$5="成新度","——",M6-O6)</f>
        <v>——</v>
      </c>
      <c r="Q6" s="734">
        <v>0.2</v>
      </c>
      <c r="R6" s="69">
        <f ca="1">SUMIF('数据-汇总表'!C$19:C$33,A6,'数据-汇总表'!R$19:R$27)</f>
        <v>9622.35</v>
      </c>
      <c r="S6" s="51">
        <f>IF('数据-汇总表'!$I$17="按面积比例",SUMIF('数据-汇总表'!C$19:C$33,A6,'数据-汇总表'!K$19:K$33),SUMIF('数据-汇总表'!C$19:C$33,A6,'数据-汇总表'!N$19:N$33))</f>
        <v>0</v>
      </c>
      <c r="T6" s="1172">
        <f>ROUND($L$14*S6/10000,0)</f>
        <v>0</v>
      </c>
      <c r="U6" s="3426"/>
      <c r="V6" s="70">
        <v>0.03</v>
      </c>
      <c r="W6" s="70">
        <v>0.1</v>
      </c>
      <c r="X6" s="1040"/>
      <c r="Y6" s="71">
        <f>N6</f>
        <v>0.87</v>
      </c>
      <c r="Z6" s="72"/>
      <c r="AA6" s="66"/>
      <c r="AB6" s="66"/>
      <c r="AC6" s="1040"/>
      <c r="AD6" s="73"/>
      <c r="AE6" s="1041">
        <f ca="1">IF(AN6="",0,SUMIF(INDIRECT("'"&amp;AN6&amp;"'"&amp;"!E:E"),$AE$5,INDIRECT("'"&amp;AN6&amp;"'"&amp;"!F:F")))</f>
        <v>23.75</v>
      </c>
      <c r="AF6" s="1348"/>
      <c r="AG6" s="138">
        <f>IF(AF6="",0,AE6-AF6)</f>
        <v>0</v>
      </c>
      <c r="AH6" s="74"/>
      <c r="AI6" s="76">
        <v>365</v>
      </c>
      <c r="AJ6" s="77"/>
      <c r="AK6" s="78">
        <v>1.4999999999999999E-2</v>
      </c>
      <c r="AL6" s="79">
        <v>1.5E-3</v>
      </c>
      <c r="AM6" s="80">
        <v>1.4999999999999999E-2</v>
      </c>
      <c r="AN6" s="1715" t="s">
        <v>3413</v>
      </c>
      <c r="AO6" s="52">
        <f ca="1">SUMIF(INDIRECT("'"&amp;AN6&amp;"'"&amp;"!A:A"),"总价",INDIRECT("'"&amp;AN6&amp;"'"&amp;"!B:B"))</f>
        <v>-14938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8000</v>
      </c>
      <c r="M14" s="67">
        <f t="shared" si="0"/>
        <v>0</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v>
      </c>
      <c r="H16" s="90">
        <f>ROUND(SUMPRODUCT(H6:H13,K6:K13)/SUMPRODUCT((H6:H13&gt;0)*(K6:K13)),3)</f>
        <v>0.05</v>
      </c>
      <c r="I16" s="91"/>
      <c r="J16" s="91"/>
      <c r="K16" s="92">
        <f>SUM(K6:K15)</f>
        <v>43351.65</v>
      </c>
      <c r="L16" s="93">
        <f>ROUND(M16*10000/SUM(K6:K14),0)</f>
        <v>8000</v>
      </c>
      <c r="M16" s="93">
        <f>SUM(M6:M14)</f>
        <v>34681</v>
      </c>
      <c r="N16" s="94">
        <f>ROUND(SUMPRODUCT(M6:M14,N6:N14)/M16,3)</f>
        <v>0.87</v>
      </c>
      <c r="O16" s="93">
        <f>SUM(O6:O14)</f>
        <v>0</v>
      </c>
      <c r="P16" s="93">
        <f>SUM(P6:P14)</f>
        <v>0</v>
      </c>
      <c r="Q16" s="95">
        <f>ROUND(SUMPRODUCT(Q6:Q13,K6:K13)/SUMPRODUCT((Q6:Q13&gt;0)*(K6:K13)),2)</f>
        <v>0.2</v>
      </c>
      <c r="R16" s="1034">
        <f ca="1">SUM(R6:R13)</f>
        <v>9622.35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867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5" t="s">
        <v>2286</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7" sqref="D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44412.87</v>
      </c>
      <c r="C1" s="2686"/>
      <c r="D1" s="2686"/>
      <c r="E1" s="2686"/>
      <c r="F1" s="2686"/>
      <c r="G1" s="2687"/>
      <c r="H1" s="2688"/>
      <c r="I1" s="2688"/>
      <c r="J1" s="2688"/>
      <c r="K1" s="2688"/>
    </row>
    <row r="2" spans="1:11" ht="16.5">
      <c r="A2" s="2512" t="s">
        <v>653</v>
      </c>
      <c r="B2" s="2512">
        <f>SUM(C14:C23)</f>
        <v>9857.9</v>
      </c>
      <c r="C2" s="2686"/>
      <c r="D2" s="2686"/>
      <c r="E2" s="2686"/>
      <c r="F2" s="2686"/>
      <c r="G2" s="2687"/>
      <c r="H2" s="2688"/>
      <c r="I2" s="2688"/>
      <c r="J2" s="2688"/>
      <c r="K2" s="2688"/>
    </row>
    <row r="3" spans="1:11" ht="16.5">
      <c r="A3" s="2512" t="s">
        <v>662</v>
      </c>
      <c r="B3" s="2514">
        <f>项目基本情况!D3</f>
        <v>44921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169914</v>
      </c>
      <c r="C5" s="2512">
        <f ca="1">IF(B5=D14,结果表!H102,ROUND(B5*10000/$B$1,0))</f>
        <v>38258</v>
      </c>
      <c r="D5" s="2512">
        <f ca="1">ROUND(B5*10000/$B$2,0)</f>
        <v>172363</v>
      </c>
      <c r="E5" s="2686"/>
      <c r="F5" s="2687"/>
      <c r="G5" s="2687"/>
      <c r="H5" s="2688"/>
      <c r="I5" s="2688"/>
      <c r="J5" s="2688"/>
      <c r="K5" s="2688"/>
    </row>
    <row r="6" spans="1:11" ht="16.5">
      <c r="A6" s="2512" t="s">
        <v>656</v>
      </c>
      <c r="B6" s="2512">
        <f ca="1">SUM(G14:G23)</f>
        <v>169914</v>
      </c>
      <c r="C6" s="2512">
        <f ca="1">IF(B6=G14,结果表!H108,ROUND(B6*10000/$B$1,0))</f>
        <v>38258</v>
      </c>
      <c r="D6" s="2512">
        <f ca="1">ROUND(B6*10000/$B$2,0)</f>
        <v>172363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121291</v>
      </c>
      <c r="C8" s="2512">
        <f ca="1">IF(B8=I14,结果表!H112,ROUND(B8*10000/$B$1,0))</f>
        <v>27310</v>
      </c>
      <c r="D8" s="2512">
        <f ca="1">ROUND(B8*10000/$B$2,0)</f>
        <v>123039</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39"/>
      <c r="F10" s="3443" t="s">
        <v>3359</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43351.65</v>
      </c>
      <c r="C14" s="2518">
        <f>结果表!C118</f>
        <v>9622.35</v>
      </c>
      <c r="D14" s="2518">
        <f ca="1">结果表!H118</f>
        <v>162272</v>
      </c>
      <c r="E14" s="2518">
        <f ca="1">ROUND(D14*10000/B14,0)</f>
        <v>37432</v>
      </c>
      <c r="F14" s="2518">
        <f ca="1">ROUND(D14*10000/C14,0)</f>
        <v>168641</v>
      </c>
      <c r="G14" s="2518">
        <f ca="1">结果表!D122</f>
        <v>162272</v>
      </c>
      <c r="H14" s="2518"/>
      <c r="I14" s="2518">
        <f ca="1">结果表!D126</f>
        <v>117294</v>
      </c>
      <c r="J14" s="2687"/>
      <c r="K14" s="2688"/>
    </row>
    <row r="15" spans="1:11" ht="16.5">
      <c r="A15" s="2517" t="s">
        <v>649</v>
      </c>
      <c r="B15" s="2519">
        <f>[3]系统读取表!$B$14</f>
        <v>1061.22</v>
      </c>
      <c r="C15" s="2519">
        <f>[3]系统读取表!$C$14</f>
        <v>235.55</v>
      </c>
      <c r="D15" s="2519">
        <f ca="1">[3]系统读取表!$D$14</f>
        <v>7642</v>
      </c>
      <c r="E15" s="2518">
        <f t="shared" ref="E15:E23" ca="1" si="0">ROUND(D15*10000/B15,0)</f>
        <v>72011</v>
      </c>
      <c r="F15" s="2518">
        <f t="shared" ref="F15:F23" ca="1" si="1">ROUND(D15*10000/C15,0)</f>
        <v>324432</v>
      </c>
      <c r="G15" s="1331">
        <f ca="1">[3]系统读取表!$G$14</f>
        <v>7642</v>
      </c>
      <c r="H15" s="1331"/>
      <c r="I15" s="2519">
        <f ca="1">[3]系统读取表!$I$14</f>
        <v>3997</v>
      </c>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E133" sqref="E1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3372</v>
      </c>
      <c r="D1" s="1747"/>
      <c r="E1" s="1747"/>
      <c r="F1" s="1749" t="s">
        <v>1263</v>
      </c>
      <c r="G1" s="1561" t="s">
        <v>3433</v>
      </c>
      <c r="H1" s="1750" t="str">
        <f>IF(G1="现房","——","估价对象范围")</f>
        <v>——</v>
      </c>
      <c r="I1" s="1751" t="s">
        <v>3434</v>
      </c>
    </row>
    <row r="2" spans="1:12" ht="21.75" customHeight="1" thickBot="1">
      <c r="A2" s="3604" t="str">
        <f>项目基本情况!S2</f>
        <v>北京市东城区王府井大街57号2幢1层房地产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3435</v>
      </c>
      <c r="D4" s="1756" t="s">
        <v>3466</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1" t="s">
        <v>1269</v>
      </c>
      <c r="F5" s="1757"/>
      <c r="G5" s="1757"/>
      <c r="H5" s="1757"/>
      <c r="I5" s="1373"/>
    </row>
    <row r="6" spans="1:12" ht="12.75">
      <c r="A6" s="3552"/>
      <c r="B6" s="3607"/>
      <c r="C6" s="3612"/>
      <c r="D6" s="3598"/>
      <c r="E6" s="131" t="s">
        <v>1270</v>
      </c>
      <c r="F6" s="1757"/>
      <c r="G6" s="1757"/>
      <c r="H6" s="1757"/>
      <c r="I6" s="1373"/>
    </row>
    <row r="7" spans="1:12" ht="12.75">
      <c r="A7" s="3552"/>
      <c r="B7" s="3607"/>
      <c r="C7" s="3611"/>
      <c r="D7" s="3598"/>
      <c r="E7" s="131" t="s">
        <v>1271</v>
      </c>
      <c r="F7" s="1757"/>
      <c r="G7" s="1757"/>
      <c r="H7" s="1757"/>
      <c r="I7" s="1373"/>
    </row>
    <row r="8" spans="1:12" ht="12.75">
      <c r="A8" s="3552" t="s">
        <v>1272</v>
      </c>
      <c r="B8" s="3607">
        <v>15</v>
      </c>
      <c r="C8" s="3610"/>
      <c r="D8" s="3598"/>
      <c r="E8" s="131" t="s">
        <v>1273</v>
      </c>
      <c r="F8" s="1757"/>
      <c r="G8" s="1757"/>
      <c r="H8" s="1757"/>
      <c r="I8" s="1373"/>
    </row>
    <row r="9" spans="1:12" ht="12.75">
      <c r="A9" s="3552"/>
      <c r="B9" s="3607"/>
      <c r="C9" s="3611"/>
      <c r="D9" s="3598"/>
      <c r="E9" s="131" t="s">
        <v>1274</v>
      </c>
      <c r="F9" s="1757"/>
      <c r="G9" s="1757"/>
      <c r="H9" s="1757"/>
      <c r="I9" s="1373"/>
    </row>
    <row r="10" spans="1:12" ht="12.75">
      <c r="A10" s="3552" t="s">
        <v>1275</v>
      </c>
      <c r="B10" s="3607">
        <v>15</v>
      </c>
      <c r="C10" s="3610"/>
      <c r="D10" s="3598"/>
      <c r="E10" s="131" t="s">
        <v>1276</v>
      </c>
      <c r="F10" s="1757"/>
      <c r="G10" s="1757"/>
      <c r="H10" s="1757"/>
      <c r="I10" s="1373"/>
    </row>
    <row r="11" spans="1:12" ht="12.75">
      <c r="A11" s="3552"/>
      <c r="B11" s="3607"/>
      <c r="C11" s="3611"/>
      <c r="D11" s="3598"/>
      <c r="E11" s="131" t="s">
        <v>1277</v>
      </c>
      <c r="F11" s="1757"/>
      <c r="G11" s="1757"/>
      <c r="H11" s="1757"/>
      <c r="I11" s="1373"/>
    </row>
    <row r="12" spans="1:12" ht="12.75">
      <c r="A12" s="3552" t="s">
        <v>1278</v>
      </c>
      <c r="B12" s="3607">
        <v>15</v>
      </c>
      <c r="C12" s="3610"/>
      <c r="D12" s="3598"/>
      <c r="E12" s="131" t="s">
        <v>1279</v>
      </c>
      <c r="F12" s="1757"/>
      <c r="G12" s="1757"/>
      <c r="H12" s="1757"/>
      <c r="I12" s="1373"/>
    </row>
    <row r="13" spans="1:12" ht="12.75">
      <c r="A13" s="3552"/>
      <c r="B13" s="3607"/>
      <c r="C13" s="3611"/>
      <c r="D13" s="3598"/>
      <c r="E13" s="131" t="s">
        <v>1280</v>
      </c>
      <c r="F13" s="1757"/>
      <c r="G13" s="1757"/>
      <c r="H13" s="1757"/>
      <c r="I13" s="1373"/>
    </row>
    <row r="14" spans="1:12" ht="12.75">
      <c r="A14" s="3552" t="s">
        <v>1281</v>
      </c>
      <c r="B14" s="3607">
        <v>30</v>
      </c>
      <c r="C14" s="3610">
        <v>7</v>
      </c>
      <c r="D14" s="3598">
        <v>3</v>
      </c>
      <c r="E14" s="131" t="s">
        <v>1282</v>
      </c>
      <c r="F14" s="1757"/>
      <c r="G14" s="1757"/>
      <c r="H14" s="1757"/>
      <c r="I14" s="1373"/>
    </row>
    <row r="15" spans="1:12" ht="12.75">
      <c r="A15" s="3552"/>
      <c r="B15" s="3607"/>
      <c r="C15" s="3612"/>
      <c r="D15" s="3598"/>
      <c r="E15" s="131" t="s">
        <v>1283</v>
      </c>
      <c r="F15" s="1757"/>
      <c r="G15" s="1757"/>
      <c r="H15" s="1757"/>
      <c r="I15" s="1373"/>
    </row>
    <row r="16" spans="1:12" ht="12.75">
      <c r="A16" s="3552"/>
      <c r="B16" s="3607"/>
      <c r="C16" s="3611"/>
      <c r="D16" s="359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29" t="s">
        <v>2131</v>
      </c>
      <c r="F18" s="3630"/>
      <c r="G18" s="3630"/>
      <c r="H18" s="3630"/>
      <c r="I18" s="3630"/>
      <c r="K18" s="302" t="s">
        <v>1289</v>
      </c>
      <c r="L18" s="302">
        <f>IF(C1="",'数据-汇总表'!E3,SUMIF(项目类型,C1,'数据-汇总表'!E17:E26)+SUMIF(项目类型,C1,'数据-汇总表'!I17:I26))</f>
        <v>43351.65</v>
      </c>
      <c r="M18" s="302">
        <f>IF(C1="",'数据-汇总表'!E3,SUMIF(项目类型,C1,'数据-汇总表'!E17:E26))</f>
        <v>43351.65</v>
      </c>
    </row>
    <row r="19" spans="1:36" ht="15">
      <c r="A19" s="1761" t="s">
        <v>1290</v>
      </c>
      <c r="B19" s="1762" t="s">
        <v>1291</v>
      </c>
      <c r="C19" s="134">
        <f ca="1">SUMIF(INDIRECT("'"&amp;C4&amp;"'"&amp;"!A:A"),结果表!B19,INDIRECT("'"&amp;C4&amp;"'"&amp;"!B:B"))</f>
        <v>189158</v>
      </c>
      <c r="D19" s="135">
        <f ca="1">SUMIF(INDIRECT("'"&amp;D4&amp;"'"&amp;"!A:A"),结果表!B19,INDIRECT("'"&amp;D4&amp;"'"&amp;"!B:B"))</f>
        <v>99538</v>
      </c>
      <c r="E19" s="1761" t="s">
        <v>1292</v>
      </c>
      <c r="F19" s="1762" t="s">
        <v>1291</v>
      </c>
      <c r="G19" s="136">
        <f ca="1">ROUND(C19*$C$18+D19*$D$18,0)</f>
        <v>162272</v>
      </c>
      <c r="H19" s="1763" t="s">
        <v>1293</v>
      </c>
      <c r="I19" s="129"/>
      <c r="K19" s="302" t="s">
        <v>1294</v>
      </c>
      <c r="L19" s="302">
        <f>IF(C1="",'数据-汇总表'!D3,SUMIF(项目类型,C1,'数据-汇总表'!D17:D26)+SUMIF(项目类型,C1,'数据-汇总表'!H17:H27))</f>
        <v>9622.35</v>
      </c>
      <c r="M19" s="302">
        <f>IF(C1="",'数据-汇总表'!D3,SUMIF(项目类型,C1,'数据-汇总表'!D17:D26))</f>
        <v>9622.35</v>
      </c>
    </row>
    <row r="20" spans="1:36" ht="15">
      <c r="A20" s="1764"/>
      <c r="B20" s="1026" t="s">
        <v>1295</v>
      </c>
      <c r="C20" s="137">
        <f ca="1">SUMIF(INDIRECT("'"&amp;C4&amp;"'"&amp;"!A:A"),结果表!B20,INDIRECT("'"&amp;C4&amp;"'"&amp;"!B:B"))</f>
        <v>43633</v>
      </c>
      <c r="D20" s="138">
        <f ca="1">SUMIF(INDIRECT("'"&amp;D4&amp;"'"&amp;"!A:A"),结果表!B20,INDIRECT("'"&amp;D4&amp;"'"&amp;"!B:B"))</f>
        <v>22961</v>
      </c>
      <c r="E20" s="1764"/>
      <c r="F20" s="1026" t="s">
        <v>1295</v>
      </c>
      <c r="G20" s="139">
        <f ca="1">ROUND(C20*$C$18+D20*$D$18,0)</f>
        <v>37431</v>
      </c>
      <c r="H20" s="808" t="s">
        <v>1296</v>
      </c>
      <c r="I20" s="129"/>
    </row>
    <row r="21" spans="1:36" ht="15" customHeight="1" thickBot="1">
      <c r="A21" s="828"/>
      <c r="B21" s="1765" t="s">
        <v>1297</v>
      </c>
      <c r="C21" s="719">
        <f ca="1">ROUND(C19*10000/L19,0)</f>
        <v>196582</v>
      </c>
      <c r="D21" s="720">
        <f ca="1">ROUND(D19*10000/L19,0)</f>
        <v>103445</v>
      </c>
      <c r="E21" s="828"/>
      <c r="F21" s="1765" t="s">
        <v>1297</v>
      </c>
      <c r="G21" s="140">
        <f ca="1">ROUND(G19*10000/L19,0)</f>
        <v>168641</v>
      </c>
      <c r="H21" s="1766" t="s">
        <v>1296</v>
      </c>
      <c r="I21" s="129"/>
    </row>
    <row r="22" spans="1:36" ht="15" thickBot="1">
      <c r="A22" s="1688" t="s">
        <v>1298</v>
      </c>
      <c r="B22" s="1767"/>
      <c r="C22" s="1768"/>
      <c r="D22" s="721">
        <f ca="1">IF(C19&lt;D19,D19/C19-1,C19/D19-1)</f>
        <v>0.90035966163676173</v>
      </c>
      <c r="E22" s="129"/>
      <c r="F22" s="129"/>
      <c r="G22" s="129"/>
      <c r="H22" s="129"/>
      <c r="I22" s="129"/>
    </row>
    <row r="23" spans="1:36" ht="13.5" thickBot="1">
      <c r="A23" s="1747"/>
      <c r="B23" s="1747"/>
      <c r="C23" s="1747"/>
      <c r="D23" s="1747"/>
      <c r="E23" s="129"/>
      <c r="F23" s="129"/>
      <c r="G23" s="129"/>
      <c r="H23" s="129"/>
      <c r="I23" s="129"/>
    </row>
    <row r="24" spans="1:36" ht="14.25">
      <c r="A24" s="3622" t="s">
        <v>1299</v>
      </c>
      <c r="B24" s="1762" t="s">
        <v>1291</v>
      </c>
      <c r="C24" s="136">
        <f>IF(B30=0,0,D30)</f>
        <v>0</v>
      </c>
      <c r="D24" s="1769"/>
      <c r="E24" s="129"/>
      <c r="F24" s="129"/>
      <c r="G24" s="129"/>
      <c r="H24" s="129"/>
      <c r="I24" s="129"/>
    </row>
    <row r="25" spans="1:36" ht="14.25">
      <c r="A25" s="362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162272</v>
      </c>
      <c r="D32" s="1775" t="s">
        <v>3436</v>
      </c>
      <c r="E32" s="129"/>
      <c r="F32" s="129"/>
      <c r="G32" s="129"/>
      <c r="H32" s="129"/>
      <c r="I32" s="129"/>
    </row>
    <row r="33" spans="1:15" ht="15">
      <c r="A33" s="786" t="s">
        <v>1306</v>
      </c>
      <c r="B33" s="1776"/>
      <c r="C33" s="1777" t="s">
        <v>3437</v>
      </c>
      <c r="D33" s="1778" t="s">
        <v>3435</v>
      </c>
      <c r="E33" s="1779" t="s">
        <v>1307</v>
      </c>
      <c r="F33" s="1780" t="str">
        <f>IF(D32="楼面单价","取值（单价）","取值（总价）")</f>
        <v>取值（总价）</v>
      </c>
      <c r="G33" s="129"/>
      <c r="H33" s="129"/>
      <c r="I33" s="129"/>
    </row>
    <row r="34" spans="1:15" ht="15">
      <c r="A34" s="1781"/>
      <c r="B34" s="1782" t="s">
        <v>1308</v>
      </c>
      <c r="C34" s="148">
        <f ca="1">IF(C33="自定义",F34,C32-C35)</f>
        <v>124300</v>
      </c>
      <c r="D34" s="861">
        <f ca="1">IF(C33="自定义",ROUND(C34/C32,3),IF(C33="收益比率",SUMIF(INDIRECT("'"&amp;D33&amp;"'"&amp;"!b:b"),"土地收益比率",INDIRECT("'"&amp;D33&amp;"'"&amp;"!c:c")),SUMIF(INDIRECT("'"&amp;D33&amp;"'"&amp;"!b:b"),"土地成本比率",INDIRECT("'"&amp;D33&amp;"'"&amp;"!c:c"))))</f>
        <v>0.76600000000000001</v>
      </c>
      <c r="E34" s="1783" t="s">
        <v>1309</v>
      </c>
      <c r="F34" s="1330"/>
      <c r="G34" s="129"/>
      <c r="H34" s="129"/>
      <c r="I34" s="129"/>
    </row>
    <row r="35" spans="1:15" ht="15.75" thickBot="1">
      <c r="A35" s="1784"/>
      <c r="B35" s="1785" t="s">
        <v>1310</v>
      </c>
      <c r="C35" s="1170">
        <f ca="1">IF(C33="自定义",F35,ROUND(C32*D35,0))</f>
        <v>37972</v>
      </c>
      <c r="D35" s="1171">
        <f ca="1">IF(C33="自定义",ROUND(C35/C32,3),IF(C33="收益比率",SUMIF(INDIRECT("'"&amp;D33&amp;"'"&amp;"!b:b"),"建筑物收益比率",INDIRECT("'"&amp;D33&amp;"'"&amp;"!c:c")),SUMIF(INDIRECT("'"&amp;D33&amp;"'"&amp;"!b:b"),"建筑物成本比率",INDIRECT("'"&amp;D33&amp;"'"&amp;"!c:c"))))</f>
        <v>0.23400000000000001</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9" t="s">
        <v>1326</v>
      </c>
      <c r="B45" s="3620"/>
      <c r="C45" s="3621"/>
      <c r="D45" s="155">
        <f ca="1">ROUND(H101*F45,0)</f>
        <v>162272</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6"/>
      <c r="I46" s="159"/>
      <c r="J46" s="2523">
        <v>1</v>
      </c>
      <c r="K46" s="3540" t="s">
        <v>1331</v>
      </c>
      <c r="L46" s="3540"/>
      <c r="M46" s="3541"/>
      <c r="N46" s="3541"/>
      <c r="O46" s="3541"/>
    </row>
    <row r="47" spans="1:15" ht="12" customHeight="1">
      <c r="A47" s="160" t="s">
        <v>1332</v>
      </c>
      <c r="B47" s="161"/>
      <c r="C47" s="162"/>
      <c r="D47" s="1087" t="s">
        <v>1333</v>
      </c>
      <c r="E47" s="302" t="s">
        <v>1334</v>
      </c>
      <c r="F47" s="163" t="s">
        <v>1335</v>
      </c>
      <c r="G47" s="2546" t="s">
        <v>1336</v>
      </c>
      <c r="H47" s="2547"/>
      <c r="I47" s="159"/>
      <c r="J47" s="2523">
        <v>2</v>
      </c>
      <c r="K47" s="3540" t="s">
        <v>1337</v>
      </c>
      <c r="L47" s="3540"/>
      <c r="M47" s="3542">
        <f>'数据-取费表'!B2</f>
        <v>44921</v>
      </c>
      <c r="N47" s="3542"/>
      <c r="O47" s="3542"/>
    </row>
    <row r="48" spans="1:15" ht="25.5">
      <c r="A48" s="3602" t="s">
        <v>1338</v>
      </c>
      <c r="B48" s="3603"/>
      <c r="C48" s="3603"/>
      <c r="D48" s="2324">
        <f ca="1">IF(H48="情况1",0,IF(H48="情况2",D52,IF(H48="情况3",D53,IF(H48="情况4",D54))))</f>
        <v>8655</v>
      </c>
      <c r="E48" s="2334" t="str">
        <f>IF(H48="情况4","(销售额-原购置价)×税（费）率","销售额×税（费）率")</f>
        <v>销售额×税（费）率</v>
      </c>
      <c r="F48" s="2548">
        <f>IF(H48="情况1","免征",'数据-取费表'!B41)</f>
        <v>5.6000000000000001E-2</v>
      </c>
      <c r="G48" s="2549" t="s">
        <v>1339</v>
      </c>
      <c r="H48" s="2550" t="s">
        <v>3449</v>
      </c>
      <c r="I48" s="1806"/>
      <c r="J48" s="2523">
        <v>3</v>
      </c>
      <c r="K48" s="3540" t="s">
        <v>1340</v>
      </c>
      <c r="L48" s="3540"/>
      <c r="M48" s="3543">
        <f ca="1">H101</f>
        <v>162272</v>
      </c>
      <c r="N48" s="3543"/>
      <c r="O48" s="3543"/>
    </row>
    <row r="49" spans="1:35" ht="25.5" customHeight="1">
      <c r="A49" s="2333" t="s">
        <v>1341</v>
      </c>
      <c r="B49" s="3588" t="s">
        <v>1342</v>
      </c>
      <c r="C49" s="3588"/>
      <c r="D49" s="1590">
        <v>0</v>
      </c>
      <c r="E49" s="324" t="s">
        <v>1343</v>
      </c>
      <c r="F49" s="2424" t="s">
        <v>28</v>
      </c>
      <c r="G49" s="3571"/>
      <c r="H49" s="2310" t="s">
        <v>2134</v>
      </c>
      <c r="I49" s="2311"/>
      <c r="J49" s="2523">
        <v>4</v>
      </c>
      <c r="K49" s="3540" t="str">
        <f>IF(项目基本情况!E8="房地产抵押价值","房地产抵押价值","抵押担保权已注销时的房地产抵押价值")</f>
        <v>房地产抵押价值</v>
      </c>
      <c r="L49" s="3540"/>
      <c r="M49" s="3543">
        <f ca="1">IF(项目基本情况!E8="房地产抵押价值",H107,H109)</f>
        <v>162272</v>
      </c>
      <c r="N49" s="3543"/>
      <c r="O49" s="3543"/>
    </row>
    <row r="50" spans="1:35" ht="25.5" customHeight="1">
      <c r="A50" s="2551"/>
      <c r="B50" s="3588" t="s">
        <v>1344</v>
      </c>
      <c r="C50" s="3588"/>
      <c r="D50" s="2552"/>
      <c r="E50" s="332"/>
      <c r="F50" s="2424"/>
      <c r="G50" s="3572"/>
      <c r="H50" s="2312" t="s">
        <v>2135</v>
      </c>
      <c r="I50" s="2311"/>
      <c r="J50" s="3539" t="s">
        <v>1345</v>
      </c>
      <c r="K50" s="3539"/>
      <c r="L50" s="3539"/>
      <c r="M50" s="3539"/>
      <c r="N50" s="3539"/>
      <c r="O50" s="3539"/>
    </row>
    <row r="51" spans="1:35" ht="20.45" customHeight="1">
      <c r="A51" s="2553"/>
      <c r="B51" s="3588" t="s">
        <v>1346</v>
      </c>
      <c r="C51" s="3588"/>
      <c r="D51" s="1087"/>
      <c r="E51" s="327"/>
      <c r="F51" s="2424"/>
      <c r="G51" s="3573"/>
      <c r="H51" s="2312" t="s">
        <v>2136</v>
      </c>
      <c r="I51" s="2311"/>
      <c r="J51" s="2524" t="s">
        <v>1347</v>
      </c>
      <c r="K51" s="3540" t="s">
        <v>1348</v>
      </c>
      <c r="L51" s="3540"/>
      <c r="M51" s="2524" t="s">
        <v>1349</v>
      </c>
      <c r="N51" s="2524" t="s">
        <v>1350</v>
      </c>
      <c r="O51" s="2524" t="s">
        <v>1351</v>
      </c>
    </row>
    <row r="52" spans="1:35" ht="24" customHeight="1">
      <c r="A52" s="2335" t="s">
        <v>1352</v>
      </c>
      <c r="B52" s="3588" t="s">
        <v>1353</v>
      </c>
      <c r="C52" s="3588"/>
      <c r="D52" s="1087">
        <f ca="1">ROUND(D45*'数据-取费表'!B41/(1+'数据-取费表'!C42),0)</f>
        <v>8655</v>
      </c>
      <c r="E52" s="2334" t="s">
        <v>1354</v>
      </c>
      <c r="F52" s="2554">
        <f>'数据-取费表'!B41</f>
        <v>5.6000000000000001E-2</v>
      </c>
      <c r="G52" s="2555"/>
      <c r="H52" s="2544"/>
      <c r="I52" s="1807"/>
      <c r="J52" s="2523">
        <v>1</v>
      </c>
      <c r="K52" s="3565" t="s">
        <v>1355</v>
      </c>
      <c r="L52" s="3565"/>
      <c r="M52" s="2525">
        <f ca="1">D48</f>
        <v>8655</v>
      </c>
      <c r="N52" s="2523" t="str">
        <f>E48</f>
        <v>销售额×税（费）率</v>
      </c>
      <c r="O52" s="2526">
        <f>F48</f>
        <v>5.6000000000000001E-2</v>
      </c>
    </row>
    <row r="53" spans="1:35" ht="12" customHeight="1">
      <c r="A53" s="2335" t="s">
        <v>1356</v>
      </c>
      <c r="B53" s="3589" t="s">
        <v>2291</v>
      </c>
      <c r="C53" s="3590"/>
      <c r="D53" s="1087">
        <f ca="1">ROUND(D45*'数据-取费表'!B41/(1+'数据-取费表'!C42),0)</f>
        <v>8655</v>
      </c>
      <c r="E53" s="2334" t="s">
        <v>1354</v>
      </c>
      <c r="F53" s="2554">
        <f>'数据-取费表'!B41</f>
        <v>5.6000000000000001E-2</v>
      </c>
      <c r="G53" s="2555"/>
      <c r="H53" s="2544"/>
      <c r="I53" s="1807"/>
      <c r="J53" s="2523">
        <v>2</v>
      </c>
      <c r="K53" s="3565" t="s">
        <v>1357</v>
      </c>
      <c r="L53" s="3565"/>
      <c r="M53" s="2525">
        <f t="shared" ref="M53:O54" ca="1" si="0">D55</f>
        <v>81</v>
      </c>
      <c r="N53" s="2523" t="str">
        <f t="shared" si="0"/>
        <v>销售额×税（费）率</v>
      </c>
      <c r="O53" s="2526">
        <f t="shared" si="0"/>
        <v>5.0000000000000001E-4</v>
      </c>
    </row>
    <row r="54" spans="1:35" ht="12" customHeight="1">
      <c r="A54" s="2335" t="s">
        <v>1358</v>
      </c>
      <c r="B54" s="3589" t="s">
        <v>2292</v>
      </c>
      <c r="C54" s="3590"/>
      <c r="D54" s="1087">
        <f ca="1">C68</f>
        <v>8655</v>
      </c>
      <c r="E54" s="327" t="s">
        <v>1359</v>
      </c>
      <c r="F54" s="2554">
        <f>'数据-取费表'!B41</f>
        <v>5.6000000000000001E-2</v>
      </c>
      <c r="G54" s="2555"/>
      <c r="H54" s="2556"/>
      <c r="I54" s="1807"/>
      <c r="J54" s="2523">
        <v>3</v>
      </c>
      <c r="K54" s="3565" t="s">
        <v>1360</v>
      </c>
      <c r="L54" s="3565"/>
      <c r="M54" s="2525">
        <f t="shared" ca="1" si="0"/>
        <v>36242</v>
      </c>
      <c r="N54" s="2523" t="str">
        <f t="shared" si="0"/>
        <v>增值额×税（费）率</v>
      </c>
      <c r="O54" s="2527" t="str">
        <f t="shared" si="0"/>
        <v>——</v>
      </c>
    </row>
    <row r="55" spans="1:35" ht="24" customHeight="1">
      <c r="A55" s="3625" t="s">
        <v>1361</v>
      </c>
      <c r="B55" s="3603"/>
      <c r="C55" s="3603"/>
      <c r="D55" s="2324">
        <f ca="1">IF(H55="个人住宅",0,ROUND(D45*I55,0))</f>
        <v>81</v>
      </c>
      <c r="E55" s="2334" t="s">
        <v>1362</v>
      </c>
      <c r="F55" s="2554">
        <f>IF(H55="正常",I55,"免征")</f>
        <v>5.0000000000000001E-4</v>
      </c>
      <c r="G55" s="2555"/>
      <c r="H55" s="2550" t="s">
        <v>3450</v>
      </c>
      <c r="I55" s="165">
        <f>'数据-取费表'!B49</f>
        <v>5.0000000000000001E-4</v>
      </c>
      <c r="J55" s="2523" t="str">
        <f>IF(H59="非个人房产","",4)</f>
        <v/>
      </c>
      <c r="K55" s="3565" t="str">
        <f>IF(H59="非个人房产","——","个人所得税")</f>
        <v>——</v>
      </c>
      <c r="L55" s="3565"/>
      <c r="M55" s="2528" t="str">
        <f>D59</f>
        <v>——</v>
      </c>
      <c r="N55" s="2040" t="str">
        <f>E59</f>
        <v>——</v>
      </c>
      <c r="O55" s="2529" t="str">
        <f>F59</f>
        <v>——</v>
      </c>
    </row>
    <row r="56" spans="1:35" ht="24.75">
      <c r="A56" s="3625" t="s">
        <v>1363</v>
      </c>
      <c r="B56" s="3603"/>
      <c r="C56" s="3603"/>
      <c r="D56" s="2324">
        <f ca="1">IF(H56="个人住宅",D57,D58)</f>
        <v>36242</v>
      </c>
      <c r="E56" s="2334" t="s">
        <v>1364</v>
      </c>
      <c r="F56" s="2554" t="str">
        <f>IF(H56="正常",F58,"免征")</f>
        <v>——</v>
      </c>
      <c r="G56" s="2557" t="s">
        <v>1365</v>
      </c>
      <c r="H56" s="2558" t="s">
        <v>3450</v>
      </c>
      <c r="I56" s="1808"/>
      <c r="J56" s="2523" t="str">
        <f>IF(项目基本情况!K6="上海银行",IF(J55="",4,J55+1),"")</f>
        <v/>
      </c>
      <c r="K56" s="3546" t="str">
        <f>IF(项目基本情况!K6="上海银行","其他处置费用","")</f>
        <v/>
      </c>
      <c r="L56" s="3547"/>
      <c r="M56" s="2525" t="str">
        <f>IF(项目基本情况!K6="上海银行",M69,"")</f>
        <v/>
      </c>
      <c r="N56" s="3546" t="str">
        <f>IF(项目基本情况!K6="上海银行","包含处置中涉及的律师、诉讼、拍卖、评估等费用","")</f>
        <v/>
      </c>
      <c r="O56" s="3549"/>
    </row>
    <row r="57" spans="1:35" ht="12.75">
      <c r="A57" s="2335" t="s">
        <v>1341</v>
      </c>
      <c r="B57" s="3589" t="s">
        <v>1366</v>
      </c>
      <c r="C57" s="3590"/>
      <c r="D57" s="1590">
        <v>0</v>
      </c>
      <c r="E57" s="324" t="s">
        <v>1343</v>
      </c>
      <c r="F57" s="302"/>
      <c r="G57" s="2555"/>
      <c r="H57" s="2559"/>
      <c r="I57" s="1808"/>
      <c r="J57" s="3565">
        <f>IF(AND(J55="",J56=""),4,IF(项目基本情况!K6="上海银行",结果表!J56+1,结果表!J55+1))</f>
        <v>4</v>
      </c>
      <c r="K57" s="3565" t="s">
        <v>1367</v>
      </c>
      <c r="L57" s="2530" t="s">
        <v>1368</v>
      </c>
      <c r="M57" s="2531"/>
      <c r="N57" s="2532">
        <f ca="1">SUMIF(M52:M56,"&lt;9e307")</f>
        <v>44978</v>
      </c>
      <c r="O57" s="2533"/>
      <c r="P57" s="2690">
        <f ca="1">N57/M49</f>
        <v>0.27717659238808912</v>
      </c>
    </row>
    <row r="58" spans="1:35" ht="24.75">
      <c r="A58" s="2335" t="s">
        <v>1352</v>
      </c>
      <c r="B58" s="3589" t="s">
        <v>1369</v>
      </c>
      <c r="C58" s="3588"/>
      <c r="D58" s="2324">
        <f ca="1">IF(H58="转让取得",C81,C97)</f>
        <v>36242</v>
      </c>
      <c r="E58" s="2334" t="s">
        <v>1364</v>
      </c>
      <c r="F58" s="302" t="s">
        <v>28</v>
      </c>
      <c r="G58" s="2555"/>
      <c r="H58" s="2558" t="s">
        <v>3451</v>
      </c>
      <c r="I58" s="1808"/>
      <c r="J58" s="3565"/>
      <c r="K58" s="3565"/>
      <c r="L58" s="2530" t="s">
        <v>1370</v>
      </c>
      <c r="M58" s="2534"/>
      <c r="N58" s="2535" t="str">
        <f ca="1">NUMBERSTRING(INT(N57*10000),2)&amp;"元整"</f>
        <v>肆亿肆仟玖佰柒拾捌万元整</v>
      </c>
      <c r="O58" s="2536"/>
    </row>
    <row r="59" spans="1:35" ht="24.75" thickBot="1">
      <c r="A59" s="3569" t="s">
        <v>1371</v>
      </c>
      <c r="B59" s="3570"/>
      <c r="C59" s="357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3452</v>
      </c>
      <c r="I59" s="2313" t="s">
        <v>2137</v>
      </c>
      <c r="J59" s="3567">
        <f>J57+1</f>
        <v>5</v>
      </c>
      <c r="K59" s="3565" t="s">
        <v>1372</v>
      </c>
      <c r="L59" s="2523" t="s">
        <v>1368</v>
      </c>
      <c r="M59" s="2537"/>
      <c r="N59" s="2538">
        <f ca="1">M49-N57</f>
        <v>117294</v>
      </c>
      <c r="O59" s="2539"/>
    </row>
    <row r="60" spans="1:35" ht="12" customHeight="1">
      <c r="A60" s="1809"/>
      <c r="B60" s="1747"/>
      <c r="C60" s="1747"/>
      <c r="D60" s="1747"/>
      <c r="E60" s="1578"/>
      <c r="F60" s="1808"/>
      <c r="G60" s="1808"/>
      <c r="H60" s="1810"/>
      <c r="I60" s="129"/>
      <c r="J60" s="3568"/>
      <c r="K60" s="3565"/>
      <c r="L60" s="2530" t="s">
        <v>1370</v>
      </c>
      <c r="M60" s="2534"/>
      <c r="N60" s="2535" t="str">
        <f ca="1">NUMBERSTRING(INT(N59*10000),2)&amp;"元整"</f>
        <v>壹拾壹亿柒仟贰佰玖拾肆万元整</v>
      </c>
      <c r="O60" s="2536"/>
    </row>
    <row r="61" spans="1:35" ht="13.5" thickBot="1">
      <c r="A61" s="3624" t="s">
        <v>1373</v>
      </c>
      <c r="B61" s="3624"/>
      <c r="C61" s="3624"/>
      <c r="D61" s="3624"/>
      <c r="E61" s="3624"/>
      <c r="F61" s="1808"/>
      <c r="G61" s="1808"/>
      <c r="H61" s="1810"/>
      <c r="I61" s="129"/>
      <c r="J61" s="2523">
        <f>J59+1</f>
        <v>6</v>
      </c>
      <c r="K61" s="3565" t="s">
        <v>1374</v>
      </c>
      <c r="L61" s="3565"/>
      <c r="M61" s="2540"/>
      <c r="N61" s="2541">
        <f ca="1">ROUND(N59*10000/'数据-汇总表'!E3,0)</f>
        <v>27056</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f ca="1">ROUND((C64+C65)/(1+'数据-取费表'!C42),0)</f>
        <v>154545</v>
      </c>
      <c r="D63" s="167"/>
      <c r="E63" s="168"/>
      <c r="F63" s="1808"/>
      <c r="G63" s="1808"/>
      <c r="H63" s="1810"/>
      <c r="I63" s="129"/>
      <c r="J63" s="3548" t="s">
        <v>1379</v>
      </c>
      <c r="K63" s="1332" t="s">
        <v>1380</v>
      </c>
      <c r="L63" s="1332">
        <f ca="1">IF(M49&gt;10000,M49*0.5%,IF(AND(M49&gt;1000,M49&lt;=10000),M49*1%,IF(AND(M49&gt;100,M49&lt;=1000),M49*3%,IF(AND(M49&gt;10,M49&lt;=100),M49*5%,M49*8%))))</f>
        <v>811.36</v>
      </c>
      <c r="M63" s="302">
        <f ca="1">ROUND(L63,1)</f>
        <v>811.4</v>
      </c>
      <c r="N63" s="2543"/>
      <c r="Z63" s="1752"/>
      <c r="AI63" s="1753"/>
    </row>
    <row r="64" spans="1:35" ht="14.25" customHeight="1">
      <c r="A64" s="169" t="s">
        <v>325</v>
      </c>
      <c r="B64" s="170" t="s">
        <v>1381</v>
      </c>
      <c r="C64" s="2565">
        <f ca="1">D45</f>
        <v>162272</v>
      </c>
      <c r="D64" s="170" t="s">
        <v>26</v>
      </c>
      <c r="E64" s="172"/>
      <c r="F64" s="1808"/>
      <c r="G64" s="1808"/>
      <c r="H64" s="1810"/>
      <c r="I64" s="129"/>
      <c r="J64" s="3548"/>
      <c r="K64" s="1332" t="s">
        <v>1382</v>
      </c>
      <c r="L64" s="1332">
        <f ca="1">IF(M49&gt;2000,M49*0.5%,IF(AND(M49&gt;1000,M49&lt;=2000),M49*0.6%,IF(AND(M49&gt;500,M49&lt;=1000),M49*0.7%,IF(AND(M49&gt;200,M49&lt;=500),M49*0.8%,IF(AND(M49&gt;100,M49&lt;=200),M49*0.9%,IF(AND(M49&gt;50,M49&lt;=100),M49*1%,IF(AND(M49&gt;20,M49&lt;=50),M49*1.5%,IF(AND(M49&gt;10,M49&lt;=20),M49*2%,IF(AND(M49&gt;1,M49&lt;=10),M49*2.5%)))))))))</f>
        <v>811.36</v>
      </c>
      <c r="M64" s="302">
        <f t="shared" ref="M64:M65" ca="1" si="1">ROUND(L64,1)</f>
        <v>811.4</v>
      </c>
      <c r="N64" s="2544" t="s">
        <v>1383</v>
      </c>
      <c r="Z64" s="1752"/>
      <c r="AI64" s="1753"/>
    </row>
    <row r="65" spans="1:35" ht="14.25" customHeight="1">
      <c r="A65" s="169" t="s">
        <v>326</v>
      </c>
      <c r="B65" s="170" t="s">
        <v>1384</v>
      </c>
      <c r="C65" s="2566"/>
      <c r="D65" s="170"/>
      <c r="E65" s="172"/>
      <c r="F65" s="1808"/>
      <c r="G65" s="1808"/>
      <c r="H65" s="1810"/>
      <c r="I65" s="129"/>
      <c r="J65" s="3548"/>
      <c r="K65" s="1332" t="s">
        <v>1385</v>
      </c>
      <c r="L65" s="1332">
        <f ca="1">IF(M49&gt;1000,M49*0.1%,IF(AND(M49&gt;500,M49&lt;=1000),M49*0.5%,IF(AND(M49&gt;50,M49&lt;=500),M49*1%,IF(AND(M49&gt;1,M49&lt;=50),M49*1.5%))))</f>
        <v>162.27199999999999</v>
      </c>
      <c r="M65" s="302">
        <f t="shared" ca="1" si="1"/>
        <v>162.30000000000001</v>
      </c>
      <c r="N65" s="2544" t="s">
        <v>1383</v>
      </c>
      <c r="Z65" s="1752"/>
      <c r="AI65" s="1753"/>
    </row>
    <row r="66" spans="1:35" ht="14.25" customHeight="1">
      <c r="A66" s="173" t="s">
        <v>327</v>
      </c>
      <c r="B66" s="174" t="s">
        <v>1386</v>
      </c>
      <c r="C66" s="2567"/>
      <c r="D66" s="174" t="s">
        <v>26</v>
      </c>
      <c r="E66" s="1338" t="s">
        <v>671</v>
      </c>
      <c r="F66" s="1808"/>
      <c r="G66" s="1808"/>
      <c r="H66" s="1810"/>
      <c r="I66" s="129"/>
      <c r="J66" s="3548"/>
      <c r="K66" s="1332" t="s">
        <v>1387</v>
      </c>
      <c r="L66" s="1332">
        <f ca="1">M49*0.5%</f>
        <v>811.36</v>
      </c>
      <c r="M66" s="302">
        <f ca="1">IF(L66&gt;0.5,0.5,ROUND(L66,0))</f>
        <v>0.5</v>
      </c>
      <c r="N66" s="2544" t="s">
        <v>1388</v>
      </c>
      <c r="Z66" s="1752"/>
      <c r="AI66" s="1753"/>
    </row>
    <row r="67" spans="1:35" ht="14.25" customHeight="1">
      <c r="A67" s="173" t="s">
        <v>328</v>
      </c>
      <c r="B67" s="174" t="s">
        <v>1389</v>
      </c>
      <c r="C67" s="2568">
        <f ca="1">C63-C66</f>
        <v>154545</v>
      </c>
      <c r="D67" s="170" t="s">
        <v>26</v>
      </c>
      <c r="E67" s="172"/>
      <c r="F67" s="1808"/>
      <c r="G67" s="1808"/>
      <c r="H67" s="1810"/>
      <c r="I67" s="129"/>
      <c r="J67" s="3548"/>
      <c r="K67" s="1332" t="s">
        <v>1390</v>
      </c>
      <c r="L67" s="1332">
        <f ca="1">IF(M49&gt;=10000,(8.25+(M49-10000)*0.01%),IF(AND(M49&gt;=8000,M49&lt;10000),(7.85+(M49-8000)*0.02%),IF(AND(M49&gt;=5000,M49&lt;8000),(6.65+(M49-5000)*0.04%),IF(AND(M49&gt;=2000,M49&lt;5000),(4.25+(PM49-2000)*0.08%),IF(AND(M49&gt;=1000,M49&lt;2000),(2.75+(M49-1000)*0.15%),IF(AND(M49&gt;=100,M49&lt;1000),(0.5+(M49-100)*0.25%),IF(AND(M49&gt;0,M49&lt;100),M49*0.5%)))))))</f>
        <v>23.4772</v>
      </c>
      <c r="M67" s="302">
        <f ca="1">ROUND(L67*0.9,1)</f>
        <v>21.1</v>
      </c>
      <c r="N67" s="2543"/>
      <c r="Z67" s="1752"/>
      <c r="AI67" s="1753"/>
    </row>
    <row r="68" spans="1:35" ht="14.25" customHeight="1" thickBot="1">
      <c r="A68" s="176" t="s">
        <v>329</v>
      </c>
      <c r="B68" s="177" t="s">
        <v>1391</v>
      </c>
      <c r="C68" s="2569">
        <f ca="1">IF(C67&lt;=0,0,ROUND(C67*D68,0))</f>
        <v>8655</v>
      </c>
      <c r="D68" s="2570">
        <f>'数据-取费表'!B41</f>
        <v>5.6000000000000001E-2</v>
      </c>
      <c r="E68" s="178"/>
      <c r="F68" s="1808"/>
      <c r="G68" s="1808"/>
      <c r="H68" s="1810"/>
      <c r="I68" s="129"/>
      <c r="J68" s="3548"/>
      <c r="K68" s="1332" t="s">
        <v>1392</v>
      </c>
      <c r="L68" s="1332">
        <f ca="1">IF(M49&gt;10000,M49*0.5%,IF(AND(M49&gt;5000,M49&lt;=10000),M49*1%,IF(AND(M49&gt;1000,M49&lt;=5000),M49*2%,IF(AND(M49&gt;200,M49&lt;=1000),M49*3%,M49*5%))))</f>
        <v>811.36</v>
      </c>
      <c r="M68" s="302">
        <f ca="1">ROUND(L68,1)</f>
        <v>811.4</v>
      </c>
      <c r="N68" s="2543"/>
      <c r="Z68" s="1752"/>
      <c r="AI68" s="1753"/>
    </row>
    <row r="69" spans="1:35" s="1772" customFormat="1" ht="16.5" customHeight="1">
      <c r="A69" s="1811"/>
      <c r="B69" s="1812"/>
      <c r="C69" s="1813"/>
      <c r="D69" s="1814"/>
      <c r="E69" s="1815"/>
      <c r="F69" s="1578"/>
      <c r="G69" s="1578"/>
      <c r="H69" s="1577"/>
      <c r="I69" s="1747"/>
      <c r="J69" s="3548"/>
      <c r="K69" s="1332" t="s">
        <v>1393</v>
      </c>
      <c r="L69" s="1332"/>
      <c r="M69" s="302">
        <f ca="1">ROUND(SUM(M63:M68),0)</f>
        <v>2618</v>
      </c>
      <c r="N69" s="2545">
        <f ca="1">M69/M49</f>
        <v>1.6133405639913233E-2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154545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9" t="s">
        <v>1402</v>
      </c>
      <c r="F76" s="3588"/>
      <c r="G76" s="3588"/>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927</v>
      </c>
      <c r="D78" s="2577">
        <f>'数据-取费表'!B43</f>
        <v>6.000000000000001E-3</v>
      </c>
      <c r="E78" s="3581" t="s">
        <v>1406</v>
      </c>
      <c r="F78" s="3582"/>
      <c r="G78" s="3582"/>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153618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165.71521035598707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91846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154545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63124.29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10736.289999999999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面积表!B8-面积表!H4</f>
        <v>10418.289999999999</v>
      </c>
      <c r="D88" s="2577"/>
      <c r="E88" s="193" t="s">
        <v>1413</v>
      </c>
      <c r="F88" s="2327"/>
      <c r="G88" s="194" t="s">
        <v>1414</v>
      </c>
      <c r="H88" s="1824" t="s">
        <v>3448</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318</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0" t="s">
        <v>2129</v>
      </c>
      <c r="H90" s="35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37108</v>
      </c>
      <c r="D91" s="2577"/>
      <c r="E91" s="3581" t="s">
        <v>1419</v>
      </c>
      <c r="F91" s="3582"/>
      <c r="G91" s="3582"/>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4784</v>
      </c>
      <c r="D92" s="2583">
        <v>0.1</v>
      </c>
      <c r="E92" s="3581" t="s">
        <v>1422</v>
      </c>
      <c r="F92" s="3582"/>
      <c r="G92" s="3582"/>
      <c r="H92" s="358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927</v>
      </c>
      <c r="D93" s="2577">
        <f>'数据-取费表'!B43</f>
        <v>6.000000000000001E-3</v>
      </c>
      <c r="E93" s="3581" t="s">
        <v>1406</v>
      </c>
      <c r="F93" s="3582"/>
      <c r="G93" s="3582"/>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9569</v>
      </c>
      <c r="D94" s="2577">
        <v>0.2</v>
      </c>
      <c r="E94" s="3626" t="s">
        <v>1426</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91421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1.44826975479645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36242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85" t="str">
        <f>C4</f>
        <v>成本法</v>
      </c>
      <c r="D101" s="2586" t="str">
        <f>D4</f>
        <v>收益法-酒店模型</v>
      </c>
      <c r="E101" s="3544" t="s">
        <v>1431</v>
      </c>
      <c r="F101" s="3545"/>
      <c r="G101" s="1827" t="s">
        <v>1432</v>
      </c>
      <c r="H101" s="2595">
        <f ca="1">H118</f>
        <v>162272</v>
      </c>
      <c r="I101" s="129"/>
    </row>
    <row r="102" spans="1:35" ht="18.75" customHeight="1">
      <c r="A102" s="3576" t="s">
        <v>1433</v>
      </c>
      <c r="B102" s="2584" t="s">
        <v>1432</v>
      </c>
      <c r="C102" s="2585">
        <f ca="1">IF(D32="楼面单价",ROUND(C19,0),C19)</f>
        <v>189158</v>
      </c>
      <c r="D102" s="2586">
        <f ca="1">IF(D32="楼面单价",ROUND(D19,0),D19)</f>
        <v>99538</v>
      </c>
      <c r="E102" s="3544"/>
      <c r="F102" s="3545"/>
      <c r="G102" s="1827" t="s">
        <v>1434</v>
      </c>
      <c r="H102" s="2555">
        <f ca="1">I118</f>
        <v>37432</v>
      </c>
      <c r="I102" s="129"/>
    </row>
    <row r="103" spans="1:35" ht="42.75" customHeight="1">
      <c r="A103" s="3576"/>
      <c r="B103" s="2584" t="s">
        <v>1434</v>
      </c>
      <c r="C103" s="2587">
        <f ca="1">C20</f>
        <v>43633</v>
      </c>
      <c r="D103" s="2588">
        <f ca="1">D20</f>
        <v>22961</v>
      </c>
      <c r="E103" s="3537" t="s">
        <v>1435</v>
      </c>
      <c r="F103" s="3538"/>
      <c r="G103" s="1828" t="s">
        <v>1436</v>
      </c>
      <c r="H103" s="2595">
        <f>IF(D36="正常操作",H104+H105+H106,H105+H106)</f>
        <v>0</v>
      </c>
      <c r="I103" s="129"/>
    </row>
    <row r="104" spans="1:35" ht="18.75" customHeight="1">
      <c r="A104" s="3576" t="s">
        <v>1437</v>
      </c>
      <c r="B104" s="2589" t="s">
        <v>1432</v>
      </c>
      <c r="C104" s="2590">
        <f ca="1">H118</f>
        <v>162272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37432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7" t="str">
        <f>IF(项目基本情况!E8="已注销","——","3.房地产抵押价值")</f>
        <v>3.房地产抵押价值</v>
      </c>
      <c r="F107" s="3545"/>
      <c r="G107" s="1827" t="s">
        <v>1432</v>
      </c>
      <c r="H107" s="2595">
        <f ca="1">IF(E107="——","——",H101-H103)</f>
        <v>162272</v>
      </c>
      <c r="I107" s="129"/>
    </row>
    <row r="108" spans="1:35" ht="18.75" customHeight="1">
      <c r="A108" s="129"/>
      <c r="B108" s="129"/>
      <c r="C108" s="129"/>
      <c r="D108" s="129"/>
      <c r="E108" s="3577"/>
      <c r="F108" s="3545"/>
      <c r="G108" s="1827" t="s">
        <v>1434</v>
      </c>
      <c r="H108" s="2555">
        <f ca="1">IF(H107=H101,H102,ROUND(H107*10000/'数据-汇总表'!E3,0))</f>
        <v>37432</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7" t="s">
        <v>1432</v>
      </c>
      <c r="H109" s="2598" t="str">
        <f>IF(E109="——","——",H101-H105-H106)</f>
        <v>——</v>
      </c>
      <c r="I109" s="129"/>
    </row>
    <row r="110" spans="1:35" ht="18.75" customHeight="1">
      <c r="A110" s="129"/>
      <c r="B110" s="129"/>
      <c r="C110" s="129"/>
      <c r="D110" s="129"/>
      <c r="E110" s="3577"/>
      <c r="F110" s="3545"/>
      <c r="G110" s="1827" t="s">
        <v>1434</v>
      </c>
      <c r="H110" s="2555"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4.抵押净值</v>
      </c>
      <c r="F111" s="3564"/>
      <c r="G111" s="1827" t="s">
        <v>1432</v>
      </c>
      <c r="H111" s="2595">
        <f ca="1">IF(E111="——","——",N59)</f>
        <v>117294</v>
      </c>
      <c r="I111" s="129"/>
    </row>
    <row r="112" spans="1:35" ht="18.75" customHeight="1" thickBot="1">
      <c r="A112" s="129"/>
      <c r="B112" s="129"/>
      <c r="C112" s="129"/>
      <c r="D112" s="129"/>
      <c r="E112" s="3579"/>
      <c r="F112" s="3580"/>
      <c r="G112" s="1830" t="s">
        <v>1434</v>
      </c>
      <c r="H112" s="2599">
        <f ca="1">IF(E111="——","——",N61)</f>
        <v>27056</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9" t="s">
        <v>1449</v>
      </c>
      <c r="E117" s="2329" t="s">
        <v>1450</v>
      </c>
      <c r="F117" s="2329" t="s">
        <v>1449</v>
      </c>
      <c r="G117" s="2329" t="s">
        <v>1451</v>
      </c>
      <c r="H117" s="2329" t="s">
        <v>1449</v>
      </c>
      <c r="I117" s="2329" t="s">
        <v>1451</v>
      </c>
    </row>
    <row r="118" spans="1:27" ht="24.75" customHeight="1">
      <c r="A118" s="2600" t="str">
        <f>项目基本情况!S2</f>
        <v>北京市东城区王府井大街57号2幢1层房地产</v>
      </c>
      <c r="B118" s="2329">
        <f>M18</f>
        <v>43351.65</v>
      </c>
      <c r="C118" s="2329">
        <f>M19</f>
        <v>9622.35</v>
      </c>
      <c r="D118" s="2329">
        <f ca="1">ROUND(IF(D32="总价",C34,E118*B118/10000),0)</f>
        <v>124300</v>
      </c>
      <c r="E118" s="2329">
        <f ca="1">ROUND(IF(C33="自定义",IF(D32="楼面单价",C34,D118*10000/B118),I118-G118),0)</f>
        <v>28673</v>
      </c>
      <c r="F118" s="2329">
        <f ca="1">ROUND(IF(D32="总价",C35,G118*B118/10000),0)</f>
        <v>37972</v>
      </c>
      <c r="G118" s="2329">
        <f ca="1">ROUND(IF(D32="楼面单价",C35,F118*10000/B118),0)</f>
        <v>8759</v>
      </c>
      <c r="H118" s="2329">
        <f ca="1">ROUND(IF(D32="总价",C32,I118*B118/10000),0)</f>
        <v>162272</v>
      </c>
      <c r="I118" s="2329">
        <f ca="1">ROUND(IF(D32="楼面单价",C32,H118*10000/B118),0)</f>
        <v>37432</v>
      </c>
    </row>
    <row r="119" spans="1:27" ht="18.75" customHeight="1">
      <c r="A119" s="3552" t="s">
        <v>1452</v>
      </c>
      <c r="B119" s="3552"/>
      <c r="C119" s="3552"/>
      <c r="D119" s="3558" t="str">
        <f ca="1">NUMBERSTRING(INT(D118*10000),2)&amp;"元整"</f>
        <v>壹拾贰亿肆仟叁佰万元整</v>
      </c>
      <c r="E119" s="3559"/>
      <c r="F119" s="3558" t="str">
        <f ca="1">NUMBERSTRING(INT(F118*10000),2)&amp;"元整"</f>
        <v>叁亿柒仟玖佰柒拾贰万元整</v>
      </c>
      <c r="G119" s="3559"/>
      <c r="H119" s="3558" t="str">
        <f ca="1">NUMBERSTRING(INT(H118*10000),2)&amp;"元整"</f>
        <v>壹拾陆亿贰仟贰佰柒拾贰万元整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f ca="1">H107</f>
        <v>162272</v>
      </c>
      <c r="E122" s="3554"/>
      <c r="F122" s="3554"/>
      <c r="G122" s="3554"/>
      <c r="H122" s="3554"/>
      <c r="I122" s="3555"/>
      <c r="AA122" s="725"/>
    </row>
    <row r="123" spans="1:27" ht="18.75" customHeight="1">
      <c r="A123" s="3552" t="s">
        <v>1452</v>
      </c>
      <c r="B123" s="3552"/>
      <c r="C123" s="3552"/>
      <c r="D123" s="3558" t="str">
        <f ca="1">NUMBERSTRING(INT(D122*10000),2)&amp;"元整"</f>
        <v>壹拾陆亿贰仟贰佰柒拾贰万元整</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抵押净值</v>
      </c>
      <c r="B126" s="3564"/>
      <c r="C126" s="3564"/>
      <c r="D126" s="3553">
        <f ca="1">H111</f>
        <v>117294</v>
      </c>
      <c r="E126" s="3554"/>
      <c r="F126" s="3554"/>
      <c r="G126" s="3554"/>
      <c r="H126" s="3554"/>
      <c r="I126" s="3555"/>
      <c r="AA126" s="725"/>
    </row>
    <row r="127" spans="1:27" ht="18.75" customHeight="1">
      <c r="A127" s="3552" t="s">
        <v>1452</v>
      </c>
      <c r="B127" s="3552"/>
      <c r="C127" s="3552"/>
      <c r="D127" s="3558" t="str">
        <f ca="1">NUMBERSTRING(INT(D126*10000),2)&amp;"元整"</f>
        <v>壹拾壹亿柒仟贰佰玖拾肆万元整</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北京市东城区王府井大街57号2幢1层房地产抵押价值预评估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7" sqref="K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3372</v>
      </c>
      <c r="C1" s="198"/>
      <c r="D1" s="198"/>
      <c r="E1" s="198"/>
      <c r="F1" s="198"/>
      <c r="G1" s="1126">
        <f>MATCH(B1,'数据-取费表'!A6:A16,0)+5</f>
        <v>6</v>
      </c>
    </row>
    <row r="2" spans="1:9" s="200" customFormat="1" ht="18" customHeight="1">
      <c r="A2" s="201" t="s">
        <v>1462</v>
      </c>
      <c r="B2" s="202">
        <f ca="1">IF(D2="——",C52,C52-E2)</f>
        <v>189158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43633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101944</v>
      </c>
      <c r="D5" s="211" t="s">
        <v>1469</v>
      </c>
      <c r="E5" s="212" t="s">
        <v>1470</v>
      </c>
      <c r="F5" s="212" t="s">
        <v>1471</v>
      </c>
      <c r="G5" s="213"/>
    </row>
    <row r="6" spans="1:9" s="214" customFormat="1" ht="13.5" customHeight="1">
      <c r="A6" s="778" t="s">
        <v>1472</v>
      </c>
      <c r="B6" s="215" t="s">
        <v>1473</v>
      </c>
      <c r="C6" s="216">
        <f>基准地价修正!B2</f>
        <v>98085</v>
      </c>
      <c r="D6" s="217"/>
      <c r="E6" s="218"/>
      <c r="F6" s="218"/>
      <c r="G6" s="219"/>
    </row>
    <row r="7" spans="1:9" s="214" customFormat="1" ht="13.5" customHeight="1">
      <c r="A7" s="778" t="s">
        <v>1474</v>
      </c>
      <c r="B7" s="215" t="s">
        <v>1475</v>
      </c>
      <c r="C7" s="220">
        <f>ROUND(C6*F7,0)</f>
        <v>2992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867</v>
      </c>
      <c r="D8" s="222"/>
      <c r="E8" s="220"/>
      <c r="F8" s="221"/>
      <c r="G8" s="1856" t="s">
        <v>3430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3431</v>
      </c>
      <c r="H9" s="1137"/>
      <c r="I9" s="1858" t="s">
        <v>1479</v>
      </c>
    </row>
    <row r="10" spans="1:9" s="214" customFormat="1" ht="13.5" customHeight="1">
      <c r="A10" s="779" t="s">
        <v>356</v>
      </c>
      <c r="B10" s="224" t="s">
        <v>1480</v>
      </c>
      <c r="C10" s="225">
        <f ca="1">ROUND(D10*E10/10000,0)</f>
        <v>867</v>
      </c>
      <c r="D10" s="845">
        <f ca="1">IF(B1="",'数据-汇总表'!E6,IF(INDIRECT("'数据-取费表'!c"&amp;$G$1)="住宅",INDIRECT("'数据-取费表'!s"&amp;$G$1),INDIRECT("'数据-取费表'!k"&amp;$G$1)+INDIRECT("'数据-取费表'!s"&amp;$G$1)))</f>
        <v>43351.65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43351.65</v>
      </c>
      <c r="E19" s="211">
        <f>'数据-取费表'!B31</f>
        <v>200</v>
      </c>
      <c r="F19" s="231"/>
      <c r="G19" s="1856" t="s">
        <v>3432</v>
      </c>
    </row>
    <row r="20" spans="1:7" s="214" customFormat="1" ht="13.5" customHeight="1">
      <c r="A20" s="255" t="s">
        <v>1493</v>
      </c>
      <c r="B20" s="210" t="s">
        <v>1494</v>
      </c>
      <c r="C20" s="232">
        <f ca="1">ROUND((C5+C19)*F20,0)</f>
        <v>2039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8722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8637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85</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20797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20797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144812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37108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34681</v>
      </c>
      <c r="D34" s="217"/>
      <c r="E34" s="220"/>
      <c r="F34" s="257">
        <f ca="1">IF('数据-取费表'!B24=0,1,IF(B1="",'数据-取费表'!N16,INDIRECT("'数据-取费表'!n"&amp;$G$1)))</f>
        <v>1</v>
      </c>
      <c r="G34" s="219" t="s">
        <v>1526</v>
      </c>
    </row>
    <row r="35" spans="1:7" ht="13.5" customHeight="1">
      <c r="A35" s="780" t="s">
        <v>351</v>
      </c>
      <c r="B35" s="215" t="s">
        <v>1527</v>
      </c>
      <c r="C35" s="220">
        <f ca="1">ROUND(C34*F35,0)</f>
        <v>1040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867</v>
      </c>
      <c r="D37" s="217">
        <f ca="1">D19</f>
        <v>43351.65</v>
      </c>
      <c r="E37" s="249">
        <f>'数据-取费表'!B35</f>
        <v>200</v>
      </c>
      <c r="F37" s="259"/>
      <c r="G37" s="261" t="s">
        <v>1532</v>
      </c>
    </row>
    <row r="38" spans="1:7" ht="13.5" customHeight="1">
      <c r="A38" s="780" t="s">
        <v>354</v>
      </c>
      <c r="B38" s="215" t="s">
        <v>1533</v>
      </c>
      <c r="C38" s="220">
        <f ca="1">ROUND(C34*F38,0)</f>
        <v>520</v>
      </c>
      <c r="D38" s="220"/>
      <c r="E38" s="220"/>
      <c r="F38" s="259">
        <f>'数据-取费表'!B36</f>
        <v>1.4999999999999999E-2</v>
      </c>
      <c r="G38" s="219" t="s">
        <v>1528</v>
      </c>
    </row>
    <row r="39" spans="1:7" s="214" customFormat="1" ht="13.5" customHeight="1">
      <c r="A39" s="255" t="s">
        <v>1534</v>
      </c>
      <c r="B39" s="210" t="s">
        <v>1535</v>
      </c>
      <c r="C39" s="232">
        <f ca="1">ROUND(C33*F20,0)</f>
        <v>742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1540</v>
      </c>
      <c r="D42" s="238"/>
      <c r="E42" s="238"/>
      <c r="F42" s="239"/>
      <c r="G42" s="3631" t="s">
        <v>1544</v>
      </c>
    </row>
    <row r="43" spans="1:7" ht="13.5" customHeight="1">
      <c r="A43" s="780" t="s">
        <v>347</v>
      </c>
      <c r="B43" s="215" t="s">
        <v>1545</v>
      </c>
      <c r="C43" s="238">
        <f ca="1">ROUND(IF('数据-取费表'!B22&lt;=1,C39*F22*'数据-取费表'!B21/2,C39*(POWER((1+F22),'数据-取费表'!B21/2)-1)),0)</f>
        <v>31</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7570</v>
      </c>
      <c r="D45" s="235">
        <f ca="1">C47</f>
        <v>4.0000000000000001E-3</v>
      </c>
      <c r="E45" s="236" t="s">
        <v>1539</v>
      </c>
      <c r="F45" s="246">
        <f ca="1">F27</f>
        <v>0.2</v>
      </c>
      <c r="G45" s="247" t="s">
        <v>1548</v>
      </c>
    </row>
    <row r="46" spans="1:7" s="214" customFormat="1" ht="13.5" customHeight="1">
      <c r="A46" s="780" t="s">
        <v>346</v>
      </c>
      <c r="B46" s="248" t="s">
        <v>1549</v>
      </c>
      <c r="C46" s="249">
        <f ca="1">ROUND((C33+C39)*F27,0)</f>
        <v>7570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50972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44346</v>
      </c>
      <c r="D51" s="232"/>
      <c r="E51" s="232"/>
      <c r="F51" s="264"/>
      <c r="G51" s="234" t="s">
        <v>1560</v>
      </c>
    </row>
    <row r="52" spans="1:7" s="208" customFormat="1" ht="16.5" thickBot="1">
      <c r="A52" s="265" t="s">
        <v>1561</v>
      </c>
      <c r="B52" s="266"/>
      <c r="C52" s="267">
        <f ca="1">C31+C51</f>
        <v>189158</v>
      </c>
      <c r="D52" s="266"/>
      <c r="E52" s="266"/>
      <c r="F52" s="266"/>
      <c r="G52" s="268"/>
    </row>
    <row r="55" spans="1:7" ht="15">
      <c r="B55" s="270" t="s">
        <v>1562</v>
      </c>
      <c r="C55" s="271"/>
    </row>
    <row r="56" spans="1:7">
      <c r="B56" s="273" t="s">
        <v>802</v>
      </c>
      <c r="C56" s="275">
        <f ca="1">1-C57</f>
        <v>0.76600000000000001</v>
      </c>
    </row>
    <row r="57" spans="1:7">
      <c r="B57" s="273" t="s">
        <v>803</v>
      </c>
      <c r="C57" s="274">
        <f ca="1">ROUND(C51/C52,3)</f>
        <v>0.23400000000000001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46809.9712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8670330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8670330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8670330</v>
      </c>
      <c r="D10" s="845">
        <f ca="1">IF(B1="",'数据-汇总表'!E6,IF(INDIRECT("'数据-取费表'!c"&amp;$G$1)="住宅",INDIRECT("'数据-取费表'!s"&amp;$G$1),INDIRECT("'数据-取费表'!k"&amp;$G$1)+INDIRECT("'数据-取费表'!s"&amp;$G$1)))</f>
        <v>43351.65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8670330</v>
      </c>
      <c r="D19" s="849">
        <f ca="1">D9+D10</f>
        <v>43351.65</v>
      </c>
      <c r="E19" s="211">
        <f>'数据-取费表'!B31</f>
        <v>200</v>
      </c>
      <c r="F19" s="231"/>
      <c r="G19" s="1856"/>
    </row>
    <row r="20" spans="1:7" s="214" customFormat="1" ht="13.5" customHeight="1">
      <c r="A20" s="255" t="s">
        <v>1574</v>
      </c>
      <c r="B20" s="210" t="s">
        <v>1575</v>
      </c>
      <c r="C20" s="232">
        <f ca="1">ROUND((C5+C19)*F20,0)</f>
        <v>346813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1483533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734570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734570</v>
      </c>
      <c r="D24" s="238"/>
      <c r="E24" s="238"/>
      <c r="F24" s="239"/>
      <c r="G24" s="240" t="s">
        <v>1586</v>
      </c>
    </row>
    <row r="25" spans="1:7" s="214" customFormat="1" ht="24">
      <c r="A25" s="780" t="s">
        <v>1476</v>
      </c>
      <c r="B25" s="215" t="s">
        <v>1587</v>
      </c>
      <c r="C25" s="1128">
        <f ca="1">ROUND(IF('数据-取费表'!B22&lt;=1,C20*F22*'数据-取费表'!B22/2,C20*(POWER((1+F22),'数据-取费表'!B22/2)-1)),0)</f>
        <v>14393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3537495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3537495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24632282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371090124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346813200</v>
      </c>
      <c r="D34" s="217"/>
      <c r="E34" s="220"/>
      <c r="F34" s="257"/>
      <c r="G34" s="219"/>
    </row>
    <row r="35" spans="1:7" ht="13.5" customHeight="1">
      <c r="A35" s="780" t="s">
        <v>351</v>
      </c>
      <c r="B35" s="215" t="s">
        <v>1527</v>
      </c>
      <c r="C35" s="220">
        <f ca="1">ROUND(C34*F35,0)</f>
        <v>10404396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8670330</v>
      </c>
      <c r="D37" s="217">
        <f ca="1">D19</f>
        <v>43351.65</v>
      </c>
      <c r="E37" s="249">
        <f>'数据-取费表'!B35</f>
        <v>200</v>
      </c>
      <c r="F37" s="259"/>
      <c r="G37" s="261"/>
    </row>
    <row r="38" spans="1:7" ht="13.5" customHeight="1">
      <c r="A38" s="780" t="s">
        <v>354</v>
      </c>
      <c r="B38" s="215" t="s">
        <v>1533</v>
      </c>
      <c r="C38" s="220">
        <f ca="1">ROUND(C34*F38,0)</f>
        <v>5202198</v>
      </c>
      <c r="D38" s="220"/>
      <c r="E38" s="220"/>
      <c r="F38" s="259">
        <f>'数据-取费表'!B36</f>
        <v>1.4999999999999999E-2</v>
      </c>
      <c r="G38" s="219" t="s">
        <v>1528</v>
      </c>
    </row>
    <row r="39" spans="1:7" s="214" customFormat="1" ht="13.5" customHeight="1">
      <c r="A39" s="255" t="s">
        <v>1534</v>
      </c>
      <c r="B39" s="210" t="s">
        <v>1535</v>
      </c>
      <c r="C39" s="232">
        <f ca="1">ROUND(C33*F20,0)</f>
        <v>7421802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15708245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15400240</v>
      </c>
      <c r="D42" s="238"/>
      <c r="E42" s="238"/>
      <c r="F42" s="239"/>
      <c r="G42" s="3631" t="s">
        <v>1591</v>
      </c>
    </row>
    <row r="43" spans="1:7" ht="13.5" customHeight="1">
      <c r="A43" s="780" t="s">
        <v>347</v>
      </c>
      <c r="B43" s="215" t="s">
        <v>1545</v>
      </c>
      <c r="C43" s="238">
        <f ca="1">ROUND(IF('数据-取费表'!B22&lt;=1,C39*F22*'数据-取费表'!B20/2,C39*(POWER((1+F22),'数据-取费表'!B20/2)-1)),0)</f>
        <v>308005</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75702385</v>
      </c>
      <c r="D45" s="235">
        <f ca="1">C47</f>
        <v>4.0000000000000001E-3</v>
      </c>
      <c r="E45" s="236" t="s">
        <v>1539</v>
      </c>
      <c r="F45" s="246">
        <f ca="1">F27</f>
        <v>0.2</v>
      </c>
      <c r="G45" s="247" t="s">
        <v>1548</v>
      </c>
    </row>
    <row r="46" spans="1:7" s="214" customFormat="1" ht="13.5" customHeight="1">
      <c r="A46" s="780" t="s">
        <v>346</v>
      </c>
      <c r="B46" s="248" t="s">
        <v>1549</v>
      </c>
      <c r="C46" s="249">
        <f ca="1">ROUND((C33+C39)*F27,0)</f>
        <v>75702385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509732678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443467430</v>
      </c>
      <c r="D51" s="232"/>
      <c r="E51" s="232"/>
      <c r="F51" s="264"/>
      <c r="G51" s="234" t="s">
        <v>1560</v>
      </c>
    </row>
    <row r="52" spans="1:7" s="208" customFormat="1" ht="16.5" thickBot="1">
      <c r="A52" s="265" t="s">
        <v>1561</v>
      </c>
      <c r="B52" s="266"/>
      <c r="C52" s="267">
        <f ca="1">C31+C51</f>
        <v>468099712</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43351.65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43351.65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867</v>
      </c>
      <c r="D20" s="846">
        <f ca="1">IF(C1="",'数据-汇总表'!E6,IF(INDIRECT("'数据-取费表'!c"&amp;$K$1)="住宅",INDIRECT("'数据-取费表'!s"&amp;$K$1),INDIRECT("'数据-取费表'!k"&amp;$K$1)+INDIRECT("'数据-取费表'!s"&amp;$K$1)))</f>
        <v>43351.65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3372</v>
      </c>
      <c r="D1" s="1362" t="s">
        <v>43</v>
      </c>
      <c r="E1" s="1363" t="s">
        <v>678</v>
      </c>
      <c r="F1" s="1062">
        <f ca="1">J53</f>
        <v>23.75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-14938</v>
      </c>
      <c r="C2" s="1387" t="s">
        <v>805</v>
      </c>
      <c r="D2" s="1387"/>
      <c r="E2" s="1388"/>
      <c r="F2" s="1389"/>
      <c r="G2" s="2706"/>
      <c r="H2" s="2695"/>
      <c r="I2" s="2695"/>
      <c r="J2" s="2695"/>
      <c r="K2" s="2696"/>
      <c r="L2" s="2695"/>
      <c r="M2" s="2695"/>
    </row>
    <row r="3" spans="1:37" ht="18" customHeight="1" thickBot="1">
      <c r="A3" s="1390" t="s">
        <v>806</v>
      </c>
      <c r="B3" s="1391">
        <f ca="1">IF(ISERROR(B2*10000/F43),0,ROUND(B2*10000/F43,0))</f>
        <v>-3446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43351.65</v>
      </c>
      <c r="G7" s="1384"/>
      <c r="H7" s="304"/>
      <c r="I7" s="3637"/>
      <c r="J7" s="306"/>
      <c r="K7" s="307"/>
      <c r="L7" s="302" t="s">
        <v>697</v>
      </c>
      <c r="M7" s="303">
        <f ca="1">F7</f>
        <v>43351.65</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44346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34681</v>
      </c>
      <c r="D14" s="1345" t="s">
        <v>708</v>
      </c>
      <c r="E14" s="1342"/>
      <c r="F14" s="319"/>
      <c r="G14" s="1384"/>
      <c r="H14" s="982" t="s">
        <v>398</v>
      </c>
      <c r="I14" s="302" t="s">
        <v>709</v>
      </c>
      <c r="J14" s="21">
        <f ca="1">C29</f>
        <v>50972</v>
      </c>
      <c r="K14" s="12"/>
      <c r="L14" s="807"/>
      <c r="M14" s="808"/>
    </row>
    <row r="15" spans="1:37" s="1397" customFormat="1" ht="18" customHeight="1" thickBot="1">
      <c r="A15" s="982" t="s">
        <v>399</v>
      </c>
      <c r="B15" s="302" t="s">
        <v>710</v>
      </c>
      <c r="C15" s="21">
        <f ca="1">ROUND(C14*F15,0)</f>
        <v>1040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793</v>
      </c>
      <c r="K16" s="1087" t="s">
        <v>715</v>
      </c>
      <c r="L16" s="1088"/>
      <c r="M16" s="1072"/>
    </row>
    <row r="17" spans="1:37" s="1397" customFormat="1" ht="18" customHeight="1">
      <c r="A17" s="982" t="s">
        <v>681</v>
      </c>
      <c r="B17" s="302" t="s">
        <v>716</v>
      </c>
      <c r="C17" s="21">
        <f ca="1">ROUND(F17*(F43+INDIRECT("'数据-取费表'!S"&amp;$G$1))/10000,0)</f>
        <v>867</v>
      </c>
      <c r="D17" s="302" t="s">
        <v>717</v>
      </c>
      <c r="E17" s="302" t="s">
        <v>718</v>
      </c>
      <c r="F17" s="23">
        <f>'数据-取费表'!B35</f>
        <v>200</v>
      </c>
      <c r="G17" s="1396"/>
      <c r="H17" s="982" t="s">
        <v>398</v>
      </c>
      <c r="I17" s="302" t="s">
        <v>719</v>
      </c>
      <c r="J17" s="2316">
        <f ca="1">ROUND(IF(AND(项目基本情况!B11="自然人",项目基本情况!B10="北京市"),J6*M17/(1+'数据-取费表'!C42),J18+J19+J20),2)</f>
        <v>28.87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37108</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742</v>
      </c>
      <c r="D20" s="323" t="s">
        <v>729</v>
      </c>
      <c r="E20" s="302" t="s">
        <v>712</v>
      </c>
      <c r="F20" s="322">
        <f>'数据-取费表'!B37</f>
        <v>0.02</v>
      </c>
      <c r="G20" s="1396"/>
      <c r="H20" s="982" t="s">
        <v>680</v>
      </c>
      <c r="I20" s="155" t="s">
        <v>730</v>
      </c>
      <c r="J20" s="22">
        <f ca="1">ROUND(M20*M21/10000,2)</f>
        <v>28.87</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9622.35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764.58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-793</v>
      </c>
      <c r="K25" s="1095" t="s">
        <v>753</v>
      </c>
      <c r="L25" s="1096"/>
      <c r="M25" s="1097"/>
    </row>
    <row r="26" spans="1:37">
      <c r="A26" s="982" t="s">
        <v>397</v>
      </c>
      <c r="B26" s="302" t="s">
        <v>754</v>
      </c>
      <c r="C26" s="21">
        <f ca="1">ROUND((C19+C20)*F26,0)</f>
        <v>7570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50972</v>
      </c>
      <c r="D29" s="1092"/>
      <c r="E29" s="1090"/>
      <c r="F29" s="1093"/>
      <c r="G29" s="1396"/>
      <c r="H29" s="334" t="s">
        <v>396</v>
      </c>
      <c r="I29" s="335" t="s">
        <v>768</v>
      </c>
      <c r="J29" s="336">
        <f ca="1">ROUND(J26/(1+F40)^F41,0)</f>
        <v>0</v>
      </c>
      <c r="K29" s="337" t="s">
        <v>769</v>
      </c>
      <c r="L29" s="338"/>
      <c r="M29" s="339">
        <f ca="1">INDIRECT("'数据-取费表'!k"&amp;$G$1)</f>
        <v>43351.65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28.87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28.87</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9622.35</v>
      </c>
      <c r="G35" s="1384"/>
      <c r="H35" s="2697"/>
      <c r="I35" s="1398"/>
      <c r="J35" s="1399"/>
      <c r="K35" s="2701"/>
      <c r="L35" s="2700"/>
      <c r="M35" s="2700"/>
    </row>
    <row r="36" spans="1:18" ht="18" customHeight="1">
      <c r="A36" s="1102" t="s">
        <v>402</v>
      </c>
      <c r="B36" s="302" t="s">
        <v>738</v>
      </c>
      <c r="C36" s="21">
        <f ca="1">ROUND(C29*F36,2)</f>
        <v>764.58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66.52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-860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-14938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-3446</v>
      </c>
      <c r="D43" s="337" t="s">
        <v>777</v>
      </c>
      <c r="E43" s="338" t="s">
        <v>778</v>
      </c>
      <c r="F43" s="339">
        <f ca="1">INDIRECT("'数据-取费表'!k"&amp;$G$1)</f>
        <v>43351.65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40</v>
      </c>
      <c r="M47" s="1380" t="str">
        <f>IF(ISNUMBER(FIND("住宅",C1)),"住宅","非住宅")</f>
        <v>非住宅</v>
      </c>
      <c r="O47" s="1418" t="s">
        <v>403</v>
      </c>
      <c r="P47" s="1419" t="s">
        <v>817</v>
      </c>
      <c r="Q47" s="1420">
        <f ca="1">C40+J29</f>
        <v>-14938</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23.75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50972</v>
      </c>
      <c r="R49" s="1420" t="s">
        <v>818</v>
      </c>
    </row>
    <row r="50" spans="1:18" s="1384" customFormat="1" ht="13.5" thickBot="1">
      <c r="A50" s="976"/>
      <c r="B50" s="979"/>
      <c r="C50" s="1118"/>
      <c r="D50" s="953"/>
      <c r="E50" s="1056" t="s">
        <v>697</v>
      </c>
      <c r="F50" s="1057">
        <f ca="1">F7</f>
        <v>43351.65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-73013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23.75</v>
      </c>
      <c r="K53" s="3634" t="s">
        <v>837</v>
      </c>
      <c r="L53" s="3635"/>
      <c r="O53" s="1418" t="s">
        <v>409</v>
      </c>
      <c r="P53" s="1419" t="s">
        <v>838</v>
      </c>
      <c r="Q53" s="1420">
        <f ca="1">Q47+Q48</f>
        <v>-14938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44346</v>
      </c>
      <c r="D56" s="1447"/>
      <c r="E56" s="1448"/>
      <c r="F56" s="1440"/>
      <c r="I56" s="1449" t="s">
        <v>842</v>
      </c>
      <c r="J56" s="1450" t="s">
        <v>3370</v>
      </c>
      <c r="K56" s="1421" t="s">
        <v>843</v>
      </c>
      <c r="L56" s="1424" t="str">
        <f ca="1">IF(L48&lt;J51,"——",L48-J53)</f>
        <v>——</v>
      </c>
      <c r="O56" s="1418" t="s">
        <v>403</v>
      </c>
      <c r="P56" s="1419" t="s">
        <v>817</v>
      </c>
      <c r="Q56" s="1420">
        <f ca="1">C40+J29</f>
        <v>-14938</v>
      </c>
      <c r="R56" s="1420" t="s">
        <v>818</v>
      </c>
    </row>
    <row r="57" spans="1:18" s="1384" customFormat="1" ht="24.75" thickBot="1">
      <c r="A57" s="1451"/>
      <c r="B57" s="950" t="s">
        <v>767</v>
      </c>
      <c r="C57" s="238">
        <f ca="1">C29</f>
        <v>50972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28.87</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-14938</v>
      </c>
      <c r="R62" s="1420" t="s">
        <v>410</v>
      </c>
    </row>
    <row r="63" spans="1:18" s="1384" customFormat="1" ht="13.5" thickBot="1">
      <c r="A63" s="326"/>
      <c r="B63" s="956"/>
      <c r="C63" s="26"/>
      <c r="D63" s="966"/>
      <c r="E63" s="950" t="s">
        <v>788</v>
      </c>
      <c r="F63" s="303">
        <f t="shared" ca="1" si="0"/>
        <v>9622.35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764.58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66.52</v>
      </c>
      <c r="D65" s="964" t="s">
        <v>743</v>
      </c>
      <c r="E65" s="950" t="s">
        <v>744</v>
      </c>
      <c r="F65" s="330">
        <f t="shared" ca="1" si="0"/>
        <v>1.5E-3</v>
      </c>
      <c r="I65" s="1462" t="s">
        <v>867</v>
      </c>
      <c r="J65" s="1463">
        <v>40</v>
      </c>
      <c r="K65" s="1463">
        <v>30</v>
      </c>
      <c r="L65" s="1463">
        <v>50</v>
      </c>
      <c r="M65" s="1465">
        <v>0.02</v>
      </c>
      <c r="O65" s="1418" t="s">
        <v>403</v>
      </c>
      <c r="P65" s="1419" t="s">
        <v>868</v>
      </c>
      <c r="Q65" s="1420">
        <f ca="1">C40+J29</f>
        <v>-14938</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-860</v>
      </c>
      <c r="D67" s="963" t="s">
        <v>753</v>
      </c>
      <c r="E67" s="968"/>
      <c r="F67" s="969"/>
      <c r="O67" s="1428" t="s">
        <v>405</v>
      </c>
      <c r="P67" s="1419" t="s">
        <v>850</v>
      </c>
      <c r="Q67" s="1466">
        <f ca="1">L51</f>
        <v>-73013</v>
      </c>
      <c r="R67" s="1420" t="s">
        <v>870</v>
      </c>
    </row>
    <row r="68" spans="1:18" s="1384" customFormat="1" ht="16.5" thickBot="1">
      <c r="A68" s="947" t="s">
        <v>395</v>
      </c>
      <c r="B68" s="948" t="s">
        <v>774</v>
      </c>
      <c r="C68" s="301">
        <f ca="1">ROUND(C67*(1-((1+F70)/(1+F68))^F69)/(F68-F70),0)</f>
        <v>-11252</v>
      </c>
      <c r="D68" s="965" t="s">
        <v>758</v>
      </c>
      <c r="E68" s="950" t="s">
        <v>759</v>
      </c>
      <c r="F68" s="312">
        <f ca="1">F40</f>
        <v>5.5E-2</v>
      </c>
      <c r="O68" s="1428" t="s">
        <v>406</v>
      </c>
      <c r="P68" s="1467" t="s">
        <v>871</v>
      </c>
      <c r="Q68" s="1420">
        <f ca="1">ROUND(Q69-Q70*Q71,0)</f>
        <v>-3964</v>
      </c>
      <c r="R68" s="1420" t="s">
        <v>414</v>
      </c>
    </row>
    <row r="69" spans="1:18" s="1384" customFormat="1" ht="13.5" thickBot="1">
      <c r="A69" s="951"/>
      <c r="B69" s="952"/>
      <c r="C69" s="306"/>
      <c r="D69" s="970" t="s">
        <v>762</v>
      </c>
      <c r="E69" s="950" t="s">
        <v>763</v>
      </c>
      <c r="F69" s="333">
        <f ca="1">F41</f>
        <v>23.75</v>
      </c>
      <c r="O69" s="1428" t="s">
        <v>411</v>
      </c>
      <c r="P69" s="1467" t="s">
        <v>872</v>
      </c>
      <c r="Q69" s="1420">
        <f ca="1">C39</f>
        <v>-860</v>
      </c>
      <c r="R69" s="1420" t="s">
        <v>818</v>
      </c>
    </row>
    <row r="70" spans="1:18" s="1384" customFormat="1" ht="13.5" thickBot="1">
      <c r="A70" s="954"/>
      <c r="B70" s="955"/>
      <c r="C70" s="310"/>
      <c r="D70" s="966"/>
      <c r="E70" s="950" t="s">
        <v>766</v>
      </c>
      <c r="F70" s="1054"/>
      <c r="O70" s="1428" t="s">
        <v>412</v>
      </c>
      <c r="P70" s="1467" t="s">
        <v>873</v>
      </c>
      <c r="Q70" s="1420">
        <f ca="1">C13</f>
        <v>44346</v>
      </c>
      <c r="R70" s="1420" t="s">
        <v>818</v>
      </c>
    </row>
    <row r="71" spans="1:18" s="1384" customFormat="1" ht="13.5" thickBot="1">
      <c r="A71" s="971" t="s">
        <v>396</v>
      </c>
      <c r="B71" s="972" t="s">
        <v>776</v>
      </c>
      <c r="C71" s="336">
        <f ca="1">ROUND(C68*10000/F71,0)</f>
        <v>-2596</v>
      </c>
      <c r="D71" s="973" t="s">
        <v>777</v>
      </c>
      <c r="E71" s="974" t="s">
        <v>778</v>
      </c>
      <c r="F71" s="339">
        <f ca="1">F43</f>
        <v>43351.65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3104</v>
      </c>
      <c r="D75" s="1384"/>
      <c r="E75" s="1384"/>
      <c r="F75" s="1384"/>
      <c r="K75" s="1402"/>
      <c r="L75" s="1384"/>
      <c r="O75" s="1418" t="s">
        <v>409</v>
      </c>
      <c r="P75" s="1419" t="s">
        <v>838</v>
      </c>
      <c r="Q75" s="1420">
        <f ca="1">Q65+Q66</f>
        <v>-14938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4.609</v>
      </c>
    </row>
    <row r="80" spans="1:18">
      <c r="B80" s="340" t="s">
        <v>800</v>
      </c>
      <c r="C80" s="274">
        <f ca="1">ROUND(C75/C39,3)</f>
        <v>-3.609</v>
      </c>
    </row>
    <row r="81" spans="2:3">
      <c r="B81" s="270" t="s">
        <v>801</v>
      </c>
      <c r="C81" s="238"/>
    </row>
    <row r="82" spans="2:3">
      <c r="B82" s="273" t="s">
        <v>802</v>
      </c>
      <c r="C82" s="275">
        <f ca="1">1-C83</f>
        <v>3.9689999999999999</v>
      </c>
    </row>
    <row r="83" spans="2:3">
      <c r="B83" s="273" t="s">
        <v>803</v>
      </c>
      <c r="C83" s="274">
        <f ca="1">ROUND(C13/C40,3)</f>
        <v>-2.9689999999999999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0</v>
      </c>
      <c r="D6" s="155" t="s">
        <v>2106</v>
      </c>
      <c r="E6" s="302" t="s">
        <v>696</v>
      </c>
      <c r="F6" s="303">
        <f ca="1">INDIRECT("'数据-取费表'!u"&amp;$G$1)</f>
        <v>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50" sqref="F50"/>
    </sheetView>
  </sheetViews>
  <sheetFormatPr defaultRowHeight="13.15" customHeight="1"/>
  <cols>
    <col min="1" max="1" width="9.5" style="2842" customWidth="1"/>
    <col min="2" max="2" width="8.875" style="2842"/>
    <col min="3" max="5" width="12.875" style="2842" customWidth="1"/>
    <col min="6" max="6" width="47.5" style="2842" customWidth="1"/>
    <col min="7" max="7" width="13" style="2997" customWidth="1"/>
    <col min="8" max="8" width="8.875" style="2836"/>
    <col min="9" max="9" width="8.875" style="2837"/>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99538</v>
      </c>
      <c r="C2" s="2844" t="s">
        <v>2319</v>
      </c>
      <c r="D2" s="3441" t="s">
        <v>43</v>
      </c>
      <c r="E2" s="3442"/>
      <c r="F2" s="2846"/>
      <c r="G2" s="2847"/>
      <c r="H2" s="2848"/>
      <c r="I2" s="2849"/>
      <c r="J2" s="3639" t="s">
        <v>2320</v>
      </c>
      <c r="K2" s="364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22961</v>
      </c>
      <c r="C3" s="2844" t="s">
        <v>2329</v>
      </c>
      <c r="D3" s="2844"/>
      <c r="E3" s="2845"/>
      <c r="F3" s="2846"/>
      <c r="G3" s="2847"/>
      <c r="H3" s="2848"/>
      <c r="I3" s="2849"/>
      <c r="J3" s="3641" t="s">
        <v>2330</v>
      </c>
      <c r="K3" s="3642"/>
      <c r="L3" s="2856"/>
      <c r="M3" s="2856"/>
      <c r="N3" s="2856"/>
      <c r="O3" s="2856"/>
      <c r="P3" s="2856"/>
      <c r="Q3" s="2857"/>
      <c r="R3" s="2858">
        <f>SUM(L3:Q3)</f>
        <v>0</v>
      </c>
      <c r="S3" s="2841"/>
      <c r="T3" s="2841"/>
      <c r="U3" s="2841"/>
      <c r="V3" s="2849"/>
    </row>
    <row r="4" spans="1:22" s="2853" customFormat="1" ht="13.15" customHeight="1">
      <c r="A4" s="2859" t="s">
        <v>2331</v>
      </c>
      <c r="B4" s="2860">
        <f>'数据-汇总表'!E3</f>
        <v>43351.65</v>
      </c>
      <c r="C4" s="2844"/>
      <c r="D4" s="2844"/>
      <c r="E4" s="2845"/>
      <c r="F4" s="2846"/>
      <c r="G4" s="2847"/>
      <c r="H4" s="2848"/>
      <c r="I4" s="2849"/>
      <c r="J4" s="3641" t="s">
        <v>2332</v>
      </c>
      <c r="K4" s="3642"/>
      <c r="L4" s="2861"/>
      <c r="M4" s="2861"/>
      <c r="N4" s="2861"/>
      <c r="O4" s="2861"/>
      <c r="P4" s="2861"/>
      <c r="Q4" s="2862"/>
      <c r="R4" s="2863">
        <f>SUM(L4:Q4)</f>
        <v>0</v>
      </c>
      <c r="S4" s="2841"/>
      <c r="T4" s="2841"/>
      <c r="U4" s="2841"/>
      <c r="V4" s="2849"/>
    </row>
    <row r="5" spans="1:22" s="2853" customFormat="1" ht="13.15" customHeight="1" thickBot="1">
      <c r="A5" s="2864" t="s">
        <v>2333</v>
      </c>
      <c r="B5" s="2865">
        <f>'数据-汇总表'!D3</f>
        <v>9622.35</v>
      </c>
      <c r="C5" s="2844"/>
      <c r="D5" s="2866"/>
      <c r="E5" s="2846"/>
      <c r="F5" s="2846"/>
      <c r="G5" s="2847"/>
      <c r="H5" s="2848"/>
      <c r="I5" s="2849"/>
      <c r="J5" s="2867" t="s">
        <v>2334</v>
      </c>
      <c r="K5" s="2868"/>
      <c r="L5" s="2868"/>
      <c r="M5" s="2869"/>
      <c r="N5" s="2869"/>
      <c r="O5" s="2869"/>
      <c r="P5" s="2869"/>
      <c r="Q5" s="2869"/>
      <c r="R5" s="2852">
        <f>SUM(R14,R19,R24,R25,R27,R28)</f>
        <v>15666</v>
      </c>
      <c r="S5" s="2841"/>
      <c r="T5" s="2841" t="s">
        <v>2335</v>
      </c>
      <c r="U5" s="2841" t="e">
        <f>ROUND(R5*10000/365/R3,1)</f>
        <v>#DIV/0!</v>
      </c>
      <c r="V5" s="2849"/>
    </row>
    <row r="6" spans="1:22" s="2853" customFormat="1" ht="13.15" customHeight="1" thickBot="1">
      <c r="A6" s="3643" t="s">
        <v>2336</v>
      </c>
      <c r="B6" s="3644"/>
      <c r="C6" s="3645"/>
      <c r="D6" s="2870">
        <f>R5</f>
        <v>15666</v>
      </c>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9152</v>
      </c>
      <c r="E7" s="2880">
        <f ca="1">E9+E10+E11+E17</f>
        <v>0.58419507213072897</v>
      </c>
      <c r="F7" s="2881"/>
      <c r="G7" s="2882"/>
      <c r="H7" s="2848"/>
      <c r="I7" s="2849"/>
      <c r="J7" s="3646"/>
      <c r="K7" s="3648"/>
      <c r="L7" s="3447" t="s">
        <v>3457</v>
      </c>
      <c r="M7" s="2884">
        <v>126</v>
      </c>
      <c r="N7" s="2860">
        <v>682.78</v>
      </c>
      <c r="O7" s="2885">
        <v>1</v>
      </c>
      <c r="P7" s="2885">
        <v>0.8</v>
      </c>
      <c r="Q7" s="2886">
        <v>365</v>
      </c>
      <c r="R7" s="2887">
        <f>ROUND(M7*N7*O7*P7*Q7/10000,0)</f>
        <v>2512</v>
      </c>
      <c r="S7" s="2841"/>
      <c r="T7" s="2841" t="s">
        <v>2347</v>
      </c>
      <c r="U7" s="2841"/>
      <c r="V7" s="2849"/>
    </row>
    <row r="8" spans="1:22" s="2853" customFormat="1" ht="13.15" customHeight="1">
      <c r="A8" s="2888" t="s">
        <v>2348</v>
      </c>
      <c r="B8" s="3650" t="s">
        <v>2349</v>
      </c>
      <c r="C8" s="3651"/>
      <c r="D8" s="2889" t="s">
        <v>2350</v>
      </c>
      <c r="E8" s="2890" t="s">
        <v>2351</v>
      </c>
      <c r="F8" s="2891" t="s">
        <v>2352</v>
      </c>
      <c r="G8" s="2892"/>
      <c r="H8" s="2848"/>
      <c r="I8" s="2849"/>
      <c r="J8" s="3646"/>
      <c r="K8" s="3648"/>
      <c r="L8" s="3447" t="s">
        <v>3458</v>
      </c>
      <c r="M8" s="2884">
        <v>47</v>
      </c>
      <c r="N8" s="2860">
        <v>732.31</v>
      </c>
      <c r="O8" s="2885">
        <v>1</v>
      </c>
      <c r="P8" s="2885">
        <v>0.75</v>
      </c>
      <c r="Q8" s="2886">
        <v>365</v>
      </c>
      <c r="R8" s="2887">
        <f t="shared" ref="R8:R13" si="0">ROUND(M8*N8*O8*P8*Q8/10000,0)</f>
        <v>942</v>
      </c>
      <c r="S8" s="2841"/>
      <c r="T8" s="2841" t="s">
        <v>2353</v>
      </c>
      <c r="U8" s="2841"/>
      <c r="V8" s="2849"/>
    </row>
    <row r="9" spans="1:22" s="2853" customFormat="1" ht="13.15" customHeight="1">
      <c r="A9" s="2888">
        <v>1</v>
      </c>
      <c r="B9" s="3650" t="s">
        <v>2354</v>
      </c>
      <c r="C9" s="3651"/>
      <c r="D9" s="2889">
        <f>ROUND(D6*E9,0)</f>
        <v>4700</v>
      </c>
      <c r="E9" s="2893">
        <v>0.3</v>
      </c>
      <c r="F9" s="2894" t="s">
        <v>2355</v>
      </c>
      <c r="G9" s="2873"/>
      <c r="H9" s="2848"/>
      <c r="I9" s="2849"/>
      <c r="J9" s="3646"/>
      <c r="K9" s="3648"/>
      <c r="L9" s="3447" t="s">
        <v>3459</v>
      </c>
      <c r="M9" s="2884">
        <v>28</v>
      </c>
      <c r="N9" s="2860">
        <v>671.14</v>
      </c>
      <c r="O9" s="2885">
        <v>1</v>
      </c>
      <c r="P9" s="2885">
        <v>0.8</v>
      </c>
      <c r="Q9" s="2886">
        <v>365</v>
      </c>
      <c r="R9" s="2887">
        <f t="shared" si="0"/>
        <v>549</v>
      </c>
      <c r="S9" s="2841"/>
      <c r="T9" s="2841"/>
      <c r="U9" s="2841"/>
      <c r="V9" s="2849"/>
    </row>
    <row r="10" spans="1:22" s="2853" customFormat="1" ht="13.15" customHeight="1">
      <c r="A10" s="2888">
        <v>2</v>
      </c>
      <c r="B10" s="3650" t="s">
        <v>2356</v>
      </c>
      <c r="C10" s="3651"/>
      <c r="D10" s="2889">
        <f>ROUND(D6*E10,0)</f>
        <v>2350</v>
      </c>
      <c r="E10" s="2893">
        <v>0.15</v>
      </c>
      <c r="F10" s="2894" t="s">
        <v>2357</v>
      </c>
      <c r="G10" s="2873"/>
      <c r="H10" s="2848"/>
      <c r="I10" s="2849"/>
      <c r="J10" s="3646"/>
      <c r="K10" s="3648"/>
      <c r="L10" s="3447" t="s">
        <v>3461</v>
      </c>
      <c r="M10" s="2884">
        <v>84</v>
      </c>
      <c r="N10" s="2860">
        <v>756.5</v>
      </c>
      <c r="O10" s="2885">
        <v>1</v>
      </c>
      <c r="P10" s="2885">
        <v>0.78</v>
      </c>
      <c r="Q10" s="2886">
        <v>365</v>
      </c>
      <c r="R10" s="2887">
        <f t="shared" si="0"/>
        <v>1809</v>
      </c>
      <c r="S10" s="2841"/>
      <c r="T10" s="2841"/>
      <c r="U10" s="2841"/>
      <c r="V10" s="2849"/>
    </row>
    <row r="11" spans="1:22" s="2853" customFormat="1" ht="13.15" customHeight="1">
      <c r="A11" s="2888">
        <v>3</v>
      </c>
      <c r="B11" s="3650" t="s">
        <v>2358</v>
      </c>
      <c r="C11" s="3651"/>
      <c r="D11" s="2889">
        <f ca="1">D12+D14+D15+D16</f>
        <v>1319</v>
      </c>
      <c r="E11" s="2895">
        <f ca="1">D11/D6</f>
        <v>8.4195072130728965E-2</v>
      </c>
      <c r="F11" s="2891"/>
      <c r="G11" s="2892"/>
      <c r="H11" s="2848"/>
      <c r="I11" s="2849"/>
      <c r="J11" s="3646"/>
      <c r="K11" s="3648"/>
      <c r="L11" s="3447" t="s">
        <v>3460</v>
      </c>
      <c r="M11" s="2884">
        <v>5</v>
      </c>
      <c r="N11" s="2860">
        <v>740.04</v>
      </c>
      <c r="O11" s="2885">
        <v>1</v>
      </c>
      <c r="P11" s="2885">
        <v>0.78</v>
      </c>
      <c r="Q11" s="2886">
        <v>365</v>
      </c>
      <c r="R11" s="2887">
        <f t="shared" si="0"/>
        <v>105</v>
      </c>
      <c r="S11" s="2841"/>
      <c r="T11" s="2841"/>
      <c r="U11" s="2841"/>
      <c r="V11" s="2849"/>
    </row>
    <row r="12" spans="1:22" s="2853" customFormat="1" ht="13.15" customHeight="1">
      <c r="A12" s="2896" t="s">
        <v>2359</v>
      </c>
      <c r="B12" s="3652" t="s">
        <v>2360</v>
      </c>
      <c r="C12" s="3653"/>
      <c r="D12" s="2897">
        <f ca="1">ROUND(D13*1.2%*(1-30%),0)</f>
        <v>428</v>
      </c>
      <c r="E12" s="2898">
        <v>1.2E-2</v>
      </c>
      <c r="F12" s="2891" t="s">
        <v>2361</v>
      </c>
      <c r="G12" s="2892"/>
      <c r="H12" s="2848"/>
      <c r="I12" s="2849"/>
      <c r="J12" s="3646"/>
      <c r="K12" s="3648"/>
      <c r="L12" s="3447" t="s">
        <v>3462</v>
      </c>
      <c r="M12" s="2884">
        <v>22</v>
      </c>
      <c r="N12" s="2860">
        <v>811.8</v>
      </c>
      <c r="O12" s="2885">
        <v>1</v>
      </c>
      <c r="P12" s="2885">
        <v>0.77</v>
      </c>
      <c r="Q12" s="2886">
        <v>365</v>
      </c>
      <c r="R12" s="2887">
        <f t="shared" si="0"/>
        <v>502</v>
      </c>
      <c r="S12" s="2841"/>
      <c r="T12" s="2841"/>
      <c r="U12" s="2841"/>
      <c r="V12" s="2849"/>
    </row>
    <row r="13" spans="1:22" s="2853" customFormat="1" ht="13.15" customHeight="1">
      <c r="A13" s="2896"/>
      <c r="B13" s="2899"/>
      <c r="C13" s="2900" t="s">
        <v>2362</v>
      </c>
      <c r="D13" s="2901">
        <f ca="1">收益法!C29</f>
        <v>50972</v>
      </c>
      <c r="E13" s="2902"/>
      <c r="F13" s="2891"/>
      <c r="G13" s="2892"/>
      <c r="H13" s="2848"/>
      <c r="I13" s="2849"/>
      <c r="J13" s="3646"/>
      <c r="K13" s="3648"/>
      <c r="L13" s="3447" t="s">
        <v>3463</v>
      </c>
      <c r="M13" s="2884">
        <v>17</v>
      </c>
      <c r="N13" s="2860">
        <v>1051.94</v>
      </c>
      <c r="O13" s="2885">
        <v>1</v>
      </c>
      <c r="P13" s="2885">
        <v>0.6</v>
      </c>
      <c r="Q13" s="2886">
        <v>365</v>
      </c>
      <c r="R13" s="2887">
        <f t="shared" si="0"/>
        <v>392</v>
      </c>
      <c r="S13" s="2841"/>
      <c r="T13" s="2841"/>
      <c r="U13" s="2841"/>
      <c r="V13" s="2849"/>
    </row>
    <row r="14" spans="1:22" s="2853" customFormat="1" ht="13.15" customHeight="1">
      <c r="A14" s="2896" t="s">
        <v>2363</v>
      </c>
      <c r="B14" s="3652" t="s">
        <v>2364</v>
      </c>
      <c r="C14" s="3653"/>
      <c r="D14" s="2897">
        <f>ROUND(E14*B5/10000,0)</f>
        <v>29</v>
      </c>
      <c r="E14" s="2886">
        <v>30</v>
      </c>
      <c r="F14" s="2891" t="s">
        <v>2365</v>
      </c>
      <c r="G14" s="2892"/>
      <c r="H14" s="2848"/>
      <c r="I14" s="2849"/>
      <c r="J14" s="3646"/>
      <c r="K14" s="3649"/>
      <c r="L14" s="2903" t="s">
        <v>2366</v>
      </c>
      <c r="M14" s="2904">
        <f>SUM(M7:M13)</f>
        <v>329</v>
      </c>
      <c r="N14" s="2904">
        <f>ROUND((N7*M7+N8*M8+N9*M9+N10*M10+N11*M11+N12*M12+N13*M13)/M14,0)</f>
        <v>736</v>
      </c>
      <c r="O14" s="2905"/>
      <c r="P14" s="2905"/>
      <c r="Q14" s="2906"/>
      <c r="R14" s="2852">
        <f>SUM(R7:R13)</f>
        <v>6811</v>
      </c>
      <c r="S14" s="2841"/>
      <c r="T14" s="2841"/>
      <c r="U14" s="2841"/>
      <c r="V14" s="2849"/>
    </row>
    <row r="15" spans="1:22" s="2853" customFormat="1" ht="13.15" customHeight="1">
      <c r="A15" s="2896" t="s">
        <v>2367</v>
      </c>
      <c r="B15" s="3652" t="s">
        <v>2368</v>
      </c>
      <c r="C15" s="3653"/>
      <c r="D15" s="2897">
        <f>ROUND(D6*E15,0)</f>
        <v>862</v>
      </c>
      <c r="E15" s="2898">
        <v>5.5E-2</v>
      </c>
      <c r="F15" s="2891" t="s">
        <v>2369</v>
      </c>
      <c r="G15" s="2873"/>
      <c r="H15" s="2848"/>
      <c r="I15" s="2849"/>
      <c r="J15" s="3646">
        <v>2</v>
      </c>
      <c r="K15" s="3647"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52" t="s">
        <v>2377</v>
      </c>
      <c r="C16" s="3653"/>
      <c r="D16" s="2908">
        <f>D6*E16</f>
        <v>0</v>
      </c>
      <c r="E16" s="2909"/>
      <c r="F16" s="2894" t="s">
        <v>2378</v>
      </c>
      <c r="G16" s="2873"/>
      <c r="H16" s="2848"/>
      <c r="I16" s="2849"/>
      <c r="J16" s="3646"/>
      <c r="K16" s="3648"/>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2380</v>
      </c>
      <c r="C17" s="3655"/>
      <c r="D17" s="2911">
        <f>ROUND(D6*E17,0)</f>
        <v>783</v>
      </c>
      <c r="E17" s="2912">
        <v>0.05</v>
      </c>
      <c r="F17" s="2913" t="s">
        <v>2381</v>
      </c>
      <c r="G17" s="2873"/>
      <c r="H17" s="2848"/>
      <c r="I17" s="2849"/>
      <c r="J17" s="3646"/>
      <c r="K17" s="3648"/>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783</v>
      </c>
      <c r="E18" s="2915">
        <v>0.05</v>
      </c>
      <c r="F18" s="2916" t="s">
        <v>2384</v>
      </c>
      <c r="G18" s="2873"/>
      <c r="H18" s="2848"/>
      <c r="I18" s="2849"/>
      <c r="J18" s="3646"/>
      <c r="K18" s="3648"/>
      <c r="L18" s="3447" t="s">
        <v>3464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46"/>
      <c r="K19" s="3649"/>
      <c r="L19" s="2903" t="s">
        <v>2366</v>
      </c>
      <c r="M19" s="2904"/>
      <c r="N19" s="2904">
        <f>SUM(N16:N18)</f>
        <v>0</v>
      </c>
      <c r="O19" s="2905"/>
      <c r="P19" s="2918" t="s">
        <v>3465</v>
      </c>
      <c r="Q19" s="2885">
        <v>0.5</v>
      </c>
      <c r="R19" s="2919">
        <f>ROUND(IF(P19="按比例",R14*Q19,SUM(R16:R18)),0)</f>
        <v>3406</v>
      </c>
      <c r="S19" s="2841"/>
      <c r="T19" s="2841"/>
      <c r="U19" s="2841"/>
      <c r="V19" s="2849"/>
    </row>
    <row r="20" spans="1:22" s="2853" customFormat="1" ht="13.15" customHeight="1">
      <c r="A20" s="2876"/>
      <c r="B20" s="2877"/>
      <c r="C20" s="2877"/>
      <c r="D20" s="2877"/>
      <c r="E20" s="2877"/>
      <c r="F20" s="2920"/>
      <c r="G20" s="2892"/>
      <c r="H20" s="2848"/>
      <c r="I20" s="2849"/>
      <c r="J20" s="3646">
        <v>3</v>
      </c>
      <c r="K20" s="3647"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46"/>
      <c r="K21" s="3648"/>
      <c r="L21" s="2883" t="s">
        <v>2397</v>
      </c>
      <c r="M21" s="2884">
        <v>1</v>
      </c>
      <c r="N21" s="2884">
        <v>120000</v>
      </c>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46"/>
      <c r="K22" s="3648"/>
      <c r="L22" s="2883" t="s">
        <v>2401</v>
      </c>
      <c r="M22" s="2884">
        <v>4</v>
      </c>
      <c r="N22" s="2884">
        <v>6750</v>
      </c>
      <c r="O22" s="2885">
        <v>0.02</v>
      </c>
      <c r="P22" s="2886">
        <v>365</v>
      </c>
      <c r="Q22" s="2860"/>
      <c r="R22" s="2926">
        <f>ROUND(M22*N22*O22*P22/10000,0)</f>
        <v>20</v>
      </c>
      <c r="S22" s="2922"/>
      <c r="T22" s="2922"/>
      <c r="U22" s="2922"/>
      <c r="V22" s="2849"/>
    </row>
    <row r="23" spans="1:22" s="2853" customFormat="1" ht="13.15" customHeight="1">
      <c r="A23" s="2931">
        <v>1</v>
      </c>
      <c r="B23" s="2932" t="s">
        <v>2402</v>
      </c>
      <c r="C23" s="2933">
        <f>D6</f>
        <v>15666</v>
      </c>
      <c r="D23" s="2934">
        <f>C23*(1+D24)</f>
        <v>15666</v>
      </c>
      <c r="E23" s="2935">
        <f>D23*(1+E24)</f>
        <v>15666</v>
      </c>
      <c r="F23" s="2936"/>
      <c r="G23" s="2937"/>
      <c r="H23" s="2848"/>
      <c r="I23" s="2849"/>
      <c r="J23" s="3646"/>
      <c r="K23" s="3648"/>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46"/>
      <c r="K24" s="3649"/>
      <c r="L24" s="2903" t="s">
        <v>2366</v>
      </c>
      <c r="M24" s="2904">
        <f>SUM(M21:M23)</f>
        <v>5</v>
      </c>
      <c r="N24" s="2904"/>
      <c r="O24" s="2905"/>
      <c r="P24" s="2918" t="s">
        <v>3465</v>
      </c>
      <c r="Q24" s="2885">
        <v>0.5</v>
      </c>
      <c r="R24" s="2919">
        <f>ROUND(IF(P24="按比例",R14*Q24,SUM(R21:R23)),0)</f>
        <v>3406</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0.3</v>
      </c>
      <c r="R25" s="2919">
        <f>ROUND(R14*Q25,0)</f>
        <v>2043</v>
      </c>
      <c r="S25" s="2841"/>
      <c r="T25" s="2841"/>
      <c r="U25" s="2841"/>
      <c r="V25" s="2949"/>
    </row>
    <row r="26" spans="1:22" s="2950" customFormat="1" ht="13.15" customHeight="1">
      <c r="A26" s="2931">
        <v>2</v>
      </c>
      <c r="B26" s="2932" t="s">
        <v>2406</v>
      </c>
      <c r="C26" s="2933">
        <f ca="1">D7</f>
        <v>9152</v>
      </c>
      <c r="D26" s="2934">
        <f>D23*D27</f>
        <v>0</v>
      </c>
      <c r="E26" s="2935">
        <f>E23*E27</f>
        <v>0</v>
      </c>
      <c r="F26" s="2936"/>
      <c r="G26" s="2937"/>
      <c r="H26" s="2848"/>
      <c r="I26" s="2849"/>
      <c r="J26" s="3656">
        <v>5</v>
      </c>
      <c r="K26" s="2951" t="s">
        <v>2407</v>
      </c>
      <c r="L26" s="2952"/>
      <c r="M26" s="2953"/>
      <c r="N26" s="2954" t="s">
        <v>2408</v>
      </c>
      <c r="O26" s="2954" t="s">
        <v>2409</v>
      </c>
      <c r="P26" s="2955" t="s">
        <v>2410</v>
      </c>
      <c r="Q26" s="2955" t="s">
        <v>2411</v>
      </c>
      <c r="R26" s="2858" t="s">
        <v>2344</v>
      </c>
      <c r="S26" s="2956"/>
      <c r="T26" s="2956"/>
      <c r="U26" s="2956"/>
      <c r="V26" s="2949"/>
    </row>
    <row r="27" spans="1:22" s="2853" customFormat="1" ht="13.15" customHeight="1">
      <c r="A27" s="2938"/>
      <c r="B27" s="2939" t="s">
        <v>2412</v>
      </c>
      <c r="C27" s="2957">
        <f ca="1">E7</f>
        <v>0.58419507213072897</v>
      </c>
      <c r="D27" s="2941"/>
      <c r="E27" s="2942"/>
      <c r="F27" s="2943"/>
      <c r="G27" s="2937"/>
      <c r="H27" s="2958"/>
      <c r="I27" s="2949"/>
      <c r="J27" s="365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783.30000000000007</v>
      </c>
      <c r="D29" s="2934">
        <f>D23*C30</f>
        <v>783.30000000000007</v>
      </c>
      <c r="E29" s="2935">
        <f>E23*C30</f>
        <v>783.30000000000007</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 ca="1">C23-C26-C29</f>
        <v>5730.7</v>
      </c>
      <c r="D32" s="2934">
        <f>D23-D26-D29</f>
        <v>14882.7</v>
      </c>
      <c r="E32" s="2935">
        <f>E23-E26-E29</f>
        <v>14882.7</v>
      </c>
      <c r="F32" s="2936"/>
      <c r="G32" s="2930"/>
      <c r="H32" s="2848"/>
      <c r="I32" s="2849"/>
      <c r="J32" s="3639" t="s">
        <v>2320</v>
      </c>
      <c r="K32" s="364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1" t="s">
        <v>2330</v>
      </c>
      <c r="K33" s="3642"/>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f ca="1">收益法!F40</f>
        <v>5.5E-2</v>
      </c>
      <c r="D34" s="2977">
        <f ca="1">C34</f>
        <v>5.5E-2</v>
      </c>
      <c r="E34" s="2977">
        <f ca="1">C34</f>
        <v>5.5E-2</v>
      </c>
      <c r="F34" s="2936"/>
      <c r="G34" s="2930"/>
      <c r="H34" s="2958"/>
      <c r="I34" s="2949"/>
      <c r="J34" s="3641" t="s">
        <v>2332</v>
      </c>
      <c r="K34" s="3642"/>
      <c r="L34" s="2861"/>
      <c r="M34" s="2861"/>
      <c r="N34" s="2861"/>
      <c r="O34" s="2861"/>
      <c r="P34" s="2861"/>
      <c r="Q34" s="2862"/>
      <c r="R34" s="2978">
        <f>SUM(L34:Q34)</f>
        <v>0</v>
      </c>
      <c r="S34" s="2922"/>
      <c r="T34" s="2841"/>
      <c r="U34" s="2841" t="e">
        <f>ROUND(R35*10000/365/R33,1)</f>
        <v>#DIV/0!</v>
      </c>
      <c r="V34" s="2849"/>
    </row>
    <row r="35" spans="1:23" s="2853" customFormat="1" ht="13.15" customHeight="1">
      <c r="A35" s="2931">
        <v>6</v>
      </c>
      <c r="B35" s="2932" t="s">
        <v>2422</v>
      </c>
      <c r="C35" s="2979">
        <f ca="1">收益法!F42</f>
        <v>0.03</v>
      </c>
      <c r="D35" s="2979">
        <f ca="1">C35</f>
        <v>0.03</v>
      </c>
      <c r="E35" s="2979">
        <f ca="1">C35</f>
        <v>0.03</v>
      </c>
      <c r="F35" s="2936"/>
      <c r="G35" s="2980"/>
      <c r="H35" s="2848"/>
      <c r="I35" s="2949"/>
      <c r="J35" s="2867" t="s">
        <v>2334</v>
      </c>
      <c r="K35" s="2868"/>
      <c r="L35" s="2868"/>
      <c r="M35" s="2869"/>
      <c r="N35" s="2869"/>
      <c r="O35" s="2869"/>
      <c r="P35" s="2869"/>
      <c r="Q35" s="2869"/>
      <c r="R35" s="2981">
        <f>R40+R41+R43</f>
        <v>0</v>
      </c>
      <c r="S35" s="2922"/>
      <c r="T35" s="2841" t="s">
        <v>2335</v>
      </c>
      <c r="U35" s="2841"/>
      <c r="V35" s="2849"/>
    </row>
    <row r="36" spans="1:23" s="2853" customFormat="1" ht="13.15" customHeight="1" thickBot="1">
      <c r="A36" s="2931">
        <v>7</v>
      </c>
      <c r="B36" s="2982" t="s">
        <v>2423</v>
      </c>
      <c r="C36" s="2983">
        <f ca="1">收益法!F41</f>
        <v>23.75</v>
      </c>
      <c r="D36" s="2984"/>
      <c r="E36" s="2985"/>
      <c r="F36" s="2986">
        <f ca="1">C36+D36+E36</f>
        <v>23.75</v>
      </c>
      <c r="G36" s="2930"/>
      <c r="H36" s="2848"/>
      <c r="I36" s="2849"/>
      <c r="J36" s="3646">
        <v>1</v>
      </c>
      <c r="K36" s="3647" t="s">
        <v>2424</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99538</v>
      </c>
      <c r="D38" s="2889">
        <f ca="1">IF(D23=0,0,ROUND(D32*(1-((1+D35)/(1+D34))^D36)/(D34-D35),0))</f>
        <v>0</v>
      </c>
      <c r="E38" s="2889">
        <f ca="1">IF(E23=0,0,ROUND(E32*(1-((1+E35)/(1+E34))^E36)/(E34-E35),0))</f>
        <v>0</v>
      </c>
      <c r="F38" s="2936"/>
      <c r="G38" s="2930"/>
      <c r="H38" s="2848"/>
      <c r="I38" s="2849"/>
      <c r="J38" s="3646"/>
      <c r="K38" s="3648"/>
      <c r="L38" s="2883"/>
      <c r="M38" s="2884"/>
      <c r="N38" s="2860"/>
      <c r="O38" s="2885"/>
      <c r="P38" s="2885"/>
      <c r="Q38" s="2886"/>
      <c r="R38" s="2887"/>
      <c r="S38" s="2922"/>
      <c r="T38" s="2841" t="s">
        <v>2353</v>
      </c>
      <c r="U38" s="2841"/>
      <c r="V38" s="2849"/>
    </row>
    <row r="39" spans="1:23" s="2853" customFormat="1" ht="13.15" customHeight="1">
      <c r="A39" s="2931">
        <v>9</v>
      </c>
      <c r="B39" s="2932" t="s">
        <v>2425</v>
      </c>
      <c r="C39" s="2897">
        <f ca="1">C38</f>
        <v>99538</v>
      </c>
      <c r="D39" s="2932">
        <f ca="1">D38/(1+D34)^C36</f>
        <v>0</v>
      </c>
      <c r="E39" s="2932">
        <f ca="1">E38/(1+E34)^(C36+D36)</f>
        <v>0</v>
      </c>
      <c r="F39" s="2936"/>
      <c r="G39" s="2987"/>
      <c r="H39" s="2848"/>
      <c r="I39" s="2849"/>
      <c r="J39" s="3646"/>
      <c r="K39" s="3648"/>
      <c r="L39" s="2883"/>
      <c r="M39" s="2884"/>
      <c r="N39" s="2860"/>
      <c r="O39" s="2885"/>
      <c r="P39" s="2885"/>
      <c r="Q39" s="2886"/>
      <c r="R39" s="2887"/>
      <c r="S39" s="2922"/>
      <c r="T39" s="2841"/>
      <c r="U39" s="2841"/>
      <c r="V39" s="2849"/>
    </row>
    <row r="40" spans="1:23" s="2853" customFormat="1" ht="13.15" customHeight="1">
      <c r="A40" s="2988">
        <v>10</v>
      </c>
      <c r="B40" s="2932" t="s">
        <v>2426</v>
      </c>
      <c r="C40" s="2989">
        <f ca="1">C39+D39+E39</f>
        <v>99538</v>
      </c>
      <c r="D40" s="2990"/>
      <c r="E40" s="2990"/>
      <c r="F40" s="2991"/>
      <c r="G40" s="2930"/>
      <c r="H40" s="2848"/>
      <c r="I40" s="2849"/>
      <c r="J40" s="3646"/>
      <c r="K40" s="3649"/>
      <c r="L40" s="2903" t="s">
        <v>2366</v>
      </c>
      <c r="M40" s="2904"/>
      <c r="N40" s="2904"/>
      <c r="O40" s="2905"/>
      <c r="P40" s="2905"/>
      <c r="Q40" s="2906"/>
      <c r="R40" s="2852">
        <f>SUM(R37:R39)</f>
        <v>0</v>
      </c>
      <c r="S40" s="2922"/>
      <c r="T40" s="2841"/>
      <c r="U40" s="2841"/>
      <c r="V40" s="2849"/>
    </row>
    <row r="41" spans="1:23" s="2853" customFormat="1" ht="13.15" customHeight="1" thickBot="1">
      <c r="A41" s="2992">
        <v>11</v>
      </c>
      <c r="B41" s="2993" t="s">
        <v>2427</v>
      </c>
      <c r="C41" s="2993">
        <f ca="1">ROUND(C40*10000/B4,0)</f>
        <v>22961</v>
      </c>
      <c r="D41" s="2994"/>
      <c r="E41" s="2994"/>
      <c r="F41" s="2995"/>
      <c r="G41" s="2996"/>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2996"/>
      <c r="H42" s="2848"/>
      <c r="I42" s="2849"/>
      <c r="J42" s="3656">
        <v>3</v>
      </c>
      <c r="K42" s="2951" t="s">
        <v>2407</v>
      </c>
      <c r="L42" s="2952"/>
      <c r="M42" s="2953"/>
      <c r="N42" s="2954" t="s">
        <v>2408</v>
      </c>
      <c r="O42" s="2954" t="s">
        <v>2409</v>
      </c>
      <c r="P42" s="2955" t="s">
        <v>2410</v>
      </c>
      <c r="Q42" s="2955" t="s">
        <v>2411</v>
      </c>
      <c r="R42" s="2858" t="s">
        <v>2344</v>
      </c>
      <c r="S42" s="2956"/>
      <c r="T42" s="2956"/>
      <c r="U42" s="2841"/>
      <c r="V42" s="2849"/>
    </row>
    <row r="43" spans="1:23" ht="13.15" customHeight="1">
      <c r="A43" s="2853"/>
      <c r="B43" s="2853"/>
      <c r="C43" s="2853" t="s">
        <v>3467</v>
      </c>
      <c r="D43" s="2853" t="s">
        <v>3468</v>
      </c>
      <c r="E43" s="2853" t="s">
        <v>3469</v>
      </c>
      <c r="F43" s="2853" t="s">
        <v>3470</v>
      </c>
      <c r="I43" s="2836"/>
      <c r="J43" s="3657"/>
      <c r="K43" s="2959"/>
      <c r="L43" s="2960"/>
      <c r="M43" s="2961"/>
      <c r="N43" s="2884"/>
      <c r="O43" s="2884"/>
      <c r="P43" s="2884"/>
      <c r="Q43" s="2948"/>
      <c r="R43" s="2919">
        <f>ROUND(O43*N43*P43*(1-Q43)/10000,0)</f>
        <v>0</v>
      </c>
      <c r="S43" s="2922"/>
      <c r="T43" s="2841"/>
      <c r="V43" s="2998"/>
      <c r="W43" s="2999"/>
    </row>
    <row r="44" spans="1:23" ht="13.15" customHeight="1" thickBot="1">
      <c r="B44" s="2842">
        <v>2017</v>
      </c>
      <c r="C44" s="2842">
        <v>14612.453299999999</v>
      </c>
      <c r="D44" s="2842">
        <v>7146.8828000000003</v>
      </c>
      <c r="E44" s="2842">
        <v>1004.4122</v>
      </c>
      <c r="F44" s="2842">
        <v>5604.5128999999997</v>
      </c>
      <c r="J44" s="2964">
        <v>6</v>
      </c>
      <c r="K44" s="2965" t="s">
        <v>2414</v>
      </c>
      <c r="L44" s="3000" t="s">
        <v>2415</v>
      </c>
      <c r="M44" s="2967"/>
      <c r="N44" s="3000" t="s">
        <v>2416</v>
      </c>
      <c r="O44" s="2967"/>
      <c r="P44" s="3000" t="s">
        <v>2417</v>
      </c>
      <c r="Q44" s="2969">
        <v>1.4999999999999999E-2</v>
      </c>
      <c r="R44" s="2970"/>
    </row>
    <row r="45" spans="1:23" ht="13.15" customHeight="1">
      <c r="B45" s="2842">
        <v>2018</v>
      </c>
      <c r="C45" s="2842">
        <v>16533.693200000002</v>
      </c>
      <c r="D45" s="2842">
        <v>8012.0325999999995</v>
      </c>
      <c r="E45" s="2842">
        <v>1191.8991000000001</v>
      </c>
      <c r="F45" s="2842">
        <v>5057.9426000000003</v>
      </c>
    </row>
    <row r="46" spans="1:23" ht="13.15" customHeight="1">
      <c r="B46" s="2842">
        <v>2019</v>
      </c>
      <c r="C46" s="2842">
        <v>17620.912</v>
      </c>
      <c r="D46" s="2842">
        <v>8572.0112000000008</v>
      </c>
      <c r="E46" s="2842">
        <v>1148.7381</v>
      </c>
      <c r="F46" s="2842">
        <v>4919.9742999999999</v>
      </c>
    </row>
    <row r="47" spans="1:23" ht="13.15" customHeight="1">
      <c r="B47" s="2842">
        <v>2020</v>
      </c>
      <c r="C47" s="2842">
        <v>7802.8245999999999</v>
      </c>
    </row>
    <row r="48" spans="1:23" ht="13.15" customHeight="1">
      <c r="B48" s="2842">
        <v>2021</v>
      </c>
      <c r="C48" s="2842">
        <v>11581.7071</v>
      </c>
    </row>
    <row r="49" spans="2:2" ht="13.15" customHeight="1">
      <c r="B49" s="2842">
        <v>2022</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8" activeCellId="1" sqref="F20 E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-14938</v>
      </c>
      <c r="C2" s="1872" t="s">
        <v>1651</v>
      </c>
      <c r="D2" s="1873" t="s">
        <v>1652</v>
      </c>
      <c r="E2" s="2607">
        <f>SUM(E6:E13)</f>
        <v>43351.65</v>
      </c>
      <c r="F2" s="2707"/>
      <c r="G2" s="1489"/>
      <c r="H2" s="1489"/>
      <c r="I2" s="1489"/>
      <c r="J2" s="1489"/>
      <c r="K2" s="1489"/>
      <c r="L2" s="1489"/>
      <c r="M2" s="1489"/>
      <c r="N2" s="1489"/>
      <c r="O2" s="1489"/>
      <c r="P2" s="1489"/>
      <c r="Q2" s="1489"/>
      <c r="R2" s="1489"/>
      <c r="S2" s="1489"/>
    </row>
    <row r="3" spans="1:22" ht="15.75">
      <c r="A3" s="1870" t="s">
        <v>686</v>
      </c>
      <c r="B3" s="2601">
        <f ca="1">ROUND(B2*10000/E2,0)</f>
        <v>-3446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8" t="s">
        <v>1654</v>
      </c>
      <c r="C5" s="36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-14938</v>
      </c>
      <c r="C6" s="1872" t="s">
        <v>1651</v>
      </c>
      <c r="D6" s="2709"/>
      <c r="E6" s="2606">
        <f>IF(OR(A6=0,F6="否"),0,'数据-取费表'!K6+'数据-取费表'!S6)</f>
        <v>43351.65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38" activeCellId="1" sqref="F20 E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43351.65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65" t="s">
        <v>1668</v>
      </c>
      <c r="S4" s="3666"/>
      <c r="T4" s="3665" t="s">
        <v>1669</v>
      </c>
      <c r="U4" s="3666"/>
      <c r="V4" s="3690" t="s">
        <v>1670</v>
      </c>
      <c r="W4" s="3690"/>
      <c r="X4" s="1355"/>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90"/>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43351.65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90"/>
      <c r="AC6" s="3662"/>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43351.65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12" t="s">
        <v>1775</v>
      </c>
      <c r="Q4" s="3713"/>
      <c r="R4" s="3707" t="s">
        <v>1771</v>
      </c>
      <c r="S4" s="3708"/>
      <c r="T4" s="3707" t="s">
        <v>1772</v>
      </c>
      <c r="U4" s="3708"/>
      <c r="V4" s="3716" t="s">
        <v>1773</v>
      </c>
      <c r="W4" s="3716"/>
      <c r="X4" s="1958"/>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15"/>
      <c r="M5" s="2716"/>
      <c r="N5" s="2716"/>
      <c r="O5" s="2716"/>
      <c r="P5" s="3714"/>
      <c r="Q5" s="3685"/>
      <c r="R5" s="3667"/>
      <c r="S5" s="3668"/>
      <c r="T5" s="3667"/>
      <c r="U5" s="3668"/>
      <c r="V5" s="3690"/>
      <c r="W5" s="3690"/>
      <c r="X5" s="1355"/>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715"/>
      <c r="Q6" s="3687"/>
      <c r="R6" s="3667"/>
      <c r="S6" s="3668"/>
      <c r="T6" s="3688"/>
      <c r="U6" s="3689"/>
      <c r="V6" s="3690"/>
      <c r="W6" s="3690"/>
      <c r="X6" s="1355"/>
      <c r="Y6" s="3688"/>
      <c r="Z6" s="3689"/>
      <c r="AA6" s="3662"/>
      <c r="AB6" s="3662"/>
      <c r="AC6" s="3711"/>
    </row>
    <row r="7" spans="1:29" s="108" customFormat="1" ht="15.75" thickBot="1">
      <c r="A7" s="362" t="s">
        <v>1679</v>
      </c>
      <c r="B7" s="363"/>
      <c r="C7" s="364">
        <f>'数据-取费表'!B2</f>
        <v>44921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受贵公司委托，我公司对北京市东城区王府井大街57号2幢1层房地产抵押价值进行了预评估。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估价对象为北京市东城区王府井大街57号2幢1层房地产，为所有。根据《国有土地使用证》[]，估价对象（分摊）出让国有建设用地使用权面积为9622.35平方米，建筑面积为43351.65平方米。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王府井大街57号2幢1层房地产,属开发建设的，该项目尚在开发建设中。根据《国有土地使用证》[]，估价对象（分摊）出让国有建设用地使用权面积为9622.35平方米，规划建筑面积为43351.65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43351.65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30" s="108" customFormat="1" ht="15.75" thickBot="1">
      <c r="A7" s="362" t="s">
        <v>1679</v>
      </c>
      <c r="B7" s="363"/>
      <c r="C7" s="364">
        <f>'数据-取费表'!B2</f>
        <v>44921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95"/>
      <c r="Q10" s="1343"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1"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32116.74</v>
      </c>
      <c r="F56" s="886" t="e">
        <f t="shared" ref="F56:F64" si="15">ROUND(B56*E56/10000,0)</f>
        <v>#DIV/0!</v>
      </c>
      <c r="G56" s="3677"/>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2"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3"/>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3"/>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32116.74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95"/>
      <c r="Q10" s="1343"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1"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32116.74</v>
      </c>
      <c r="F51" s="639" t="e">
        <f t="shared" ref="F51:F60" si="15">ROUND(B51*E51/10000,0)</f>
        <v>#DIV/0!</v>
      </c>
      <c r="G51" s="3677"/>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2"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3"/>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3"/>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4"/>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9622.35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98085</v>
      </c>
      <c r="C2" s="2145" t="s">
        <v>2074</v>
      </c>
      <c r="D2" s="2145" t="s">
        <v>2075</v>
      </c>
      <c r="E2" s="2612">
        <f ca="1">SUMIF(E6:E13,"&lt;&gt;#ref!",E6:E13)</f>
        <v>5938.1</v>
      </c>
      <c r="F2" s="2793"/>
      <c r="G2" s="2793"/>
      <c r="H2" s="2793"/>
      <c r="I2" s="2793"/>
      <c r="J2" s="2793"/>
      <c r="K2" s="2793"/>
      <c r="L2" s="2793"/>
      <c r="M2" s="2793"/>
      <c r="N2" s="2793"/>
      <c r="O2" s="2793"/>
      <c r="P2" s="2793"/>
    </row>
    <row r="3" spans="1:16" ht="15.75">
      <c r="A3" s="2145" t="s">
        <v>2076</v>
      </c>
      <c r="B3" s="2602">
        <f ca="1">ROUND(B2*10000/E2,0)</f>
        <v>165179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98085</v>
      </c>
      <c r="C6" s="2145" t="s">
        <v>2074</v>
      </c>
      <c r="D6" s="2793"/>
      <c r="E6" s="2612">
        <f ca="1">SUMIF(INDIRECT("'"&amp;A6&amp;"'"&amp;"!C:C"),"建筑面积",INDIRECT("'"&amp;A6&amp;"'"&amp;"!D:D"))</f>
        <v>5938.1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8" sqref="H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5938.1</v>
      </c>
      <c r="E1" s="1995"/>
      <c r="F1" s="1995"/>
      <c r="G1" s="1995"/>
      <c r="H1" s="1995"/>
      <c r="I1" s="1995"/>
      <c r="J1" s="1995"/>
      <c r="K1" s="1119"/>
      <c r="L1" s="1996" t="s">
        <v>1928</v>
      </c>
      <c r="M1" s="863">
        <f>SUMPRODUCT((区片价!B5:B9=I2)*(区片价!C3:G3=E2)*(区片价!C5:G9))</f>
        <v>34550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98085</v>
      </c>
      <c r="C2" s="1999" t="s">
        <v>1935</v>
      </c>
      <c r="D2" s="2000" t="s">
        <v>1936</v>
      </c>
      <c r="E2" s="3420"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42873</v>
      </c>
      <c r="U2" s="1213">
        <f>面积表!C12</f>
        <v>3354.79</v>
      </c>
      <c r="V2" s="3359">
        <f>ROUND(T2*U2/10000,0)</f>
        <v>14383</v>
      </c>
      <c r="W2" s="1216"/>
      <c r="X2" s="1216"/>
      <c r="Y2" s="1216"/>
      <c r="Z2" s="1216"/>
      <c r="AA2" s="1216"/>
      <c r="AB2" s="1216"/>
      <c r="AC2" s="1217"/>
      <c r="AD2" s="1218"/>
      <c r="AE2" s="1218"/>
      <c r="AF2" s="1218"/>
      <c r="AG2" s="1218"/>
      <c r="AH2" s="1218"/>
      <c r="AI2" s="1218"/>
      <c r="AJ2" s="1219"/>
    </row>
    <row r="3" spans="1:36" ht="15.75">
      <c r="A3" s="203" t="s">
        <v>1940</v>
      </c>
      <c r="B3" s="204">
        <f>ROUND(B2*10000/D1,0)</f>
        <v>165179</v>
      </c>
      <c r="C3" s="1999" t="s">
        <v>1941</v>
      </c>
      <c r="D3" s="2000" t="s">
        <v>1942</v>
      </c>
      <c r="E3" s="3418" t="s">
        <v>2439</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34037</v>
      </c>
      <c r="U3" s="1213">
        <f>面积表!C13</f>
        <v>2365.21</v>
      </c>
      <c r="V3" s="3359">
        <f t="shared" ref="V3:V16" si="1">ROUND(T3*U3/10000,0)</f>
        <v>8050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29410</v>
      </c>
      <c r="U4" s="1213">
        <f>面积表!C14</f>
        <v>4555.32</v>
      </c>
      <c r="V4" s="3359">
        <f t="shared" si="1"/>
        <v>13397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35241</v>
      </c>
      <c r="D5" s="1339">
        <f>ROUND(C6*C17+C20,0)</f>
        <v>34550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26613</v>
      </c>
      <c r="U5" s="1213">
        <f>面积表!C15</f>
        <v>2484.5500000000002</v>
      </c>
      <c r="V5" s="3359">
        <f t="shared" si="1"/>
        <v>6612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25364</v>
      </c>
      <c r="U6" s="1213">
        <f>SUM(面积表!C16:C25)</f>
        <v>19356.870000000003</v>
      </c>
      <c r="V6" s="3359">
        <f t="shared" si="1"/>
        <v>49097</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1.02</v>
      </c>
      <c r="D7" s="2022" t="s">
        <v>1953</v>
      </c>
      <c r="E7" s="776">
        <v>150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一级</v>
      </c>
      <c r="Y7" s="1214" t="s">
        <v>1956</v>
      </c>
      <c r="Z7" s="1215">
        <f>G3</f>
        <v>0</v>
      </c>
      <c r="AA7" s="1216"/>
      <c r="AB7" s="1216"/>
      <c r="AC7" s="1217"/>
      <c r="AD7" s="1218"/>
      <c r="AE7" s="1218"/>
      <c r="AF7" s="1218"/>
      <c r="AG7" s="1218"/>
      <c r="AH7" s="1218"/>
      <c r="AI7" s="1218"/>
      <c r="AJ7" s="1219"/>
    </row>
    <row r="8" spans="1:36" ht="15">
      <c r="A8" s="3296"/>
      <c r="B8" s="170" t="s">
        <v>1957</v>
      </c>
      <c r="C8" s="2026" t="s">
        <v>3373</v>
      </c>
      <c r="D8" s="756" t="s">
        <v>112</v>
      </c>
      <c r="E8" s="757">
        <f>ROUND(C11/E7,4)</f>
        <v>3.3300000000000003E-2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3.3300000000000003E-2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20</v>
      </c>
      <c r="D10" s="171" t="s">
        <v>114</v>
      </c>
      <c r="E10" s="171">
        <f>ROUND(C11/E7,4)</f>
        <v>3.3300000000000003E-2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5</v>
      </c>
      <c r="D11" s="759" t="s">
        <v>115</v>
      </c>
      <c r="E11" s="759">
        <f>ROUND(C11/E7,4)</f>
        <v>3.3300000000000003E-2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1" t="s">
        <v>3238</v>
      </c>
      <c r="B12" s="3302" t="s">
        <v>3239</v>
      </c>
      <c r="C12" s="3303"/>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7" t="s">
        <v>3254</v>
      </c>
      <c r="B20" s="167" t="s">
        <v>1994</v>
      </c>
      <c r="C20" s="3322">
        <f>ROUND(IF(F21="与级别开发程度一致",0,(G21-E21)/C21),0)</f>
        <v>0</v>
      </c>
      <c r="D20" s="3338" t="s">
        <v>1998</v>
      </c>
      <c r="E20" s="3339"/>
      <c r="F20" s="3753" t="s">
        <v>1995</v>
      </c>
      <c r="G20" s="3754"/>
      <c r="H20" s="3323" t="s">
        <v>3419</v>
      </c>
      <c r="I20" s="3323" t="s">
        <v>3420</v>
      </c>
      <c r="J20" s="3324" t="s">
        <v>3421</v>
      </c>
      <c r="K20" s="2047" t="s">
        <v>3422</v>
      </c>
      <c r="L20" s="2047" t="s">
        <v>3423</v>
      </c>
      <c r="M20" s="2047" t="s">
        <v>3424</v>
      </c>
      <c r="N20" s="2047" t="s">
        <v>3425</v>
      </c>
      <c r="O20" s="2048" t="s">
        <v>3426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3418</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44921</v>
      </c>
      <c r="H23" s="3340" t="s">
        <v>3256</v>
      </c>
      <c r="I23" s="3341" t="str">
        <f>IF(H23="季度增幅（自定义）",SUMIF(N25:N28,E2,O25:O28),"")</f>
        <v/>
      </c>
      <c r="J23" s="3342" t="s">
        <v>3255</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0.81540000000000001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23.75</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98085</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1636</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f>ROUND(D5*C22*C23*C24*C28*F37,0)</f>
        <v>19350</v>
      </c>
      <c r="D37" s="2098">
        <f>面积表!H11</f>
        <v>2210.31</v>
      </c>
      <c r="E37" s="171">
        <f>ROUND(C37*D37/10000,0)</f>
        <v>4277</v>
      </c>
      <c r="F37" s="171">
        <f>SUMIF(修正!A57:A68,G2,修正!B57:B68)</f>
        <v>0.7</v>
      </c>
      <c r="G37" s="171">
        <f>ROUND(IF(E2="工业",C37*$M$42,C37*$M$41),0)</f>
        <v>4838</v>
      </c>
      <c r="H37" s="171">
        <f>D37</f>
        <v>2210.31</v>
      </c>
      <c r="I37" s="171">
        <f>ROUND(G37*H37/10000,0)</f>
        <v>1069</v>
      </c>
      <c r="J37" s="3008"/>
      <c r="K37" s="3357" t="s">
        <v>3266</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11057</v>
      </c>
      <c r="D38" s="2098"/>
      <c r="E38" s="171">
        <f t="shared" ref="E38:E42" si="4">ROUND(C38*D38/10000,0)</f>
        <v>0</v>
      </c>
      <c r="F38" s="171">
        <f>SUMIF(修正!A57:A68,G2,修正!C57:C68)</f>
        <v>0.4</v>
      </c>
      <c r="G38" s="171">
        <f>ROUND(IF(E2="工业",C38*$M$42,C38*$M$41),0)</f>
        <v>2764</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3259</v>
      </c>
      <c r="C39" s="175">
        <f>ROUND(D5*C22*C23*C24*C28*F39,0)</f>
        <v>8293</v>
      </c>
      <c r="D39" s="2098"/>
      <c r="E39" s="171">
        <f t="shared" si="4"/>
        <v>0</v>
      </c>
      <c r="F39" s="171">
        <f>SUMIF(修正!A57:A68,G2,修正!D57:D68)</f>
        <v>0.3</v>
      </c>
      <c r="G39" s="171">
        <f>ROUND(IF(E2="工业",C39*$M$42,C39*$M$41),0)</f>
        <v>2073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8293</v>
      </c>
      <c r="D40" s="2098"/>
      <c r="E40" s="171">
        <f t="shared" si="4"/>
        <v>0</v>
      </c>
      <c r="F40" s="175">
        <f>SUMIF(修正!A57:A68,G2,修正!E57:E68)</f>
        <v>0.3</v>
      </c>
      <c r="G40" s="171">
        <f>ROUND(IF(E2="工业",C40*$M$42,C40*$M$41),0)</f>
        <v>2073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9130</v>
      </c>
      <c r="D41" s="2098"/>
      <c r="E41" s="171">
        <f t="shared" si="4"/>
        <v>0</v>
      </c>
      <c r="F41" s="175">
        <f>SUMIF(修正!A57:A68,G2,修正!F57:F68)</f>
        <v>0.3</v>
      </c>
      <c r="G41" s="171">
        <f>ROUND(IF(E2="工业",C41*$M$42,C41*$M$41),0)</f>
        <v>2283</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6086</v>
      </c>
      <c r="D42" s="2103">
        <f>面积表!H12</f>
        <v>3727.79</v>
      </c>
      <c r="E42" s="187">
        <f t="shared" si="4"/>
        <v>2269</v>
      </c>
      <c r="F42" s="767">
        <f>SUMIF(修正!A57:A68,G2,修正!G57:G68)</f>
        <v>0.2</v>
      </c>
      <c r="G42" s="187">
        <f>ROUND(IF(E2="工业",C42*$M$42,C42*$M$41),0)</f>
        <v>1522</v>
      </c>
      <c r="H42" s="187">
        <f t="shared" si="5"/>
        <v>3727.79</v>
      </c>
      <c r="I42" s="187">
        <f t="shared" si="6"/>
        <v>567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0.89770000000000005</v>
      </c>
      <c r="D44" s="171" t="s">
        <v>1999</v>
      </c>
      <c r="E44" s="2153">
        <f>G24</f>
        <v>5.5E-2</v>
      </c>
      <c r="F44" s="171" t="s">
        <v>2008</v>
      </c>
      <c r="G44" s="183">
        <f>项目基本情况!F15</f>
        <v>33.76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1.0657000000000001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3427</v>
      </c>
      <c r="D50" s="1065">
        <f t="shared" ref="D50:D58" si="7">SUMIF($J$49:$N$49,C50,J50:N50)</f>
        <v>2.9399999999999999E-2</v>
      </c>
      <c r="E50" s="744">
        <f>ROUND(SUM(D50:D58),4)</f>
        <v>6.5699999999999995E-2</v>
      </c>
      <c r="F50" s="1814">
        <f>IF(E2="商业",SUMIF(L1:L12,G2,N1:N12),"——")</f>
        <v>9.8000000000000004E-2</v>
      </c>
      <c r="G50" s="1063">
        <v>1.47E-2</v>
      </c>
      <c r="H50" s="1066">
        <f t="shared" ref="H50:H58" si="8">IFERROR(ROUNDDOWN($F$50*I50/2,4),"——")</f>
        <v>1.47E-2</v>
      </c>
      <c r="I50" s="3365">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3428</v>
      </c>
      <c r="D51" s="1065">
        <f t="shared" si="7"/>
        <v>1.0699999999999999E-2</v>
      </c>
      <c r="E51" s="745"/>
      <c r="F51" s="1814"/>
      <c r="G51" s="1063">
        <v>1.0699999999999999E-2</v>
      </c>
      <c r="H51" s="1066">
        <f t="shared" si="8"/>
        <v>1.0699999999999999E-2</v>
      </c>
      <c r="I51" s="3365">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3428</v>
      </c>
      <c r="D52" s="1065">
        <f t="shared" si="7"/>
        <v>5.7999999999999996E-3</v>
      </c>
      <c r="E52" s="745"/>
      <c r="F52" s="1814"/>
      <c r="G52" s="1063">
        <v>5.7999999999999996E-3</v>
      </c>
      <c r="H52" s="1066">
        <f t="shared" si="8"/>
        <v>5.7999999999999996E-3</v>
      </c>
      <c r="I52" s="3365">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2.3999999999999998E-3</v>
      </c>
      <c r="E53" s="745"/>
      <c r="F53" s="1814"/>
      <c r="G53" s="1063">
        <v>2.3999999999999998E-3</v>
      </c>
      <c r="H53" s="1066">
        <f t="shared" si="8"/>
        <v>2.3999999999999998E-3</v>
      </c>
      <c r="I53" s="3365">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3429</v>
      </c>
      <c r="D54" s="1065">
        <f t="shared" si="7"/>
        <v>0</v>
      </c>
      <c r="E54" s="745"/>
      <c r="F54" s="1814"/>
      <c r="G54" s="1063">
        <v>3.8999999999999998E-3</v>
      </c>
      <c r="H54" s="1066">
        <f t="shared" si="8"/>
        <v>3.8999999999999998E-3</v>
      </c>
      <c r="I54" s="3365">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2.3999999999999998E-3</v>
      </c>
      <c r="E55" s="745"/>
      <c r="F55" s="1814"/>
      <c r="G55" s="1063">
        <v>2.3999999999999998E-3</v>
      </c>
      <c r="H55" s="1066">
        <f t="shared" si="8"/>
        <v>2.3999999999999998E-3</v>
      </c>
      <c r="I55" s="3365">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2.3999999999999998E-3</v>
      </c>
      <c r="E56" s="745"/>
      <c r="F56" s="1814"/>
      <c r="G56" s="1063">
        <v>2.3999999999999998E-3</v>
      </c>
      <c r="H56" s="1066">
        <f t="shared" si="8"/>
        <v>2.3999999999999998E-3</v>
      </c>
      <c r="I56" s="3365">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7.7999999999999996E-3</v>
      </c>
      <c r="E57" s="745"/>
      <c r="F57" s="1814"/>
      <c r="G57" s="1063">
        <v>3.8999999999999998E-3</v>
      </c>
      <c r="H57" s="1066">
        <f t="shared" si="8"/>
        <v>3.8999999999999998E-3</v>
      </c>
      <c r="I57" s="3365">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3427</v>
      </c>
      <c r="D58" s="1065">
        <f t="shared" si="7"/>
        <v>4.7999999999999996E-3</v>
      </c>
      <c r="E58" s="746"/>
      <c r="F58" s="1814"/>
      <c r="G58" s="1063">
        <v>2.3999999999999998E-3</v>
      </c>
      <c r="H58" s="1066">
        <f t="shared" si="8"/>
        <v>2.3999999999999998E-3</v>
      </c>
      <c r="I58" s="3366">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3294</v>
      </c>
      <c r="B103" s="3749"/>
      <c r="C103" s="3749"/>
      <c r="D103" s="3749"/>
      <c r="E103" s="3749"/>
      <c r="F103" s="3749"/>
      <c r="G103" s="3749"/>
      <c r="H103" s="3749"/>
      <c r="I103" s="3749"/>
      <c r="J103" s="3749"/>
      <c r="K103" s="3388"/>
      <c r="L103" s="3388"/>
      <c r="M103" s="3388"/>
      <c r="N103" s="3388"/>
    </row>
    <row r="104" spans="1:14">
      <c r="A104" s="3750" t="s">
        <v>3295</v>
      </c>
      <c r="B104" s="3750" t="s">
        <v>3296</v>
      </c>
      <c r="C104" s="3389" t="s">
        <v>3297</v>
      </c>
      <c r="D104" s="3390"/>
      <c r="E104" s="3390"/>
      <c r="F104" s="3390"/>
      <c r="G104" s="3390"/>
      <c r="H104" s="3390"/>
      <c r="I104" s="3390"/>
      <c r="J104" s="3391"/>
      <c r="K104" s="3392"/>
      <c r="L104" s="3392"/>
      <c r="M104" s="3392"/>
      <c r="N104" s="3392"/>
    </row>
    <row r="105" spans="1:14">
      <c r="A105" s="3750"/>
      <c r="B105" s="375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3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3311</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0.99680000000000002</v>
      </c>
      <c r="E116" s="2000" t="s">
        <v>3314</v>
      </c>
      <c r="F116" s="3400" t="str">
        <f>E2</f>
        <v>商业</v>
      </c>
      <c r="G116" s="2000" t="s">
        <v>3315</v>
      </c>
      <c r="H116" s="3400" t="str">
        <f>G2</f>
        <v>一级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2588</v>
      </c>
      <c r="B1" s="3068" t="s">
        <v>2589</v>
      </c>
      <c r="C1" s="3068" t="s">
        <v>2590</v>
      </c>
      <c r="D1" s="3068" t="s">
        <v>2591</v>
      </c>
      <c r="E1" s="3068" t="s">
        <v>2592</v>
      </c>
      <c r="F1" s="3068" t="s">
        <v>2593</v>
      </c>
      <c r="G1" s="3068" t="s">
        <v>2594</v>
      </c>
      <c r="H1" s="3068" t="s">
        <v>2595</v>
      </c>
      <c r="I1" s="3068" t="s">
        <v>2596</v>
      </c>
      <c r="J1" s="3068" t="s">
        <v>2597</v>
      </c>
      <c r="K1" s="3068" t="s">
        <v>2598</v>
      </c>
      <c r="L1" s="3068" t="s">
        <v>2599</v>
      </c>
      <c r="M1" s="3069" t="s">
        <v>2600</v>
      </c>
    </row>
    <row r="2" spans="1:13" ht="19.5" customHeight="1">
      <c r="A2" s="3071" t="s">
        <v>2601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2617</v>
      </c>
      <c r="B18" s="3093"/>
      <c r="C18" s="3094"/>
      <c r="D18" s="3094"/>
      <c r="E18" s="3093"/>
      <c r="F18" s="3094"/>
      <c r="G18" s="3094"/>
    </row>
    <row r="19" spans="1:13" ht="19.5" customHeight="1" thickBot="1">
      <c r="A19" s="3091" t="s">
        <v>2618</v>
      </c>
      <c r="B19" s="3096" t="s">
        <v>2619</v>
      </c>
      <c r="C19" s="3096" t="s">
        <v>2620</v>
      </c>
      <c r="D19" s="3097"/>
      <c r="E19" s="3091" t="s">
        <v>2621</v>
      </c>
      <c r="F19" s="3098"/>
      <c r="G19" s="3098"/>
    </row>
    <row r="20" spans="1:13" ht="19.5" customHeight="1">
      <c r="A20" s="3762" t="s">
        <v>2601</v>
      </c>
      <c r="B20" s="3755" t="s">
        <v>2622</v>
      </c>
      <c r="C20" s="3099" t="s">
        <v>2433</v>
      </c>
      <c r="D20" s="3100"/>
      <c r="E20" s="3101">
        <v>1</v>
      </c>
      <c r="F20" s="3102" t="s">
        <v>2434</v>
      </c>
      <c r="G20" s="3102"/>
    </row>
    <row r="21" spans="1:13" ht="19.5" customHeight="1">
      <c r="A21" s="3763"/>
      <c r="B21" s="3756"/>
      <c r="C21" s="3103" t="s">
        <v>2435</v>
      </c>
      <c r="D21" s="3104"/>
      <c r="E21" s="3105">
        <v>1</v>
      </c>
      <c r="F21" s="3102" t="s">
        <v>2436</v>
      </c>
      <c r="G21" s="3102"/>
    </row>
    <row r="22" spans="1:13" ht="19.5" customHeight="1">
      <c r="A22" s="3763"/>
      <c r="B22" s="3756"/>
      <c r="C22" s="3103" t="s">
        <v>2437</v>
      </c>
      <c r="D22" s="3104"/>
      <c r="E22" s="3105">
        <v>0.9</v>
      </c>
      <c r="F22" s="3102" t="s">
        <v>2438</v>
      </c>
      <c r="G22" s="3102"/>
    </row>
    <row r="23" spans="1:13" ht="19.5" customHeight="1">
      <c r="A23" s="3763"/>
      <c r="B23" s="3756"/>
      <c r="C23" s="3103" t="s">
        <v>2439</v>
      </c>
      <c r="D23" s="3104"/>
      <c r="E23" s="3105">
        <v>0.9</v>
      </c>
      <c r="F23" s="3102" t="s">
        <v>2440</v>
      </c>
      <c r="G23" s="3102"/>
    </row>
    <row r="24" spans="1:13" ht="19.5" customHeight="1">
      <c r="A24" s="3763"/>
      <c r="B24" s="3756"/>
      <c r="C24" s="3103" t="s">
        <v>2441</v>
      </c>
      <c r="D24" s="3104"/>
      <c r="E24" s="3105">
        <v>0.8</v>
      </c>
      <c r="F24" s="3102" t="s">
        <v>2442</v>
      </c>
      <c r="G24" s="3102"/>
    </row>
    <row r="25" spans="1:13" ht="19.5" customHeight="1" thickBot="1">
      <c r="A25" s="3764"/>
      <c r="B25" s="3757"/>
      <c r="C25" s="3106" t="s">
        <v>2443</v>
      </c>
      <c r="D25" s="3107"/>
      <c r="E25" s="3108">
        <v>0.8</v>
      </c>
      <c r="F25" s="3102" t="s">
        <v>2444</v>
      </c>
      <c r="G25" s="3102"/>
    </row>
    <row r="26" spans="1:13" ht="19.5" customHeight="1" thickBot="1">
      <c r="A26" s="3109" t="s">
        <v>2623</v>
      </c>
      <c r="B26" s="3110" t="s">
        <v>2622</v>
      </c>
      <c r="C26" s="3111" t="s">
        <v>2624</v>
      </c>
      <c r="D26" s="3112"/>
      <c r="E26" s="3113">
        <v>1</v>
      </c>
      <c r="F26" s="3102" t="s">
        <v>2445</v>
      </c>
      <c r="G26" s="3102"/>
    </row>
    <row r="27" spans="1:13" ht="19.5" customHeight="1">
      <c r="A27" s="3758" t="s">
        <v>2625</v>
      </c>
      <c r="B27" s="3755" t="s">
        <v>2606</v>
      </c>
      <c r="C27" s="3099" t="s">
        <v>2446</v>
      </c>
      <c r="D27" s="3100"/>
      <c r="E27" s="3101">
        <v>1</v>
      </c>
      <c r="F27" s="3102" t="s">
        <v>2447</v>
      </c>
      <c r="G27" s="3102"/>
    </row>
    <row r="28" spans="1:13" ht="19.5" customHeight="1">
      <c r="A28" s="3759"/>
      <c r="B28" s="3756"/>
      <c r="C28" s="3103" t="s">
        <v>2448</v>
      </c>
      <c r="D28" s="3104"/>
      <c r="E28" s="3105">
        <v>1</v>
      </c>
      <c r="F28" s="3102" t="s">
        <v>2449</v>
      </c>
      <c r="G28" s="3102"/>
    </row>
    <row r="29" spans="1:13" ht="19.5" customHeight="1">
      <c r="A29" s="3759"/>
      <c r="B29" s="3756"/>
      <c r="C29" s="3103" t="s">
        <v>2450</v>
      </c>
      <c r="D29" s="3104"/>
      <c r="E29" s="3105">
        <v>0.8</v>
      </c>
      <c r="F29" s="3102" t="s">
        <v>2451</v>
      </c>
      <c r="G29" s="3102"/>
    </row>
    <row r="30" spans="1:13" ht="19.5" customHeight="1">
      <c r="A30" s="3759"/>
      <c r="B30" s="3756"/>
      <c r="C30" s="3103" t="s">
        <v>2452</v>
      </c>
      <c r="D30" s="3104"/>
      <c r="E30" s="3105">
        <v>0.8</v>
      </c>
      <c r="F30" s="3102" t="s">
        <v>2453</v>
      </c>
      <c r="G30" s="3102"/>
    </row>
    <row r="31" spans="1:13" ht="19.5" customHeight="1">
      <c r="A31" s="3759"/>
      <c r="B31" s="3756"/>
      <c r="C31" s="3103" t="s">
        <v>2454</v>
      </c>
      <c r="D31" s="3104"/>
      <c r="E31" s="3105">
        <v>0.8</v>
      </c>
      <c r="F31" s="3102" t="s">
        <v>2455</v>
      </c>
      <c r="G31" s="3102"/>
    </row>
    <row r="32" spans="1:13" ht="19.5" customHeight="1">
      <c r="A32" s="3759"/>
      <c r="B32" s="3756"/>
      <c r="C32" s="3103" t="s">
        <v>2456</v>
      </c>
      <c r="D32" s="3104"/>
      <c r="E32" s="3105">
        <v>0.7</v>
      </c>
      <c r="F32" s="3102" t="s">
        <v>2457</v>
      </c>
      <c r="G32" s="3102"/>
    </row>
    <row r="33" spans="1:7" ht="19.5" customHeight="1">
      <c r="A33" s="3759"/>
      <c r="B33" s="3756"/>
      <c r="C33" s="3103" t="s">
        <v>2458</v>
      </c>
      <c r="D33" s="3104"/>
      <c r="E33" s="3105">
        <v>0.8</v>
      </c>
      <c r="F33" s="3102" t="s">
        <v>2459</v>
      </c>
      <c r="G33" s="3102"/>
    </row>
    <row r="34" spans="1:7" ht="19.5" customHeight="1">
      <c r="A34" s="3759"/>
      <c r="B34" s="3756"/>
      <c r="C34" s="3103" t="s">
        <v>2460</v>
      </c>
      <c r="D34" s="3104"/>
      <c r="E34" s="3105">
        <v>0.6</v>
      </c>
      <c r="F34" s="3102" t="s">
        <v>2461</v>
      </c>
      <c r="G34" s="3102"/>
    </row>
    <row r="35" spans="1:7" ht="19.5" customHeight="1">
      <c r="A35" s="3759"/>
      <c r="B35" s="3756"/>
      <c r="C35" s="3103" t="s">
        <v>2462</v>
      </c>
      <c r="D35" s="3104"/>
      <c r="E35" s="3105">
        <v>0.2</v>
      </c>
      <c r="F35" s="3102" t="s">
        <v>2463</v>
      </c>
      <c r="G35" s="3102"/>
    </row>
    <row r="36" spans="1:7" ht="19.5" customHeight="1">
      <c r="A36" s="3759"/>
      <c r="B36" s="3756"/>
      <c r="C36" s="3103" t="s">
        <v>2464</v>
      </c>
      <c r="D36" s="3104"/>
      <c r="E36" s="3105">
        <v>0.2</v>
      </c>
      <c r="F36" s="3102" t="s">
        <v>2465</v>
      </c>
      <c r="G36" s="3102"/>
    </row>
    <row r="37" spans="1:7" ht="19.5" customHeight="1">
      <c r="A37" s="3759"/>
      <c r="B37" s="3761" t="s">
        <v>2626</v>
      </c>
      <c r="C37" s="3103" t="s">
        <v>2466</v>
      </c>
      <c r="D37" s="3104"/>
      <c r="E37" s="3105">
        <v>0.6</v>
      </c>
      <c r="F37" s="3102" t="s">
        <v>2467</v>
      </c>
      <c r="G37" s="3102"/>
    </row>
    <row r="38" spans="1:7" ht="19.5" customHeight="1">
      <c r="A38" s="3759"/>
      <c r="B38" s="3756"/>
      <c r="C38" s="3103" t="s">
        <v>2468</v>
      </c>
      <c r="D38" s="3104"/>
      <c r="E38" s="3105">
        <v>0.6</v>
      </c>
      <c r="F38" s="3102" t="s">
        <v>2469</v>
      </c>
      <c r="G38" s="3102"/>
    </row>
    <row r="39" spans="1:7" ht="19.5" customHeight="1" thickBot="1">
      <c r="A39" s="3760"/>
      <c r="B39" s="3757"/>
      <c r="C39" s="3106" t="s">
        <v>2470</v>
      </c>
      <c r="D39" s="3107"/>
      <c r="E39" s="3108">
        <v>0.6</v>
      </c>
      <c r="F39" s="3102" t="s">
        <v>2471</v>
      </c>
      <c r="G39" s="3102"/>
    </row>
    <row r="40" spans="1:7" ht="19.5" customHeight="1" thickBot="1">
      <c r="A40" s="3109" t="s">
        <v>2603</v>
      </c>
      <c r="B40" s="3110" t="s">
        <v>2603</v>
      </c>
      <c r="C40" s="3111" t="s">
        <v>2627</v>
      </c>
      <c r="D40" s="3112"/>
      <c r="E40" s="3113">
        <v>1</v>
      </c>
      <c r="F40" s="3102" t="s">
        <v>2472</v>
      </c>
      <c r="G40" s="3102"/>
    </row>
    <row r="41" spans="1:7" ht="19.5" customHeight="1">
      <c r="A41" s="3762" t="s">
        <v>2604</v>
      </c>
      <c r="B41" s="3755" t="s">
        <v>2628</v>
      </c>
      <c r="C41" s="3099" t="s">
        <v>2473</v>
      </c>
      <c r="D41" s="3100"/>
      <c r="E41" s="3101">
        <v>1</v>
      </c>
      <c r="F41" s="3102" t="s">
        <v>2474</v>
      </c>
      <c r="G41" s="3102"/>
    </row>
    <row r="42" spans="1:7" ht="19.5" customHeight="1">
      <c r="A42" s="3763"/>
      <c r="B42" s="3756"/>
      <c r="C42" s="3103" t="s">
        <v>2475</v>
      </c>
      <c r="D42" s="3104"/>
      <c r="E42" s="3105">
        <v>1</v>
      </c>
      <c r="F42" s="3102" t="s">
        <v>2476</v>
      </c>
      <c r="G42" s="3102"/>
    </row>
    <row r="43" spans="1:7" ht="19.5" customHeight="1">
      <c r="A43" s="3763"/>
      <c r="B43" s="3765"/>
      <c r="C43" s="3103" t="s">
        <v>2477</v>
      </c>
      <c r="D43" s="3104"/>
      <c r="E43" s="3105">
        <v>1.5</v>
      </c>
      <c r="F43" s="3102" t="s">
        <v>2478</v>
      </c>
      <c r="G43" s="3102"/>
    </row>
    <row r="44" spans="1:7" ht="19.5" customHeight="1">
      <c r="A44" s="3763"/>
      <c r="B44" s="3114" t="s">
        <v>2629</v>
      </c>
      <c r="C44" s="3103" t="s">
        <v>2630</v>
      </c>
      <c r="D44" s="3104"/>
      <c r="E44" s="3105">
        <v>2</v>
      </c>
      <c r="F44" s="3102" t="s">
        <v>2479</v>
      </c>
      <c r="G44" s="3102"/>
    </row>
    <row r="45" spans="1:7" ht="19.5" customHeight="1">
      <c r="A45" s="3763"/>
      <c r="B45" s="3761" t="s">
        <v>2631</v>
      </c>
      <c r="C45" s="3103" t="s">
        <v>2480</v>
      </c>
      <c r="D45" s="3104"/>
      <c r="E45" s="3105">
        <v>1</v>
      </c>
      <c r="F45" s="3102" t="s">
        <v>2481</v>
      </c>
      <c r="G45" s="3102"/>
    </row>
    <row r="46" spans="1:7" ht="19.5" customHeight="1">
      <c r="A46" s="3763"/>
      <c r="B46" s="3756"/>
      <c r="C46" s="3103" t="s">
        <v>2482</v>
      </c>
      <c r="D46" s="3104"/>
      <c r="E46" s="3105">
        <v>1</v>
      </c>
      <c r="F46" s="3102" t="s">
        <v>2483</v>
      </c>
      <c r="G46" s="3102"/>
    </row>
    <row r="47" spans="1:7" ht="19.5" customHeight="1">
      <c r="A47" s="3763"/>
      <c r="B47" s="3756"/>
      <c r="C47" s="3103" t="s">
        <v>2484</v>
      </c>
      <c r="D47" s="3104"/>
      <c r="E47" s="3105">
        <v>1</v>
      </c>
      <c r="F47" s="3102" t="s">
        <v>2485</v>
      </c>
      <c r="G47" s="3102"/>
    </row>
    <row r="48" spans="1:7" ht="19.5" customHeight="1">
      <c r="A48" s="3763"/>
      <c r="B48" s="3756"/>
      <c r="C48" s="3103" t="s">
        <v>2486</v>
      </c>
      <c r="D48" s="3104"/>
      <c r="E48" s="3105">
        <v>1</v>
      </c>
      <c r="F48" s="3102" t="s">
        <v>2487</v>
      </c>
      <c r="G48" s="3102"/>
    </row>
    <row r="49" spans="1:7" ht="19.5" customHeight="1">
      <c r="A49" s="3763"/>
      <c r="B49" s="3756"/>
      <c r="C49" s="3103" t="s">
        <v>2488</v>
      </c>
      <c r="D49" s="3104"/>
      <c r="E49" s="3105">
        <v>1</v>
      </c>
      <c r="F49" s="3102" t="s">
        <v>2489</v>
      </c>
      <c r="G49" s="3102"/>
    </row>
    <row r="50" spans="1:7" ht="19.5" customHeight="1">
      <c r="A50" s="3763"/>
      <c r="B50" s="3756"/>
      <c r="C50" s="3103" t="s">
        <v>2490</v>
      </c>
      <c r="D50" s="3104"/>
      <c r="E50" s="3105">
        <v>1</v>
      </c>
      <c r="F50" s="3102" t="s">
        <v>2491</v>
      </c>
      <c r="G50" s="3102"/>
    </row>
    <row r="51" spans="1:7" ht="19.5" customHeight="1" thickBot="1">
      <c r="A51" s="3764"/>
      <c r="B51" s="3757"/>
      <c r="C51" s="3106" t="s">
        <v>2492</v>
      </c>
      <c r="D51" s="3107"/>
      <c r="E51" s="3108">
        <v>1</v>
      </c>
      <c r="F51" s="3102" t="s">
        <v>2493</v>
      </c>
      <c r="G51" s="3102"/>
    </row>
    <row r="52" spans="1:7" ht="19.5" customHeight="1">
      <c r="A52" s="3115"/>
      <c r="B52" s="3115"/>
      <c r="C52" s="3115"/>
      <c r="D52" s="3115"/>
      <c r="E52" s="3115"/>
      <c r="F52" s="3115"/>
      <c r="G52" s="3115"/>
    </row>
    <row r="54" spans="1:7" ht="19.5" customHeight="1">
      <c r="A54" s="3116"/>
      <c r="B54" s="3088" t="s">
        <v>2632</v>
      </c>
      <c r="C54" s="3088" t="s">
        <v>2632</v>
      </c>
      <c r="D54" s="3088" t="s">
        <v>2632</v>
      </c>
      <c r="E54" s="3091" t="s">
        <v>2632</v>
      </c>
      <c r="F54" s="3091" t="s">
        <v>2633</v>
      </c>
      <c r="G54" s="3091" t="s">
        <v>2634</v>
      </c>
    </row>
    <row r="55" spans="1:7" ht="19.5" customHeight="1">
      <c r="A55" s="3117"/>
      <c r="B55" s="3091" t="s">
        <v>2601</v>
      </c>
      <c r="C55" s="3091" t="s">
        <v>2601</v>
      </c>
      <c r="D55" s="3091" t="s">
        <v>2601</v>
      </c>
      <c r="E55" s="3088" t="s">
        <v>2602</v>
      </c>
      <c r="F55" s="3088" t="s">
        <v>2604</v>
      </c>
      <c r="G55" s="3088" t="s">
        <v>2635</v>
      </c>
    </row>
    <row r="56" spans="1:7" ht="19.5" customHeight="1">
      <c r="A56" s="3118"/>
      <c r="B56" s="3088">
        <v>1</v>
      </c>
      <c r="C56" s="3088">
        <v>2</v>
      </c>
      <c r="D56" s="3088">
        <v>3</v>
      </c>
      <c r="E56" s="3119" t="s">
        <v>2636</v>
      </c>
      <c r="F56" s="3119" t="s">
        <v>2636</v>
      </c>
      <c r="G56" s="3119" t="s">
        <v>2636</v>
      </c>
    </row>
    <row r="57" spans="1:7" ht="19.5" customHeight="1">
      <c r="A57" s="3120" t="s">
        <v>2589</v>
      </c>
      <c r="B57" s="3088">
        <v>0.7</v>
      </c>
      <c r="C57" s="3088">
        <v>0.4</v>
      </c>
      <c r="D57" s="3088">
        <v>0.3</v>
      </c>
      <c r="E57" s="3119">
        <v>0.3</v>
      </c>
      <c r="F57" s="3088">
        <v>0.3</v>
      </c>
      <c r="G57" s="3088">
        <v>0.2</v>
      </c>
    </row>
    <row r="58" spans="1:7" ht="19.5" customHeight="1">
      <c r="A58" s="3120" t="s">
        <v>2590</v>
      </c>
      <c r="B58" s="3088">
        <v>0.7</v>
      </c>
      <c r="C58" s="3088">
        <v>0.4</v>
      </c>
      <c r="D58" s="3088">
        <v>0.3</v>
      </c>
      <c r="E58" s="3088">
        <v>0.3</v>
      </c>
      <c r="F58" s="3088">
        <v>0.3</v>
      </c>
      <c r="G58" s="3088">
        <v>0.2</v>
      </c>
    </row>
    <row r="59" spans="1:7" ht="19.5" customHeight="1">
      <c r="A59" s="3120" t="s">
        <v>2591</v>
      </c>
      <c r="B59" s="3088">
        <v>0.6</v>
      </c>
      <c r="C59" s="3088">
        <v>0.3</v>
      </c>
      <c r="D59" s="3088">
        <v>0.25</v>
      </c>
      <c r="E59" s="3088">
        <v>0.25</v>
      </c>
      <c r="F59" s="3088">
        <v>0.25</v>
      </c>
      <c r="G59" s="3088">
        <v>0.15</v>
      </c>
    </row>
    <row r="60" spans="1:7" ht="19.5" customHeight="1">
      <c r="A60" s="3120" t="s">
        <v>2592</v>
      </c>
      <c r="B60" s="3088">
        <v>0.6</v>
      </c>
      <c r="C60" s="3088">
        <v>0.3</v>
      </c>
      <c r="D60" s="3088">
        <v>0.25</v>
      </c>
      <c r="E60" s="3088">
        <v>0.25</v>
      </c>
      <c r="F60" s="3088">
        <v>0.25</v>
      </c>
      <c r="G60" s="3088">
        <v>0.15</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0.5</v>
      </c>
      <c r="C64" s="3088">
        <v>0.2</v>
      </c>
      <c r="D64" s="3088">
        <v>0.2</v>
      </c>
      <c r="E64" s="3088">
        <v>0.2</v>
      </c>
      <c r="F64" s="3088">
        <v>0.2</v>
      </c>
      <c r="G64" s="3088">
        <v>0.1</v>
      </c>
    </row>
    <row r="65" spans="1:7" ht="19.5" customHeight="1">
      <c r="A65" s="3120" t="s">
        <v>2597</v>
      </c>
      <c r="B65" s="3088">
        <v>0.5</v>
      </c>
      <c r="C65" s="3088">
        <v>0.2</v>
      </c>
      <c r="D65" s="3088">
        <v>0.2</v>
      </c>
      <c r="E65" s="3088">
        <v>0.2</v>
      </c>
      <c r="F65" s="3088">
        <v>0.2</v>
      </c>
      <c r="G65" s="3088">
        <v>0.1</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70" spans="1:7" ht="19.5" customHeight="1">
      <c r="A70" s="3121"/>
      <c r="B70" s="3122"/>
      <c r="C70" s="3122"/>
      <c r="D70" s="3122" t="s">
        <v>2637</v>
      </c>
      <c r="E70" s="3122"/>
      <c r="F70" s="3122"/>
    </row>
    <row r="71" spans="1:7" ht="19.5" customHeight="1">
      <c r="A71" s="3114" t="s">
        <v>2638</v>
      </c>
      <c r="B71" s="3114" t="s">
        <v>2639</v>
      </c>
      <c r="C71" s="3114" t="s">
        <v>2640</v>
      </c>
      <c r="D71" s="3114" t="s">
        <v>2641</v>
      </c>
      <c r="E71" s="3114" t="s">
        <v>2642</v>
      </c>
      <c r="F71" s="3114" t="s">
        <v>2643</v>
      </c>
    </row>
    <row r="72" spans="1:7" ht="13.5">
      <c r="A72" s="3114"/>
      <c r="B72" s="3114"/>
      <c r="C72" s="3114" t="s">
        <v>2644</v>
      </c>
      <c r="D72" s="3114"/>
      <c r="E72" s="3114" t="s">
        <v>2615</v>
      </c>
      <c r="F72" s="3114" t="s">
        <v>2615</v>
      </c>
    </row>
    <row r="73" spans="1:7" ht="13.5">
      <c r="A73" s="3114">
        <v>1</v>
      </c>
      <c r="B73" s="3761" t="s">
        <v>2645</v>
      </c>
      <c r="C73" s="3088" t="s">
        <v>2646</v>
      </c>
      <c r="D73" s="3088" t="s">
        <v>2647</v>
      </c>
      <c r="E73" s="3114">
        <v>0.2</v>
      </c>
      <c r="F73" s="3114">
        <v>25</v>
      </c>
    </row>
    <row r="74" spans="1:7" ht="24">
      <c r="A74" s="3114">
        <v>2</v>
      </c>
      <c r="B74" s="3756"/>
      <c r="C74" s="3088" t="s">
        <v>2648</v>
      </c>
      <c r="D74" s="3088" t="s">
        <v>2649</v>
      </c>
      <c r="E74" s="3114">
        <v>0.2</v>
      </c>
      <c r="F74" s="3114">
        <v>25</v>
      </c>
    </row>
    <row r="75" spans="1:7" ht="24">
      <c r="A75" s="3114">
        <v>3</v>
      </c>
      <c r="B75" s="3756"/>
      <c r="C75" s="3088" t="s">
        <v>2650</v>
      </c>
      <c r="D75" s="3088" t="s">
        <v>2651</v>
      </c>
      <c r="E75" s="3114">
        <v>0.2</v>
      </c>
      <c r="F75" s="3114">
        <v>25</v>
      </c>
    </row>
    <row r="76" spans="1:7" ht="13.5">
      <c r="A76" s="3114">
        <v>4</v>
      </c>
      <c r="B76" s="3756"/>
      <c r="C76" s="3088" t="s">
        <v>2652</v>
      </c>
      <c r="D76" s="3088" t="s">
        <v>2653</v>
      </c>
      <c r="E76" s="3114">
        <v>0.15</v>
      </c>
      <c r="F76" s="3114">
        <v>20</v>
      </c>
    </row>
    <row r="77" spans="1:7" ht="24">
      <c r="A77" s="3114">
        <v>5</v>
      </c>
      <c r="B77" s="3756"/>
      <c r="C77" s="3088" t="s">
        <v>2654</v>
      </c>
      <c r="D77" s="3088" t="s">
        <v>2655</v>
      </c>
      <c r="E77" s="3114">
        <v>0.15</v>
      </c>
      <c r="F77" s="3114">
        <v>20</v>
      </c>
    </row>
    <row r="78" spans="1:7" ht="24">
      <c r="A78" s="3114">
        <v>6</v>
      </c>
      <c r="B78" s="3756"/>
      <c r="C78" s="3088" t="s">
        <v>2656</v>
      </c>
      <c r="D78" s="3088" t="s">
        <v>2657</v>
      </c>
      <c r="E78" s="3114">
        <v>0.15</v>
      </c>
      <c r="F78" s="3114">
        <v>20</v>
      </c>
    </row>
    <row r="79" spans="1:7" ht="24">
      <c r="A79" s="3114">
        <v>7</v>
      </c>
      <c r="B79" s="3756"/>
      <c r="C79" s="3088" t="s">
        <v>2658</v>
      </c>
      <c r="D79" s="3088" t="s">
        <v>2659</v>
      </c>
      <c r="E79" s="3114">
        <v>0.15</v>
      </c>
      <c r="F79" s="3114">
        <v>20</v>
      </c>
    </row>
    <row r="80" spans="1:7" ht="24">
      <c r="A80" s="3114">
        <v>8</v>
      </c>
      <c r="B80" s="3756"/>
      <c r="C80" s="3088" t="s">
        <v>2660</v>
      </c>
      <c r="D80" s="3088" t="s">
        <v>2661</v>
      </c>
      <c r="E80" s="3114">
        <v>0.1</v>
      </c>
      <c r="F80" s="3114">
        <v>15</v>
      </c>
    </row>
    <row r="81" spans="1:6" ht="24">
      <c r="A81" s="3114">
        <v>9</v>
      </c>
      <c r="B81" s="3756"/>
      <c r="C81" s="3088" t="s">
        <v>2662</v>
      </c>
      <c r="D81" s="3088" t="s">
        <v>2663</v>
      </c>
      <c r="E81" s="3114">
        <v>0.1</v>
      </c>
      <c r="F81" s="3114">
        <v>15</v>
      </c>
    </row>
    <row r="82" spans="1:6" ht="24">
      <c r="A82" s="3114">
        <v>10</v>
      </c>
      <c r="B82" s="3756"/>
      <c r="C82" s="3088" t="s">
        <v>2664</v>
      </c>
      <c r="D82" s="3088" t="s">
        <v>2665</v>
      </c>
      <c r="E82" s="3114">
        <v>0.1</v>
      </c>
      <c r="F82" s="3114">
        <v>15</v>
      </c>
    </row>
    <row r="83" spans="1:6" ht="24">
      <c r="A83" s="3114">
        <v>11</v>
      </c>
      <c r="B83" s="3756"/>
      <c r="C83" s="3088" t="s">
        <v>2666</v>
      </c>
      <c r="D83" s="3088" t="s">
        <v>2667</v>
      </c>
      <c r="E83" s="3114">
        <v>0.1</v>
      </c>
      <c r="F83" s="3114">
        <v>15</v>
      </c>
    </row>
    <row r="84" spans="1:6" ht="24">
      <c r="A84" s="3114">
        <v>12</v>
      </c>
      <c r="B84" s="3756"/>
      <c r="C84" s="3088" t="s">
        <v>2668</v>
      </c>
      <c r="D84" s="3088" t="s">
        <v>2669</v>
      </c>
      <c r="E84" s="3114">
        <v>0.1</v>
      </c>
      <c r="F84" s="3114">
        <v>15</v>
      </c>
    </row>
    <row r="85" spans="1:6" ht="13.5">
      <c r="A85" s="3114">
        <v>13</v>
      </c>
      <c r="B85" s="3756"/>
      <c r="C85" s="3088" t="s">
        <v>2670</v>
      </c>
      <c r="D85" s="3088" t="s">
        <v>2671</v>
      </c>
      <c r="E85" s="3114">
        <v>0.1</v>
      </c>
      <c r="F85" s="3114">
        <v>15</v>
      </c>
    </row>
    <row r="86" spans="1:6" ht="13.5">
      <c r="A86" s="3114">
        <v>14</v>
      </c>
      <c r="B86" s="3756"/>
      <c r="C86" s="3088" t="s">
        <v>2672</v>
      </c>
      <c r="D86" s="3088" t="s">
        <v>2673</v>
      </c>
      <c r="E86" s="3114">
        <v>0.1</v>
      </c>
      <c r="F86" s="3114">
        <v>15</v>
      </c>
    </row>
    <row r="87" spans="1:6" ht="13.5">
      <c r="A87" s="3114">
        <v>15</v>
      </c>
      <c r="B87" s="3756"/>
      <c r="C87" s="3088" t="s">
        <v>2674</v>
      </c>
      <c r="D87" s="3088" t="s">
        <v>2675</v>
      </c>
      <c r="E87" s="3114">
        <v>0.1</v>
      </c>
      <c r="F87" s="3114">
        <v>15</v>
      </c>
    </row>
    <row r="88" spans="1:6" ht="24">
      <c r="A88" s="3114">
        <v>16</v>
      </c>
      <c r="B88" s="3756"/>
      <c r="C88" s="3088" t="s">
        <v>2676</v>
      </c>
      <c r="D88" s="3088" t="s">
        <v>2677</v>
      </c>
      <c r="E88" s="3114">
        <v>0.1</v>
      </c>
      <c r="F88" s="3114">
        <v>15</v>
      </c>
    </row>
    <row r="89" spans="1:6" ht="24">
      <c r="A89" s="3114">
        <v>17</v>
      </c>
      <c r="B89" s="3765"/>
      <c r="C89" s="3088" t="s">
        <v>2678</v>
      </c>
      <c r="D89" s="3088" t="s">
        <v>2679</v>
      </c>
      <c r="E89" s="3114">
        <v>0.1</v>
      </c>
      <c r="F89" s="3114">
        <v>15</v>
      </c>
    </row>
    <row r="90" spans="1:6" ht="13.5">
      <c r="A90" s="3114">
        <v>18</v>
      </c>
      <c r="B90" s="3761" t="s">
        <v>2680</v>
      </c>
      <c r="C90" s="3088" t="s">
        <v>2681</v>
      </c>
      <c r="D90" s="3088" t="s">
        <v>2682</v>
      </c>
      <c r="E90" s="3114">
        <v>0.2</v>
      </c>
      <c r="F90" s="3114">
        <v>25</v>
      </c>
    </row>
    <row r="91" spans="1:6" ht="24">
      <c r="A91" s="3114">
        <v>19</v>
      </c>
      <c r="B91" s="3756"/>
      <c r="C91" s="3088" t="s">
        <v>2683</v>
      </c>
      <c r="D91" s="3088" t="s">
        <v>2684</v>
      </c>
      <c r="E91" s="3114">
        <v>0.2</v>
      </c>
      <c r="F91" s="3114">
        <v>25</v>
      </c>
    </row>
    <row r="92" spans="1:6" ht="13.5">
      <c r="A92" s="3114">
        <v>20</v>
      </c>
      <c r="B92" s="3756"/>
      <c r="C92" s="3088" t="s">
        <v>2685</v>
      </c>
      <c r="D92" s="3088" t="s">
        <v>2686</v>
      </c>
      <c r="E92" s="3114">
        <v>0.15</v>
      </c>
      <c r="F92" s="3114">
        <v>20</v>
      </c>
    </row>
    <row r="93" spans="1:6" ht="13.5">
      <c r="A93" s="3114">
        <v>21</v>
      </c>
      <c r="B93" s="3756"/>
      <c r="C93" s="3088" t="s">
        <v>2687</v>
      </c>
      <c r="D93" s="3088" t="s">
        <v>2688</v>
      </c>
      <c r="E93" s="3114">
        <v>0.15</v>
      </c>
      <c r="F93" s="3114">
        <v>20</v>
      </c>
    </row>
    <row r="94" spans="1:6" ht="13.5">
      <c r="A94" s="3114">
        <v>22</v>
      </c>
      <c r="B94" s="3756"/>
      <c r="C94" s="3088" t="s">
        <v>2689</v>
      </c>
      <c r="D94" s="3088" t="s">
        <v>2690</v>
      </c>
      <c r="E94" s="3114">
        <v>0.15</v>
      </c>
      <c r="F94" s="3114">
        <v>20</v>
      </c>
    </row>
    <row r="95" spans="1:6" ht="36">
      <c r="A95" s="3114">
        <v>23</v>
      </c>
      <c r="B95" s="3756"/>
      <c r="C95" s="3088" t="s">
        <v>2691</v>
      </c>
      <c r="D95" s="3088" t="s">
        <v>2692</v>
      </c>
      <c r="E95" s="3114">
        <v>0.15</v>
      </c>
      <c r="F95" s="3114">
        <v>20</v>
      </c>
    </row>
    <row r="96" spans="1:6" ht="13.5">
      <c r="A96" s="3114">
        <v>24</v>
      </c>
      <c r="B96" s="3756"/>
      <c r="C96" s="3088" t="s">
        <v>2693</v>
      </c>
      <c r="D96" s="3088" t="s">
        <v>2694</v>
      </c>
      <c r="E96" s="3114">
        <v>0.1</v>
      </c>
      <c r="F96" s="3114">
        <v>15</v>
      </c>
    </row>
    <row r="97" spans="1:6" ht="13.5">
      <c r="A97" s="3114">
        <v>25</v>
      </c>
      <c r="B97" s="3756"/>
      <c r="C97" s="3088" t="s">
        <v>2695</v>
      </c>
      <c r="D97" s="3088" t="s">
        <v>2696</v>
      </c>
      <c r="E97" s="3114">
        <v>0.1</v>
      </c>
      <c r="F97" s="3114">
        <v>15</v>
      </c>
    </row>
    <row r="98" spans="1:6" ht="24">
      <c r="A98" s="3114">
        <v>26</v>
      </c>
      <c r="B98" s="3756"/>
      <c r="C98" s="3088" t="s">
        <v>2697</v>
      </c>
      <c r="D98" s="3088" t="s">
        <v>2698</v>
      </c>
      <c r="E98" s="3114">
        <v>0.1</v>
      </c>
      <c r="F98" s="3114">
        <v>15</v>
      </c>
    </row>
    <row r="99" spans="1:6" ht="24">
      <c r="A99" s="3114">
        <v>27</v>
      </c>
      <c r="B99" s="3756"/>
      <c r="C99" s="3088" t="s">
        <v>2699</v>
      </c>
      <c r="D99" s="3088" t="s">
        <v>2700</v>
      </c>
      <c r="E99" s="3114">
        <v>0.1</v>
      </c>
      <c r="F99" s="3114">
        <v>15</v>
      </c>
    </row>
    <row r="100" spans="1:6" ht="13.5">
      <c r="A100" s="3114">
        <v>28</v>
      </c>
      <c r="B100" s="3756"/>
      <c r="C100" s="3088" t="s">
        <v>2701</v>
      </c>
      <c r="D100" s="3088" t="s">
        <v>2702</v>
      </c>
      <c r="E100" s="3114">
        <v>0.1</v>
      </c>
      <c r="F100" s="3114">
        <v>15</v>
      </c>
    </row>
    <row r="101" spans="1:6" ht="13.5">
      <c r="A101" s="3114">
        <v>29</v>
      </c>
      <c r="B101" s="3756"/>
      <c r="C101" s="3088" t="s">
        <v>2703</v>
      </c>
      <c r="D101" s="3088" t="s">
        <v>2704</v>
      </c>
      <c r="E101" s="3114">
        <v>0.1</v>
      </c>
      <c r="F101" s="3114">
        <v>15</v>
      </c>
    </row>
    <row r="102" spans="1:6" ht="13.5">
      <c r="A102" s="3114">
        <v>30</v>
      </c>
      <c r="B102" s="3756"/>
      <c r="C102" s="3088" t="s">
        <v>2705</v>
      </c>
      <c r="D102" s="3088" t="s">
        <v>2706</v>
      </c>
      <c r="E102" s="3114">
        <v>0.1</v>
      </c>
      <c r="F102" s="3114">
        <v>15</v>
      </c>
    </row>
    <row r="103" spans="1:6" ht="24">
      <c r="A103" s="3114">
        <v>31</v>
      </c>
      <c r="B103" s="3756"/>
      <c r="C103" s="3088" t="s">
        <v>2707</v>
      </c>
      <c r="D103" s="3088" t="s">
        <v>2708</v>
      </c>
      <c r="E103" s="3114">
        <v>0.1</v>
      </c>
      <c r="F103" s="3114">
        <v>15</v>
      </c>
    </row>
    <row r="104" spans="1:6" ht="24">
      <c r="A104" s="3114">
        <v>32</v>
      </c>
      <c r="B104" s="3756"/>
      <c r="C104" s="3088" t="s">
        <v>2709</v>
      </c>
      <c r="D104" s="3088" t="s">
        <v>2710</v>
      </c>
      <c r="E104" s="3114">
        <v>0.1</v>
      </c>
      <c r="F104" s="3114">
        <v>15</v>
      </c>
    </row>
    <row r="105" spans="1:6" ht="24">
      <c r="A105" s="3114">
        <v>33</v>
      </c>
      <c r="B105" s="3756"/>
      <c r="C105" s="3088" t="s">
        <v>2711</v>
      </c>
      <c r="D105" s="3088" t="s">
        <v>2712</v>
      </c>
      <c r="E105" s="3114">
        <v>0.1</v>
      </c>
      <c r="F105" s="3114">
        <v>15</v>
      </c>
    </row>
    <row r="106" spans="1:6" ht="24">
      <c r="A106" s="3114">
        <v>34</v>
      </c>
      <c r="B106" s="3765"/>
      <c r="C106" s="3088" t="s">
        <v>2713</v>
      </c>
      <c r="D106" s="3088" t="s">
        <v>2714</v>
      </c>
      <c r="E106" s="3114">
        <v>0.1</v>
      </c>
      <c r="F106" s="3114">
        <v>15</v>
      </c>
    </row>
    <row r="107" spans="1:6" ht="24">
      <c r="A107" s="3114">
        <v>35</v>
      </c>
      <c r="B107" s="3761" t="s">
        <v>2715</v>
      </c>
      <c r="C107" s="3114" t="s">
        <v>2716</v>
      </c>
      <c r="D107" s="3088" t="s">
        <v>2717</v>
      </c>
      <c r="E107" s="3114">
        <v>0.15</v>
      </c>
      <c r="F107" s="3114">
        <v>20</v>
      </c>
    </row>
    <row r="108" spans="1:6" ht="13.5">
      <c r="A108" s="3114">
        <v>36</v>
      </c>
      <c r="B108" s="3756"/>
      <c r="C108" s="3114" t="s">
        <v>2718</v>
      </c>
      <c r="D108" s="3088" t="s">
        <v>2719</v>
      </c>
      <c r="E108" s="3114">
        <v>0.15</v>
      </c>
      <c r="F108" s="3114">
        <v>20</v>
      </c>
    </row>
    <row r="109" spans="1:6" ht="13.5">
      <c r="A109" s="3114">
        <v>37</v>
      </c>
      <c r="B109" s="3756"/>
      <c r="C109" s="3114" t="s">
        <v>2720</v>
      </c>
      <c r="D109" s="3088" t="s">
        <v>2721</v>
      </c>
      <c r="E109" s="3114">
        <v>0.15</v>
      </c>
      <c r="F109" s="3114">
        <v>20</v>
      </c>
    </row>
    <row r="110" spans="1:6" ht="13.5">
      <c r="A110" s="3114">
        <v>38</v>
      </c>
      <c r="B110" s="3756"/>
      <c r="C110" s="3114" t="s">
        <v>2722</v>
      </c>
      <c r="D110" s="3088" t="s">
        <v>2723</v>
      </c>
      <c r="E110" s="3114">
        <v>0.1</v>
      </c>
      <c r="F110" s="3114">
        <v>15</v>
      </c>
    </row>
    <row r="111" spans="1:6" ht="24">
      <c r="A111" s="3114">
        <v>39</v>
      </c>
      <c r="B111" s="3756"/>
      <c r="C111" s="3114" t="s">
        <v>2724</v>
      </c>
      <c r="D111" s="3088" t="s">
        <v>2725</v>
      </c>
      <c r="E111" s="3114">
        <v>0.1</v>
      </c>
      <c r="F111" s="3114">
        <v>15</v>
      </c>
    </row>
    <row r="112" spans="1:6" ht="24">
      <c r="A112" s="3114">
        <v>40</v>
      </c>
      <c r="B112" s="3765"/>
      <c r="C112" s="3114" t="s">
        <v>2726</v>
      </c>
      <c r="D112" s="3088" t="s">
        <v>2727</v>
      </c>
      <c r="E112" s="3114">
        <v>0.1</v>
      </c>
      <c r="F112" s="3114">
        <v>15</v>
      </c>
    </row>
    <row r="113" spans="1:6" ht="13.5">
      <c r="A113" s="3114">
        <v>41</v>
      </c>
      <c r="B113" s="3766" t="s">
        <v>2728</v>
      </c>
      <c r="C113" s="3114" t="s">
        <v>2729</v>
      </c>
      <c r="D113" s="3088" t="s">
        <v>2730</v>
      </c>
      <c r="E113" s="3114">
        <v>0.1</v>
      </c>
      <c r="F113" s="3114">
        <v>15</v>
      </c>
    </row>
    <row r="114" spans="1:6" ht="13.5">
      <c r="A114" s="3114">
        <v>42</v>
      </c>
      <c r="B114" s="3766"/>
      <c r="C114" s="3114" t="s">
        <v>2731</v>
      </c>
      <c r="D114" s="3088" t="s">
        <v>2732</v>
      </c>
      <c r="E114" s="3114">
        <v>0.1</v>
      </c>
      <c r="F114" s="3114">
        <v>15</v>
      </c>
    </row>
    <row r="115" spans="1:6" ht="24">
      <c r="A115" s="3114">
        <v>43</v>
      </c>
      <c r="B115" s="3766"/>
      <c r="C115" s="3114" t="s">
        <v>2733</v>
      </c>
      <c r="D115" s="3088" t="s">
        <v>2734</v>
      </c>
      <c r="E115" s="3114">
        <v>0.1</v>
      </c>
      <c r="F115" s="3114">
        <v>15</v>
      </c>
    </row>
    <row r="116" spans="1:6" ht="13.5">
      <c r="A116" s="3114">
        <v>44</v>
      </c>
      <c r="B116" s="3761" t="s">
        <v>2735</v>
      </c>
      <c r="C116" s="3114" t="s">
        <v>2736</v>
      </c>
      <c r="D116" s="3088" t="s">
        <v>2737</v>
      </c>
      <c r="E116" s="3114">
        <v>0.1</v>
      </c>
      <c r="F116" s="3114">
        <v>15</v>
      </c>
    </row>
    <row r="117" spans="1:6" ht="24">
      <c r="A117" s="3114">
        <v>45</v>
      </c>
      <c r="B117" s="3765"/>
      <c r="C117" s="3088" t="s">
        <v>2738</v>
      </c>
      <c r="D117" s="3088" t="s">
        <v>2739</v>
      </c>
      <c r="E117" s="3114">
        <v>0.1</v>
      </c>
      <c r="F117" s="3114">
        <v>15</v>
      </c>
    </row>
    <row r="118" spans="1:6" ht="24">
      <c r="A118" s="3114">
        <v>46</v>
      </c>
      <c r="B118" s="3761" t="s">
        <v>2740</v>
      </c>
      <c r="C118" s="3114" t="s">
        <v>2741</v>
      </c>
      <c r="D118" s="3088" t="s">
        <v>2742</v>
      </c>
      <c r="E118" s="3114">
        <v>0.1</v>
      </c>
      <c r="F118" s="3114">
        <v>15</v>
      </c>
    </row>
    <row r="119" spans="1:6" ht="24">
      <c r="A119" s="3114">
        <v>47</v>
      </c>
      <c r="B119" s="3765"/>
      <c r="C119" s="3114" t="s">
        <v>2743</v>
      </c>
      <c r="D119" s="3088" t="s">
        <v>2744</v>
      </c>
      <c r="E119" s="3114">
        <v>0.1</v>
      </c>
      <c r="F119" s="3114">
        <v>15</v>
      </c>
    </row>
    <row r="120" spans="1:6" ht="13.5">
      <c r="A120" s="3114">
        <v>48</v>
      </c>
      <c r="B120" s="3761" t="s">
        <v>2745</v>
      </c>
      <c r="C120" s="3114" t="s">
        <v>2746</v>
      </c>
      <c r="D120" s="3088" t="s">
        <v>2747</v>
      </c>
      <c r="E120" s="3114">
        <v>0.1</v>
      </c>
      <c r="F120" s="3114">
        <v>15</v>
      </c>
    </row>
    <row r="121" spans="1:6" ht="13.5">
      <c r="A121" s="3114">
        <v>49</v>
      </c>
      <c r="B121" s="3765"/>
      <c r="C121" s="3114" t="s">
        <v>2748</v>
      </c>
      <c r="D121" s="3088" t="s">
        <v>2749</v>
      </c>
      <c r="E121" s="3114">
        <v>0.1</v>
      </c>
      <c r="F121" s="3114">
        <v>15</v>
      </c>
    </row>
    <row r="122" spans="1:6" ht="24">
      <c r="A122" s="3114">
        <v>50</v>
      </c>
      <c r="B122" s="3766" t="s">
        <v>2750</v>
      </c>
      <c r="C122" s="3114" t="s">
        <v>2751</v>
      </c>
      <c r="D122" s="3088" t="s">
        <v>2752</v>
      </c>
      <c r="E122" s="3114">
        <v>0.1</v>
      </c>
      <c r="F122" s="3114">
        <v>15</v>
      </c>
    </row>
    <row r="123" spans="1:6" ht="24">
      <c r="A123" s="3114">
        <v>51</v>
      </c>
      <c r="B123" s="3766"/>
      <c r="C123" s="3114" t="s">
        <v>2753</v>
      </c>
      <c r="D123" s="3088" t="s">
        <v>2754</v>
      </c>
      <c r="E123" s="3114">
        <v>0.1</v>
      </c>
      <c r="F123" s="3114">
        <v>15</v>
      </c>
    </row>
    <row r="124" spans="1:6" ht="24">
      <c r="A124" s="3114">
        <v>52</v>
      </c>
      <c r="B124" s="3766" t="s">
        <v>2755</v>
      </c>
      <c r="C124" s="3114" t="s">
        <v>2756</v>
      </c>
      <c r="D124" s="3088" t="s">
        <v>2757</v>
      </c>
      <c r="E124" s="3114">
        <v>0.1</v>
      </c>
      <c r="F124" s="3114">
        <v>15</v>
      </c>
    </row>
    <row r="125" spans="1:6" ht="24">
      <c r="A125" s="3114">
        <v>53</v>
      </c>
      <c r="B125" s="3766"/>
      <c r="C125" s="3114" t="s">
        <v>2758</v>
      </c>
      <c r="D125" s="3088" t="s">
        <v>2759</v>
      </c>
      <c r="E125" s="3114">
        <v>0.1</v>
      </c>
      <c r="F125" s="3114">
        <v>15</v>
      </c>
    </row>
    <row r="126" spans="1:6" ht="13.5">
      <c r="A126" s="3114">
        <v>54</v>
      </c>
      <c r="B126" s="3114" t="s">
        <v>2760</v>
      </c>
      <c r="C126" s="3114" t="s">
        <v>2761</v>
      </c>
      <c r="D126" s="3088" t="s">
        <v>2762</v>
      </c>
      <c r="E126" s="3114">
        <v>0.1</v>
      </c>
      <c r="F126" s="3114">
        <v>15</v>
      </c>
    </row>
    <row r="127" spans="1:6" ht="13.5">
      <c r="A127" s="3114">
        <v>55</v>
      </c>
      <c r="B127" s="3766" t="s">
        <v>2763</v>
      </c>
      <c r="C127" s="3114" t="s">
        <v>2764</v>
      </c>
      <c r="D127" s="3088" t="s">
        <v>2765</v>
      </c>
      <c r="E127" s="3114">
        <v>0.1</v>
      </c>
      <c r="F127" s="3114">
        <v>15</v>
      </c>
    </row>
    <row r="128" spans="1:6" ht="13.5">
      <c r="A128" s="3114">
        <v>56</v>
      </c>
      <c r="B128" s="3766"/>
      <c r="C128" s="3114" t="s">
        <v>2766</v>
      </c>
      <c r="D128" s="3088" t="s">
        <v>2767</v>
      </c>
      <c r="E128" s="3114">
        <v>0.1</v>
      </c>
      <c r="F128" s="3114">
        <v>15</v>
      </c>
    </row>
    <row r="129" spans="1:6" ht="24">
      <c r="A129" s="3114">
        <v>57</v>
      </c>
      <c r="B129" s="3766"/>
      <c r="C129" s="3114" t="s">
        <v>2768</v>
      </c>
      <c r="D129" s="3088" t="s">
        <v>2769</v>
      </c>
      <c r="E129" s="3114">
        <v>0.1</v>
      </c>
      <c r="F129" s="3114">
        <v>15</v>
      </c>
    </row>
    <row r="130" spans="1:6" ht="24">
      <c r="A130" s="3114">
        <v>58</v>
      </c>
      <c r="B130" s="3766" t="s">
        <v>2770</v>
      </c>
      <c r="C130" s="3114" t="s">
        <v>2771</v>
      </c>
      <c r="D130" s="3088" t="s">
        <v>2772</v>
      </c>
      <c r="E130" s="3114">
        <v>0.1</v>
      </c>
      <c r="F130" s="3114">
        <v>15</v>
      </c>
    </row>
    <row r="131" spans="1:6" ht="13.5">
      <c r="A131" s="3114">
        <v>59</v>
      </c>
      <c r="B131" s="3766"/>
      <c r="C131" s="3114" t="s">
        <v>2773</v>
      </c>
      <c r="D131" s="3088" t="s">
        <v>2774</v>
      </c>
      <c r="E131" s="3114">
        <v>0.1</v>
      </c>
      <c r="F131" s="3114">
        <v>15</v>
      </c>
    </row>
    <row r="132" spans="1:6" ht="13.5">
      <c r="A132" s="3114">
        <v>60</v>
      </c>
      <c r="B132" s="3761" t="s">
        <v>2775</v>
      </c>
      <c r="C132" s="3114" t="s">
        <v>2776</v>
      </c>
      <c r="D132" s="3088" t="s">
        <v>2777</v>
      </c>
      <c r="E132" s="3114">
        <v>0.1</v>
      </c>
      <c r="F132" s="3114">
        <v>15</v>
      </c>
    </row>
    <row r="133" spans="1:6" ht="13.5">
      <c r="A133" s="3114">
        <v>61</v>
      </c>
      <c r="B133" s="3765"/>
      <c r="C133" s="3114" t="s">
        <v>2778</v>
      </c>
      <c r="D133" s="3088" t="s">
        <v>2779</v>
      </c>
      <c r="E133" s="3114">
        <v>0.1</v>
      </c>
      <c r="F133" s="3114">
        <v>15</v>
      </c>
    </row>
    <row r="134" spans="1:6" ht="24">
      <c r="A134" s="3114">
        <v>62</v>
      </c>
      <c r="B134" s="3114" t="s">
        <v>2780</v>
      </c>
      <c r="C134" s="3114" t="s">
        <v>2781</v>
      </c>
      <c r="D134" s="3088" t="s">
        <v>2782</v>
      </c>
      <c r="E134" s="3114">
        <v>0.1</v>
      </c>
      <c r="F134" s="3114">
        <v>15</v>
      </c>
    </row>
    <row r="135" spans="1:6" ht="13.5">
      <c r="A135" s="3114">
        <v>63</v>
      </c>
      <c r="B135" s="3766" t="s">
        <v>2783</v>
      </c>
      <c r="C135" s="3114" t="s">
        <v>2784</v>
      </c>
      <c r="D135" s="3088" t="s">
        <v>2785</v>
      </c>
      <c r="E135" s="3114">
        <v>0.1</v>
      </c>
      <c r="F135" s="3114">
        <v>15</v>
      </c>
    </row>
    <row r="136" spans="1:6" ht="13.5">
      <c r="A136" s="3114">
        <v>64</v>
      </c>
      <c r="B136" s="3766"/>
      <c r="C136" s="3114" t="s">
        <v>2786</v>
      </c>
      <c r="D136" s="3088" t="s">
        <v>2787</v>
      </c>
      <c r="E136" s="3114">
        <v>0.1</v>
      </c>
      <c r="F136" s="3114">
        <v>15</v>
      </c>
    </row>
    <row r="137" spans="1:6" ht="13.5">
      <c r="A137" s="3114">
        <v>65</v>
      </c>
      <c r="B137" s="3114" t="s">
        <v>2788</v>
      </c>
      <c r="C137" s="3114" t="s">
        <v>2789</v>
      </c>
      <c r="D137" s="3088" t="s">
        <v>2790</v>
      </c>
      <c r="E137" s="3114">
        <v>0.1</v>
      </c>
      <c r="F137" s="3114">
        <v>15</v>
      </c>
    </row>
    <row r="138" spans="1:6" ht="13.5">
      <c r="A138" s="3114"/>
      <c r="B138" s="3114"/>
      <c r="C138" s="3114"/>
      <c r="D138" s="3114"/>
      <c r="E138" s="3114" t="s">
        <v>2791</v>
      </c>
      <c r="F138" s="311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2792</v>
      </c>
      <c r="B1" s="3123"/>
      <c r="C1" s="3123"/>
      <c r="D1" s="3123"/>
      <c r="E1" s="3123"/>
      <c r="F1" s="3123"/>
      <c r="G1" s="3123"/>
      <c r="H1" s="3123"/>
      <c r="I1" s="3123"/>
      <c r="J1" s="3123"/>
      <c r="K1" s="3123"/>
      <c r="L1" s="3123"/>
      <c r="M1" s="3123"/>
      <c r="N1" s="749"/>
    </row>
    <row r="2" spans="1:20">
      <c r="A2" s="3124" t="s">
        <v>2793</v>
      </c>
      <c r="B2" s="3125" t="s">
        <v>2589</v>
      </c>
      <c r="C2" s="3125" t="s">
        <v>2590</v>
      </c>
      <c r="D2" s="3125" t="s">
        <v>2591</v>
      </c>
      <c r="E2" s="3125" t="s">
        <v>2592</v>
      </c>
      <c r="F2" s="3125" t="s">
        <v>2593</v>
      </c>
      <c r="G2" s="3125" t="s">
        <v>2594</v>
      </c>
      <c r="H2" s="3126" t="s">
        <v>2595</v>
      </c>
      <c r="I2" s="3126" t="s">
        <v>2596</v>
      </c>
      <c r="J2" s="3127" t="s">
        <v>2597</v>
      </c>
      <c r="K2" s="3127" t="s">
        <v>2598</v>
      </c>
      <c r="L2" s="3127" t="s">
        <v>2599</v>
      </c>
      <c r="M2" s="3128" t="s">
        <v>2600</v>
      </c>
      <c r="Q2" s="3138" t="s">
        <v>2798</v>
      </c>
      <c r="R2" s="3138" t="s">
        <v>2799</v>
      </c>
      <c r="S2" s="3138" t="s">
        <v>2800</v>
      </c>
      <c r="T2" s="3138" t="s">
        <v>2801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2794</v>
      </c>
      <c r="B93" s="3123"/>
      <c r="C93" s="3123"/>
      <c r="D93" s="3123"/>
      <c r="E93" s="3123"/>
      <c r="F93" s="3123"/>
      <c r="G93" s="3123"/>
      <c r="H93" s="3123"/>
      <c r="I93" s="3123"/>
      <c r="J93" s="3123"/>
      <c r="K93" s="3123"/>
      <c r="L93" s="3123"/>
      <c r="M93" s="3123"/>
    </row>
    <row r="94" spans="1:20">
      <c r="A94" s="3124" t="s">
        <v>2793</v>
      </c>
      <c r="B94" s="3125" t="s">
        <v>2589</v>
      </c>
      <c r="C94" s="3125" t="s">
        <v>2590</v>
      </c>
      <c r="D94" s="3125" t="s">
        <v>2591</v>
      </c>
      <c r="E94" s="3125" t="s">
        <v>2592</v>
      </c>
      <c r="F94" s="3125" t="s">
        <v>2593</v>
      </c>
      <c r="G94" s="3125" t="s">
        <v>2594</v>
      </c>
      <c r="H94" s="3126" t="s">
        <v>2595</v>
      </c>
      <c r="I94" s="3126" t="s">
        <v>2596</v>
      </c>
      <c r="J94" s="3127" t="s">
        <v>2597</v>
      </c>
      <c r="K94" s="3127" t="s">
        <v>2598</v>
      </c>
      <c r="L94" s="3127" t="s">
        <v>2599</v>
      </c>
      <c r="M94" s="3128" t="s">
        <v>2600</v>
      </c>
      <c r="N94" s="750">
        <f>SUMPRODUCT((A95:A184=ROUNDDOWN(基准地价修正!G3,1))*(B94:M94=基准地价修正!G2)*(B95:M184))</f>
        <v>0</v>
      </c>
      <c r="Q94" s="3138" t="s">
        <v>2798</v>
      </c>
      <c r="R94" s="3138" t="s">
        <v>2799</v>
      </c>
      <c r="S94" s="3138" t="s">
        <v>2800</v>
      </c>
      <c r="T94" s="3138" t="s">
        <v>2801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2795</v>
      </c>
      <c r="B185" s="3123"/>
      <c r="C185" s="3123"/>
      <c r="D185" s="3123"/>
      <c r="E185" s="3123"/>
      <c r="F185" s="3123"/>
      <c r="G185" s="3123"/>
      <c r="H185" s="3123"/>
      <c r="I185" s="3123"/>
      <c r="J185" s="3123"/>
      <c r="K185" s="3123"/>
      <c r="L185" s="3123"/>
      <c r="M185" s="3123"/>
    </row>
    <row r="186" spans="1:20">
      <c r="A186" s="3124" t="s">
        <v>2793</v>
      </c>
      <c r="B186" s="3125" t="s">
        <v>2589</v>
      </c>
      <c r="C186" s="3125" t="s">
        <v>2590</v>
      </c>
      <c r="D186" s="3125" t="s">
        <v>2591</v>
      </c>
      <c r="E186" s="3125" t="s">
        <v>2592</v>
      </c>
      <c r="F186" s="3125" t="s">
        <v>2593</v>
      </c>
      <c r="G186" s="3125" t="s">
        <v>2594</v>
      </c>
      <c r="H186" s="3126" t="s">
        <v>2595</v>
      </c>
      <c r="I186" s="3126" t="s">
        <v>2596</v>
      </c>
      <c r="J186" s="3127" t="s">
        <v>2597</v>
      </c>
      <c r="K186" s="3127" t="s">
        <v>2598</v>
      </c>
      <c r="L186" s="3127" t="s">
        <v>2599</v>
      </c>
      <c r="M186" s="3128" t="s">
        <v>2600</v>
      </c>
      <c r="Q186" s="3138" t="s">
        <v>2798</v>
      </c>
      <c r="R186" s="3138" t="s">
        <v>2799</v>
      </c>
      <c r="S186" s="3138" t="s">
        <v>2800</v>
      </c>
      <c r="T186" s="3138" t="s">
        <v>2801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2796</v>
      </c>
      <c r="B277" s="3123"/>
      <c r="C277" s="3123"/>
      <c r="D277" s="3123"/>
      <c r="E277" s="3123"/>
      <c r="F277" s="3123"/>
      <c r="G277" s="3123"/>
      <c r="H277" s="3123"/>
      <c r="I277" s="3123"/>
      <c r="J277" s="3123"/>
      <c r="K277" s="3123"/>
      <c r="L277" s="3123"/>
      <c r="M277" s="3123"/>
    </row>
    <row r="278" spans="1:21">
      <c r="A278" s="3124" t="s">
        <v>2793</v>
      </c>
      <c r="B278" s="3125" t="s">
        <v>2589</v>
      </c>
      <c r="C278" s="3125" t="s">
        <v>2590</v>
      </c>
      <c r="D278" s="3125" t="s">
        <v>2591</v>
      </c>
      <c r="E278" s="3125" t="s">
        <v>2592</v>
      </c>
      <c r="F278" s="3125" t="s">
        <v>2593</v>
      </c>
      <c r="G278" s="3125" t="s">
        <v>2594</v>
      </c>
      <c r="H278" s="3126" t="s">
        <v>2595</v>
      </c>
      <c r="I278" s="3126" t="s">
        <v>2596</v>
      </c>
      <c r="J278" s="3127" t="s">
        <v>2597</v>
      </c>
      <c r="K278" s="3127" t="s">
        <v>2598</v>
      </c>
      <c r="L278" s="3127" t="s">
        <v>2599</v>
      </c>
      <c r="M278" s="3128" t="s">
        <v>2600</v>
      </c>
      <c r="Q278" s="3138" t="s">
        <v>2798</v>
      </c>
      <c r="R278" s="3138" t="s">
        <v>2799</v>
      </c>
      <c r="S278" s="3138" t="s">
        <v>2802</v>
      </c>
      <c r="T278" s="3138" t="s">
        <v>2803</v>
      </c>
      <c r="U278" s="3138" t="s">
        <v>2801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2797</v>
      </c>
      <c r="B369" s="3136"/>
      <c r="C369" s="3136"/>
      <c r="D369" s="3136"/>
      <c r="E369" s="3136"/>
      <c r="F369" s="3136"/>
      <c r="G369" s="3136"/>
      <c r="H369" s="3136"/>
      <c r="I369" s="3136"/>
      <c r="J369" s="3136"/>
      <c r="K369" s="3136"/>
      <c r="L369" s="3136"/>
      <c r="M369" s="3136"/>
    </row>
    <row r="370" spans="1:20">
      <c r="A370" s="3124" t="s">
        <v>2793</v>
      </c>
      <c r="B370" s="3125" t="s">
        <v>2589</v>
      </c>
      <c r="C370" s="3125" t="s">
        <v>2590</v>
      </c>
      <c r="D370" s="3125" t="s">
        <v>2591</v>
      </c>
      <c r="E370" s="3125" t="s">
        <v>2592</v>
      </c>
      <c r="F370" s="3125" t="s">
        <v>2593</v>
      </c>
      <c r="G370" s="3125" t="s">
        <v>2594</v>
      </c>
      <c r="H370" s="3126" t="s">
        <v>2595</v>
      </c>
      <c r="I370" s="3126" t="s">
        <v>2596</v>
      </c>
      <c r="J370" s="3127" t="s">
        <v>2597</v>
      </c>
      <c r="K370" s="3127" t="s">
        <v>2598</v>
      </c>
      <c r="L370" s="3127" t="s">
        <v>2599</v>
      </c>
      <c r="M370" s="3128" t="s">
        <v>2600</v>
      </c>
      <c r="N370" s="750">
        <f>SUMPRODUCT((A371:A460=ROUNDDOWN(基准地价修正!G3,1))*(B370:M370=基准地价修正!G2)*(B371:M460))</f>
        <v>0</v>
      </c>
      <c r="Q370" s="3138" t="s">
        <v>2798</v>
      </c>
      <c r="R370" s="3138" t="s">
        <v>2799</v>
      </c>
      <c r="S370" s="3138" t="s">
        <v>2800</v>
      </c>
      <c r="T370" s="3138" t="s">
        <v>2801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162272</v>
      </c>
      <c r="E5" s="1491"/>
    </row>
    <row r="6" spans="1:5" ht="15.75">
      <c r="A6" s="1491"/>
      <c r="B6" s="3450"/>
      <c r="C6" s="1494" t="s">
        <v>911</v>
      </c>
      <c r="D6" s="850" t="str">
        <f ca="1">NUMBERSTRING(INT(D5*10000),2)&amp;"元整"</f>
        <v>壹拾陆亿贰仟贰佰柒拾贰万元整</v>
      </c>
      <c r="E6" s="1491"/>
    </row>
    <row r="7" spans="1:5" ht="15.75">
      <c r="A7" s="1491"/>
      <c r="B7" s="3455"/>
      <c r="C7" s="1495" t="s">
        <v>912</v>
      </c>
      <c r="D7" s="851">
        <f ca="1">结果表!H102</f>
        <v>37432</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162272</v>
      </c>
      <c r="E13" s="1491"/>
    </row>
    <row r="14" spans="1:5" ht="15.75">
      <c r="A14" s="1491"/>
      <c r="B14" s="3450"/>
      <c r="C14" s="1494" t="s">
        <v>911</v>
      </c>
      <c r="D14" s="850" t="str">
        <f ca="1">NUMBERSTRING(INT(D13*10000),2)&amp;"元整"</f>
        <v>壹拾陆亿贰仟贰佰柒拾贰万元整</v>
      </c>
      <c r="E14" s="1491"/>
    </row>
    <row r="15" spans="1:5" ht="15">
      <c r="A15" s="1491"/>
      <c r="B15" s="3455"/>
      <c r="C15" s="1495" t="s">
        <v>921</v>
      </c>
      <c r="D15" s="859">
        <f ca="1">结果表!H108</f>
        <v>37432</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4.抵押净值</v>
      </c>
      <c r="C19" s="1499" t="s">
        <v>910</v>
      </c>
      <c r="D19" s="851">
        <f ca="1">结果表!H111</f>
        <v>117294</v>
      </c>
      <c r="E19" s="1491"/>
    </row>
    <row r="20" spans="1:5" ht="15.75">
      <c r="A20" s="1491"/>
      <c r="B20" s="3450"/>
      <c r="C20" s="1494" t="s">
        <v>923</v>
      </c>
      <c r="D20" s="850" t="str">
        <f ca="1">NUMBERSTRING(INT(D19*10000),2)&amp;"元整"</f>
        <v>壹拾壹亿柒仟贰佰玖拾肆万元整</v>
      </c>
      <c r="E20" s="1491"/>
    </row>
    <row r="21" spans="1:5" ht="15.75" thickBot="1">
      <c r="A21" s="1491"/>
      <c r="B21" s="3451"/>
      <c r="C21" s="1501" t="s">
        <v>921</v>
      </c>
      <c r="D21" s="860">
        <f ca="1">结果表!H112</f>
        <v>27056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74856</v>
      </c>
      <c r="C2" s="2" t="s">
        <v>106</v>
      </c>
      <c r="D2" s="199"/>
      <c r="E2" s="199"/>
      <c r="F2" s="199"/>
      <c r="G2" s="199"/>
    </row>
    <row r="3" spans="1:7" s="200" customFormat="1" ht="18" customHeight="1" thickBot="1">
      <c r="A3" s="203" t="s">
        <v>58</v>
      </c>
      <c r="B3" s="204">
        <f ca="1">ROUND(B2*10000/'数据-汇总表'!E3,0)</f>
        <v>17267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867</v>
      </c>
      <c r="D10" s="845">
        <f>'数据-汇总表'!E6</f>
        <v>43351.65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867</v>
      </c>
      <c r="D19" s="849">
        <f>'数据-汇总表'!E3</f>
        <v>43351.65</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73</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4381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4381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37108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34681</v>
      </c>
      <c r="D34" s="217"/>
      <c r="E34" s="220"/>
      <c r="F34" s="257">
        <f>IF('数据-取费表'!B24=0,1,'数据-取费表'!N16)</f>
        <v>1</v>
      </c>
      <c r="G34" s="219" t="s">
        <v>89</v>
      </c>
    </row>
    <row r="35" spans="1:7" ht="13.5" customHeight="1">
      <c r="A35" s="780" t="s">
        <v>351</v>
      </c>
      <c r="B35" s="215" t="s">
        <v>33</v>
      </c>
      <c r="C35" s="220">
        <f>ROUND(C34*F35,0)</f>
        <v>1040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867</v>
      </c>
      <c r="D37" s="217">
        <f>'数据-汇总表'!E3</f>
        <v>43351.65</v>
      </c>
      <c r="E37" s="249">
        <f>'数据-取费表'!B35</f>
        <v>200</v>
      </c>
      <c r="F37" s="259"/>
      <c r="G37" s="261" t="s">
        <v>92</v>
      </c>
    </row>
    <row r="38" spans="1:7" ht="13.5" customHeight="1">
      <c r="A38" s="780" t="s">
        <v>354</v>
      </c>
      <c r="B38" s="215" t="s">
        <v>36</v>
      </c>
      <c r="C38" s="220">
        <f>ROUND(C34*F38,0)</f>
        <v>520</v>
      </c>
      <c r="D38" s="220"/>
      <c r="E38" s="220"/>
      <c r="F38" s="259">
        <f>'数据-取费表'!B36</f>
        <v>1.4999999999999999E-2</v>
      </c>
      <c r="G38" s="219" t="s">
        <v>90</v>
      </c>
    </row>
    <row r="39" spans="1:7" s="214" customFormat="1" ht="13.5" customHeight="1">
      <c r="A39" s="777" t="s">
        <v>338</v>
      </c>
      <c r="B39" s="210" t="s">
        <v>77</v>
      </c>
      <c r="C39" s="232">
        <f>ROUND(C33*F20,0)</f>
        <v>742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1571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1540</v>
      </c>
      <c r="D42" s="238"/>
      <c r="E42" s="238"/>
      <c r="F42" s="239"/>
      <c r="G42" s="3631" t="s">
        <v>94</v>
      </c>
    </row>
    <row r="43" spans="1:7" ht="13.5" customHeight="1">
      <c r="A43" s="780" t="s">
        <v>347</v>
      </c>
      <c r="B43" s="215" t="s">
        <v>426</v>
      </c>
      <c r="C43" s="238">
        <f ca="1">ROUND(IF('数据-取费表'!B22&lt;=1,C39*F22*'数据-取费表'!B21/2,C39*(POWER((1+F22),'数据-取费表'!B21/2)-1)),0)</f>
        <v>31</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7570</v>
      </c>
      <c r="D45" s="235">
        <f>C47</f>
        <v>4.0000000000000001E-3</v>
      </c>
      <c r="E45" s="236" t="s">
        <v>102</v>
      </c>
      <c r="F45" s="246"/>
      <c r="G45" s="247" t="s">
        <v>434</v>
      </c>
    </row>
    <row r="46" spans="1:7" s="214" customFormat="1" ht="13.5" customHeight="1">
      <c r="A46" s="780" t="s">
        <v>349</v>
      </c>
      <c r="B46" s="248" t="s">
        <v>427</v>
      </c>
      <c r="C46" s="249">
        <f>ROUND((C33+C39)*F27,0)</f>
        <v>7570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50974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44347</v>
      </c>
      <c r="D51" s="232"/>
      <c r="E51" s="232"/>
      <c r="F51" s="264"/>
      <c r="G51" s="234" t="s">
        <v>37</v>
      </c>
    </row>
    <row r="52" spans="1:7" s="208" customFormat="1" ht="16.5" thickBot="1">
      <c r="A52" s="265" t="s">
        <v>38</v>
      </c>
      <c r="B52" s="266"/>
      <c r="C52" s="267">
        <f ca="1">C31+C51</f>
        <v>74856</v>
      </c>
      <c r="D52" s="266"/>
      <c r="E52" s="266"/>
      <c r="F52" s="266"/>
      <c r="G52" s="268"/>
    </row>
    <row r="55" spans="1:7" ht="15">
      <c r="B55" s="270" t="s">
        <v>39</v>
      </c>
      <c r="C55" s="271"/>
    </row>
    <row r="56" spans="1:7">
      <c r="B56" s="273" t="s">
        <v>40</v>
      </c>
      <c r="C56" s="274">
        <f ca="1">ROUND(C51/C52,3)</f>
        <v>0.59199999999999997</v>
      </c>
    </row>
    <row r="57" spans="1:7">
      <c r="B57" s="273" t="s">
        <v>41</v>
      </c>
      <c r="C57" s="275">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9" t="s">
        <v>2839</v>
      </c>
      <c r="B1" s="3769"/>
      <c r="C1" s="3769"/>
      <c r="D1" s="3769"/>
      <c r="E1" s="3769"/>
      <c r="F1" s="3769"/>
      <c r="G1" s="377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67" t="s">
        <v>2866</v>
      </c>
      <c r="B3" s="3227"/>
      <c r="C3" s="3228" t="s">
        <v>2805</v>
      </c>
      <c r="D3" s="3228" t="s">
        <v>2867</v>
      </c>
      <c r="E3" s="3228" t="s">
        <v>2807</v>
      </c>
      <c r="F3" s="3228" t="s">
        <v>2868</v>
      </c>
      <c r="G3" s="3228" t="s">
        <v>2625</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6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1" t="s">
        <v>3181</v>
      </c>
      <c r="B1" s="3771"/>
    </row>
    <row r="2" spans="1:7" ht="14.25" thickBot="1">
      <c r="A2" s="3252"/>
      <c r="B2" s="3252"/>
    </row>
    <row r="3" spans="1:7" ht="14.25" thickBot="1">
      <c r="A3" s="3252"/>
      <c r="B3" s="3252"/>
      <c r="C3" s="3253" t="s">
        <v>2805</v>
      </c>
      <c r="D3" s="3253" t="s">
        <v>2867</v>
      </c>
      <c r="E3" s="3253" t="s">
        <v>2807</v>
      </c>
      <c r="F3" s="3253" t="s">
        <v>2868</v>
      </c>
      <c r="G3" s="3253" t="s">
        <v>2625</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2" t="s">
        <v>3232</v>
      </c>
      <c r="B1" s="3772"/>
      <c r="C1" s="3772"/>
      <c r="D1" s="3772"/>
      <c r="E1" s="3772"/>
      <c r="F1" s="377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C22" sqref="C22:Q22"/>
    </sheetView>
  </sheetViews>
  <sheetFormatPr defaultRowHeight="13.5"/>
  <cols>
    <col min="1" max="1" width="13.875" customWidth="1"/>
  </cols>
  <sheetData>
    <row r="1" spans="1:30">
      <c r="A1" s="3218">
        <f>基准地价修正!G23</f>
        <v>44921</v>
      </c>
      <c r="B1" s="3207" t="s">
        <v>2838</v>
      </c>
      <c r="C1" s="3208"/>
      <c r="D1" s="3208"/>
      <c r="E1" s="3208"/>
      <c r="F1" s="3208"/>
      <c r="G1" s="3208"/>
      <c r="H1" s="3208"/>
      <c r="I1" s="3208"/>
      <c r="J1" s="3161"/>
      <c r="K1" s="3208" t="s">
        <v>454</v>
      </c>
      <c r="L1" s="3208"/>
      <c r="M1" s="3208"/>
      <c r="N1" s="3208"/>
      <c r="O1" s="3208"/>
      <c r="P1" s="3208"/>
      <c r="Q1" s="3161"/>
      <c r="R1" s="3774" t="s">
        <v>456</v>
      </c>
      <c r="S1" s="3775"/>
      <c r="T1" s="3775"/>
      <c r="U1" s="3775"/>
      <c r="V1" s="3775"/>
      <c r="W1" s="3775"/>
      <c r="X1" s="3161"/>
      <c r="Y1" s="3774" t="s">
        <v>457</v>
      </c>
      <c r="Z1" s="3775"/>
      <c r="AA1" s="3775"/>
      <c r="AB1" s="3775"/>
      <c r="AC1" s="3775"/>
      <c r="AD1" s="3775"/>
    </row>
    <row r="2" spans="1:30" s="3139" customFormat="1" ht="14.25" thickBot="1">
      <c r="B2" s="3140"/>
      <c r="C2" s="3141"/>
      <c r="D2" s="3142" t="s">
        <v>2804</v>
      </c>
      <c r="E2" s="3143" t="s">
        <v>2805</v>
      </c>
      <c r="F2" s="3143" t="s">
        <v>2806</v>
      </c>
      <c r="G2" s="3143" t="s">
        <v>2807</v>
      </c>
      <c r="H2" s="3143" t="s">
        <v>2808</v>
      </c>
      <c r="I2" s="3143" t="s">
        <v>2625</v>
      </c>
      <c r="J2" s="3144"/>
      <c r="K2" s="3142" t="s">
        <v>2804</v>
      </c>
      <c r="L2" s="3143" t="s">
        <v>2805</v>
      </c>
      <c r="M2" s="3143" t="s">
        <v>2806</v>
      </c>
      <c r="N2" s="3143" t="s">
        <v>2807</v>
      </c>
      <c r="O2" s="3143" t="s">
        <v>2809</v>
      </c>
      <c r="P2" s="3143" t="s">
        <v>2625</v>
      </c>
      <c r="Q2" s="3144"/>
      <c r="R2" s="3142" t="s">
        <v>2804</v>
      </c>
      <c r="S2" s="3143" t="s">
        <v>2805</v>
      </c>
      <c r="T2" s="3143" t="s">
        <v>2806</v>
      </c>
      <c r="U2" s="3143" t="s">
        <v>2810</v>
      </c>
      <c r="V2" s="3143" t="s">
        <v>2811</v>
      </c>
      <c r="W2" s="3143" t="s">
        <v>2625</v>
      </c>
      <c r="X2" s="3144"/>
      <c r="Y2" s="3142" t="s">
        <v>2804</v>
      </c>
      <c r="Z2" s="3143" t="s">
        <v>2805</v>
      </c>
      <c r="AA2" s="3143" t="s">
        <v>2806</v>
      </c>
      <c r="AB2" s="3143" t="s">
        <v>2812</v>
      </c>
      <c r="AC2" s="3143" t="s">
        <v>2811</v>
      </c>
      <c r="AD2" s="3143" t="s">
        <v>2625</v>
      </c>
    </row>
    <row r="3" spans="1:30" s="3157" customFormat="1" ht="12.75">
      <c r="A3" s="3145" t="s">
        <v>2813</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2814</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ROUND(IF([2]项目基本情况!B8="出让",SUMPRODUCT(PRODUCT(1+K5:K13)),SUMPRODUCT(PRODUCT(1+K5:K12))),4)</f>
        <v>1.05</v>
      </c>
      <c r="S5" s="3179">
        <f>ROUND(IF([2]项目基本情况!B8="出让",SUMPRODUCT(PRODUCT(1+L5:L13)),SUMPRODUCT(PRODUCT(1+L5:L12))),4)</f>
        <v>1.0229999999999999</v>
      </c>
      <c r="T5" s="3179">
        <f>ROUND(IF([2]项目基本情况!B8="出让",SUMPRODUCT(PRODUCT(1+M5:M13)),SUMPRODUCT(PRODUCT(1+M5:M12))),4)</f>
        <v>1.0134000000000001</v>
      </c>
      <c r="U5" s="3179">
        <f>ROUND(IF([2]项目基本情况!B8="出让",SUMPRODUCT(PRODUCT(1+N5:N13)),SUMPRODUCT(PRODUCT(1+N5:N12))),4)</f>
        <v>1.0545</v>
      </c>
      <c r="V5" s="3179">
        <f>ROUND(IF([2]项目基本情况!B8="出让",SUMPRODUCT(PRODUCT(1+O5:O13)),SUMPRODUCT(PRODUCT(1+O5:O12))),4)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2815</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ROUND(IF([2]项目基本情况!B8="出让",SUMPRODUCT(PRODUCT(1+K6:K13)),SUMPRODUCT(PRODUCT(1+K6:K12))),4)</f>
        <v>1.05</v>
      </c>
      <c r="S6" s="3179">
        <f>ROUND(IF([2]项目基本情况!B8="出让",SUMPRODUCT(PRODUCT(1+L6:L13)),SUMPRODUCT(PRODUCT(1+L6:L12))),4)</f>
        <v>1.0229999999999999</v>
      </c>
      <c r="T6" s="3179">
        <f>ROUND(IF([2]项目基本情况!B8="出让",SUMPRODUCT(PRODUCT(1+M6:M13)),SUMPRODUCT(PRODUCT(1+M6:M12))),4)</f>
        <v>1.0134000000000001</v>
      </c>
      <c r="U6" s="3179">
        <f>ROUND(IF([2]项目基本情况!B8="出让",SUMPRODUCT(PRODUCT(1+N6:N13)),SUMPRODUCT(PRODUCT(1+N6:N12))),4)</f>
        <v>1.0545</v>
      </c>
      <c r="V6" s="3179">
        <f>ROUND(IF([2]项目基本情况!B8="出让",SUMPRODUCT(PRODUCT(1+O6:O13)),SUMPRODUCT(PRODUCT(1+O6:O12))),4)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3354</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ROUND(IF([2]项目基本情况!B8="出让",SUMPRODUCT(PRODUCT(1+K7:K13)),SUMPRODUCT(PRODUCT(1+K7:K12))),4)</f>
        <v>1.05</v>
      </c>
      <c r="S7" s="3189">
        <f>ROUND(IF([2]项目基本情况!B8="出让",SUMPRODUCT(PRODUCT(1+L7:L13)),SUMPRODUCT(PRODUCT(1+L7:L12))),4)</f>
        <v>1.0229999999999999</v>
      </c>
      <c r="T7" s="3189">
        <f>ROUND(IF([2]项目基本情况!B8="出让",SUMPRODUCT(PRODUCT(1+M7:M13)),SUMPRODUCT(PRODUCT(1+M7:M12))),4)</f>
        <v>1.0134000000000001</v>
      </c>
      <c r="U7" s="3189">
        <f>ROUND(IF([2]项目基本情况!B8="出让",SUMPRODUCT(PRODUCT(1+N7:N13)),SUMPRODUCT(PRODUCT(1+N7:N12))),4)</f>
        <v>1.0545</v>
      </c>
      <c r="V7" s="3189">
        <f>ROUND(IF([2]项目基本情况!B8="出让",SUMPRODUCT(PRODUCT(1+O7:O13)),SUMPRODUCT(PRODUCT(1+O7:O12))),4)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3355</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ROUND(IF([2]项目基本情况!B8="出让",SUMPRODUCT(PRODUCT(1+K8:K13)),SUMPRODUCT(PRODUCT(1+K8:K12))),4)</f>
        <v>1.0430999999999999</v>
      </c>
      <c r="S8" s="3179">
        <f>ROUND(IF([2]项目基本情况!B8="出让",SUMPRODUCT(PRODUCT(1+L8:L13)),SUMPRODUCT(PRODUCT(1+L8:L12))),4)</f>
        <v>1.0197000000000001</v>
      </c>
      <c r="T8" s="3179">
        <f>ROUND(IF([2]项目基本情况!B8="出让",SUMPRODUCT(PRODUCT(1+M8:M13)),SUMPRODUCT(PRODUCT(1+M8:M12))),4)</f>
        <v>1.0109999999999999</v>
      </c>
      <c r="U8" s="3179">
        <f>ROUND(IF([2]项目基本情况!B8="出让",SUMPRODUCT(PRODUCT(1+N8:N13)),SUMPRODUCT(PRODUCT(1+N8:N12))),4)</f>
        <v>1.0468999999999999</v>
      </c>
      <c r="V8" s="3179">
        <f>ROUND(IF([2]项目基本情况!B8="出让",SUMPRODUCT(PRODUCT(1+O8:O13)),SUMPRODUCT(PRODUCT(1+O8:O12))),4)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2816</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ROUND(IF([2]项目基本情况!B8="出让",SUMPRODUCT(PRODUCT(1+K9:K13)),SUMPRODUCT(PRODUCT(1+K9:K12))),4)</f>
        <v>1.0335000000000001</v>
      </c>
      <c r="S9" s="3179">
        <f>ROUND(IF([2]项目基本情况!B8="出让",SUMPRODUCT(PRODUCT(1+L9:L13)),SUMPRODUCT(PRODUCT(1+L9:L12))),4)</f>
        <v>1.0182</v>
      </c>
      <c r="T9" s="3179">
        <f>ROUND(IF([2]项目基本情况!B8="出让",SUMPRODUCT(PRODUCT(1+M9:M13)),SUMPRODUCT(PRODUCT(1+M9:M12))),4)</f>
        <v>1.0108999999999999</v>
      </c>
      <c r="U9" s="3179">
        <f>ROUND(IF([2]项目基本情况!B8="出让",SUMPRODUCT(PRODUCT(1+N9:N13)),SUMPRODUCT(PRODUCT(1+N9:N12))),4)</f>
        <v>1.0361</v>
      </c>
      <c r="V9" s="3179">
        <f>ROUND(IF([2]项目基本情况!B8="出让",SUMPRODUCT(PRODUCT(1+O9:O13)),SUMPRODUCT(PRODUCT(1+O9:O12))),4)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2817</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ROUND(IF([2]项目基本情况!B8="出让",SUMPRODUCT(PRODUCT(1+K10:K13)),SUMPRODUCT(PRODUCT(1+K10:K12))),4)</f>
        <v>1.0244</v>
      </c>
      <c r="S10" s="3179">
        <f>ROUND(IF([2]项目基本情况!B8="出让",SUMPRODUCT(PRODUCT(1+L10:L13)),SUMPRODUCT(PRODUCT(1+L10:L12))),4)</f>
        <v>1.0138</v>
      </c>
      <c r="T10" s="3179">
        <f>ROUND(IF([2]项目基本情况!B8="出让",SUMPRODUCT(PRODUCT(1+M10:M13)),SUMPRODUCT(PRODUCT(1+M10:M12))),4)</f>
        <v>1.0072000000000001</v>
      </c>
      <c r="U10" s="3179">
        <f>ROUND(IF([2]项目基本情况!B8="出让",SUMPRODUCT(PRODUCT(1+N10:N13)),SUMPRODUCT(PRODUCT(1+N10:N12))),4)</f>
        <v>1.0262</v>
      </c>
      <c r="V10" s="3179">
        <f>ROUND(IF([2]项目基本情况!B8="出让",SUMPRODUCT(PRODUCT(1+O10:O13)),SUMPRODUCT(PRODUCT(1+O10:O12))),4)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2818</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ROUND(IF([2]项目基本情况!B8="出让",SUMPRODUCT(PRODUCT(1+K11:K13)),SUMPRODUCT(PRODUCT(1+K11:K12))),4)</f>
        <v>1.0139</v>
      </c>
      <c r="S11" s="3179">
        <f>ROUND(IF([2]项目基本情况!B8="出让",SUMPRODUCT(PRODUCT(1+L11:L13)),SUMPRODUCT(PRODUCT(1+L11:L12))),4)</f>
        <v>1.0113000000000001</v>
      </c>
      <c r="T11" s="3179">
        <f>ROUND(IF([2]项目基本情况!B8="出让",SUMPRODUCT(PRODUCT(1+M11:M13)),SUMPRODUCT(PRODUCT(1+M11:M12))),4)</f>
        <v>1.0065</v>
      </c>
      <c r="U11" s="3179">
        <f>ROUND(IF([2]项目基本情况!B8="出让",SUMPRODUCT(PRODUCT(1+N11:N13)),SUMPRODUCT(PRODUCT(1+N11:N12))),4)</f>
        <v>1.0143</v>
      </c>
      <c r="V11" s="3179">
        <f>ROUND(IF([2]项目基本情况!B8="出让",SUMPRODUCT(PRODUCT(1+O11:O13)),SUMPRODUCT(PRODUCT(1+O11:O12))),4)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2819</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ROUND(IF([2]项目基本情况!B8="出让",SUMPRODUCT(PRODUCT(1+K12:K13)),SUMPRODUCT(PRODUCT(1+K12:K12))),4)</f>
        <v>1.0092000000000001</v>
      </c>
      <c r="S12" s="3179">
        <f>ROUND(IF([2]项目基本情况!B8="出让",SUMPRODUCT(PRODUCT(1+L12:L13)),SUMPRODUCT(PRODUCT(1+L12:L12))),4)</f>
        <v>1.0072000000000001</v>
      </c>
      <c r="T12" s="3179">
        <f>ROUND(IF([2]项目基本情况!B8="出让",SUMPRODUCT(PRODUCT(1+M12:M13)),SUMPRODUCT(PRODUCT(1+M12:M12))),4)</f>
        <v>1.0041</v>
      </c>
      <c r="U12" s="3179">
        <f>ROUND(IF([2]项目基本情况!B8="出让",SUMPRODUCT(PRODUCT(1+N12:N13)),SUMPRODUCT(PRODUCT(1+N12:N12))),4)</f>
        <v>1.0095000000000001</v>
      </c>
      <c r="V12" s="3179">
        <f>ROUND(IF([2]项目基本情况!B8="出让",SUMPRODUCT(PRODUCT(1+O12:O13)),SUMPRODUCT(PRODUCT(1+O12:O12))),4)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2820</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2821</v>
      </c>
    </row>
    <row r="17" spans="1:30" s="3005" customFormat="1"/>
    <row r="18" spans="1:30" s="3206" customFormat="1" ht="12.75">
      <c r="B18" s="3207" t="s">
        <v>2822</v>
      </c>
      <c r="C18" s="3208"/>
      <c r="D18" s="3208"/>
      <c r="E18" s="3208"/>
      <c r="F18" s="3208"/>
      <c r="G18" s="3208"/>
      <c r="H18" s="3208"/>
      <c r="I18" s="3208"/>
      <c r="J18" s="3161"/>
      <c r="K18" s="3208" t="s">
        <v>2823</v>
      </c>
      <c r="L18" s="3208"/>
      <c r="M18" s="3208"/>
      <c r="N18" s="3208"/>
      <c r="O18" s="3208"/>
      <c r="P18" s="3208"/>
      <c r="Q18" s="3161"/>
      <c r="R18" s="3774" t="s">
        <v>2824</v>
      </c>
      <c r="S18" s="3775"/>
      <c r="T18" s="3775"/>
      <c r="U18" s="3775"/>
      <c r="V18" s="3775"/>
      <c r="W18" s="3775"/>
      <c r="X18" s="3161"/>
      <c r="Y18" s="3774" t="s">
        <v>2825</v>
      </c>
      <c r="Z18" s="3775"/>
      <c r="AA18" s="3775"/>
      <c r="AB18" s="3775"/>
      <c r="AC18" s="3775"/>
      <c r="AD18" s="3775"/>
    </row>
    <row r="19" spans="1:30" s="3139" customFormat="1" ht="14.25" thickBot="1">
      <c r="B19" s="3140"/>
      <c r="C19" s="3141"/>
      <c r="D19" s="3142" t="s">
        <v>2826</v>
      </c>
      <c r="E19" s="3143" t="s">
        <v>2827</v>
      </c>
      <c r="F19" s="3143" t="s">
        <v>2828</v>
      </c>
      <c r="G19" s="3143" t="s">
        <v>2829</v>
      </c>
      <c r="H19" s="3143"/>
      <c r="I19" s="3143" t="s">
        <v>2830</v>
      </c>
      <c r="J19" s="3144"/>
      <c r="K19" s="3142" t="s">
        <v>2826</v>
      </c>
      <c r="L19" s="3143" t="s">
        <v>2827</v>
      </c>
      <c r="M19" s="3143" t="s">
        <v>2828</v>
      </c>
      <c r="N19" s="3143" t="s">
        <v>2829</v>
      </c>
      <c r="O19" s="3143"/>
      <c r="P19" s="3143" t="s">
        <v>2830</v>
      </c>
      <c r="Q19" s="3144"/>
      <c r="R19" s="3142" t="s">
        <v>2826</v>
      </c>
      <c r="S19" s="3143" t="s">
        <v>2827</v>
      </c>
      <c r="T19" s="3143" t="s">
        <v>2828</v>
      </c>
      <c r="U19" s="3143" t="s">
        <v>2829</v>
      </c>
      <c r="V19" s="3143"/>
      <c r="W19" s="3143" t="s">
        <v>2830</v>
      </c>
      <c r="X19" s="3144"/>
      <c r="Y19" s="3142" t="s">
        <v>2826</v>
      </c>
      <c r="Z19" s="3143" t="s">
        <v>2827</v>
      </c>
      <c r="AA19" s="3143" t="s">
        <v>2828</v>
      </c>
      <c r="AB19" s="3143" t="s">
        <v>2829</v>
      </c>
      <c r="AC19" s="3143"/>
      <c r="AD19" s="3143" t="s">
        <v>2830</v>
      </c>
    </row>
    <row r="20" spans="1:30" s="3157" customFormat="1" ht="12.75">
      <c r="A20" s="3145" t="s">
        <v>2831</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2832</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ROUND(IF([2]项目基本情况!$B$8="出让",SUMPRODUCT(PRODUCT(1+L22:L$30)),SUMPRODUCT(PRODUCT(1+L22:L$29))),4)</f>
        <v>1.0241</v>
      </c>
      <c r="T22" s="3179">
        <f>ROUND(IF([2]项目基本情况!$B$8="出让",SUMPRODUCT(PRODUCT(1+M22:M$30)),SUMPRODUCT(PRODUCT(1+M22:M$29))),4)</f>
        <v>1.0144</v>
      </c>
      <c r="U22" s="3179">
        <f>ROUND(IF([2]项目基本情况!$B$8="出让",SUMPRODUCT(PRODUCT(1+N22:N$30)),SUMPRODUCT(PRODUCT(1+N22:N$29))),4)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2833</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ROUND(IF([2]项目基本情况!$B$8="出让",SUMPRODUCT(PRODUCT(1+L23:L$30)),SUMPRODUCT(PRODUCT(1+L23:L$29))),4)</f>
        <v>1.0241</v>
      </c>
      <c r="T23" s="3179">
        <f>ROUND(IF([2]项目基本情况!$B$8="出让",SUMPRODUCT(PRODUCT(1+M23:M$30)),SUMPRODUCT(PRODUCT(1+M23:M$29))),4)</f>
        <v>1.0144</v>
      </c>
      <c r="U23" s="3179">
        <f>ROUND(IF([2]项目基本情况!$B$8="出让",SUMPRODUCT(PRODUCT(1+N23:N$30)),SUMPRODUCT(PRODUCT(1+N23:N$29))),4)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3356</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ROUND(IF([2]项目基本情况!$B$8="出让",SUMPRODUCT(PRODUCT(1+L24:L$30)),SUMPRODUCT(PRODUCT(1+L24:L$29))),4)</f>
        <v>1.0241</v>
      </c>
      <c r="T24" s="3189">
        <f>ROUND(IF([2]项目基本情况!$B$8="出让",SUMPRODUCT(PRODUCT(1+M24:M$30)),SUMPRODUCT(PRODUCT(1+M24:M$29))),4)</f>
        <v>1.0144</v>
      </c>
      <c r="U24" s="3189">
        <f>ROUND(IF([2]项目基本情况!$B$8="出让",SUMPRODUCT(PRODUCT(1+N24:N$30)),SUMPRODUCT(PRODUCT(1+N24:N$29))),4)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3355</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ROUND(IF([2]项目基本情况!$B$8="出让",SUMPRODUCT(PRODUCT(1+L25:L$30)),SUMPRODUCT(PRODUCT(1+L25:L$29))),4)</f>
        <v>1.0210999999999999</v>
      </c>
      <c r="T25" s="3179">
        <f>ROUND(IF([2]项目基本情况!$B$8="出让",SUMPRODUCT(PRODUCT(1+M25:M$30)),SUMPRODUCT(PRODUCT(1+M25:M$29))),4)</f>
        <v>1.0114000000000001</v>
      </c>
      <c r="U25" s="3179">
        <f>ROUND(IF([2]项目基本情况!$B$8="出让",SUMPRODUCT(PRODUCT(1+N25:N$30)),SUMPRODUCT(PRODUCT(1+N25:N$29))),4)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2834</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ROUND(IF([2]项目基本情况!$B$8="出让",SUMPRODUCT(PRODUCT(1+L26:L$30)),SUMPRODUCT(PRODUCT(1+L26:L$29))),4)</f>
        <v>1.0222</v>
      </c>
      <c r="T26" s="3179">
        <f>ROUND(IF([2]项目基本情况!$B$8="出让",SUMPRODUCT(PRODUCT(1+M26:M$30)),SUMPRODUCT(PRODUCT(1+M26:M$29))),4)</f>
        <v>1.0127999999999999</v>
      </c>
      <c r="U26" s="3179">
        <f>ROUND(IF([2]项目基本情况!$B$8="出让",SUMPRODUCT(PRODUCT(1+N26:N$30)),SUMPRODUCT(PRODUCT(1+N26:N$29))),4)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2835</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ROUND(IF([2]项目基本情况!$B$8="出让",SUMPRODUCT(PRODUCT(1+L27:L$30)),SUMPRODUCT(PRODUCT(1+L27:L$29))),4)</f>
        <v>1.0161</v>
      </c>
      <c r="T27" s="3179">
        <f>ROUND(IF([2]项目基本情况!$B$8="出让",SUMPRODUCT(PRODUCT(1+M27:M$30)),SUMPRODUCT(PRODUCT(1+M27:M$29))),4)</f>
        <v>1.0082</v>
      </c>
      <c r="U27" s="3179">
        <f>ROUND(IF([2]项目基本情况!$B$8="出让",SUMPRODUCT(PRODUCT(1+N27:N$30)),SUMPRODUCT(PRODUCT(1+N27:N$29))),4)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2836</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ROUND(IF([2]项目基本情况!$B$8="出让",SUMPRODUCT(PRODUCT(1+L28:L$30)),SUMPRODUCT(PRODUCT(1+L28:L$29))),4)</f>
        <v>1.0102</v>
      </c>
      <c r="T28" s="3179">
        <f>ROUND(IF([2]项目基本情况!$B$8="出让",SUMPRODUCT(PRODUCT(1+M28:M$30)),SUMPRODUCT(PRODUCT(1+M28:M$29))),4)</f>
        <v>1.0074000000000001</v>
      </c>
      <c r="U28" s="3179">
        <f>ROUND(IF([2]项目基本情况!$B$8="出让",SUMPRODUCT(PRODUCT(1+N28:N$30)),SUMPRODUCT(PRODUCT(1+N28:N$29))),4)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2837</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ROUND(IF([2]项目基本情况!$B$8="出让",SUMPRODUCT(PRODUCT(1+L29:L$30)),SUMPRODUCT(PRODUCT(1+L29:L$29))),4)</f>
        <v>1.0055000000000001</v>
      </c>
      <c r="T29" s="3179">
        <f>ROUND(IF([2]项目基本情况!$B$8="出让",SUMPRODUCT(PRODUCT(1+M29:M$30)),SUMPRODUCT(PRODUCT(1+M29:M$29))),4)</f>
        <v>1.0045999999999999</v>
      </c>
      <c r="U29" s="3179">
        <f>ROUND(IF([2]项目基本情况!$B$8="出让",SUMPRODUCT(PRODUCT(1+N29:N$30)),SUMPRODUCT(PRODUCT(1+N29:N$29))),4)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2820</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30">
      <c r="A4" s="1505" t="str">
        <f>项目基本情况!S2</f>
        <v>北京市东城区王府井大街57号2幢1层房地产</v>
      </c>
      <c r="B4" s="854">
        <f>项目基本情况!C17</f>
        <v>43351.65</v>
      </c>
      <c r="C4" s="854">
        <f>项目基本情况!C18</f>
        <v>9622.35</v>
      </c>
      <c r="D4" s="854">
        <f ca="1">结果表!D118</f>
        <v>124300</v>
      </c>
      <c r="E4" s="854">
        <f ca="1">结果表!E118</f>
        <v>28673</v>
      </c>
      <c r="F4" s="854">
        <f ca="1">结果表!F118</f>
        <v>37972</v>
      </c>
      <c r="G4" s="854">
        <f ca="1">结果表!G118</f>
        <v>8759</v>
      </c>
      <c r="H4" s="854">
        <f ca="1">结果表!H118</f>
        <v>162272</v>
      </c>
      <c r="I4" s="854">
        <f ca="1">结果表!I118</f>
        <v>37432</v>
      </c>
    </row>
    <row r="5" spans="1:9" ht="30" customHeight="1">
      <c r="A5" s="3461" t="s">
        <v>927</v>
      </c>
      <c r="B5" s="3461"/>
      <c r="C5" s="3461"/>
      <c r="D5" s="3461" t="str">
        <f ca="1">结果表!D119</f>
        <v>壹拾贰亿肆仟叁佰万元整</v>
      </c>
      <c r="E5" s="3461"/>
      <c r="F5" s="3461" t="str">
        <f ca="1">结果表!F119</f>
        <v>叁亿柒仟玖佰柒拾贰万元整</v>
      </c>
      <c r="G5" s="3461"/>
      <c r="H5" s="3461" t="str">
        <f ca="1">结果表!H119</f>
        <v>壹拾陆亿贰仟贰佰柒拾贰万元整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162272</v>
      </c>
      <c r="E8" s="3462"/>
      <c r="F8" s="3462"/>
      <c r="G8" s="3462"/>
      <c r="H8" s="3462"/>
      <c r="I8" s="3462"/>
    </row>
    <row r="9" spans="1:9" ht="15">
      <c r="A9" s="3461" t="s">
        <v>927</v>
      </c>
      <c r="B9" s="3461"/>
      <c r="C9" s="3461"/>
      <c r="D9" s="3461" t="str">
        <f ca="1">结果表!D123</f>
        <v>壹拾陆亿贰仟贰佰柒拾贰万元整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抵押净值</v>
      </c>
      <c r="B12" s="3462"/>
      <c r="C12" s="3462"/>
      <c r="D12" s="3462">
        <f ca="1">结果表!D126</f>
        <v>117294</v>
      </c>
      <c r="E12" s="3462"/>
      <c r="F12" s="3462"/>
      <c r="G12" s="3462"/>
      <c r="H12" s="3462"/>
      <c r="I12" s="3462"/>
    </row>
    <row r="13" spans="1:9" ht="15.75" thickBot="1">
      <c r="A13" s="3466" t="s">
        <v>927</v>
      </c>
      <c r="B13" s="3466"/>
      <c r="C13" s="3466"/>
      <c r="D13" s="3466" t="str">
        <f ca="1">结果表!D127</f>
        <v>壹拾壹亿柒仟贰佰玖拾肆万元整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8" t="s">
        <v>949</v>
      </c>
      <c r="B1" s="3468"/>
      <c r="C1" s="3468"/>
      <c r="D1" s="3468"/>
    </row>
    <row r="2" spans="1:4" ht="18">
      <c r="A2" s="3469" t="s">
        <v>933</v>
      </c>
      <c r="B2" s="3469"/>
      <c r="C2" s="3469"/>
      <c r="D2" s="346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9" t="s">
        <v>939</v>
      </c>
      <c r="B6" s="3469"/>
      <c r="C6" s="3469"/>
      <c r="D6" s="34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44922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2022-12-27T08:23:14Z</dcterms:modified>
</cp:coreProperties>
</file>