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AL16" i="3" l="1"/>
  <c r="B29"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AZ80" i="3"/>
  <c r="AZ84" i="3"/>
  <c r="AZ88" i="3"/>
  <c r="AZ107" i="3"/>
  <c r="AZ111" i="3"/>
  <c r="K12" i="1"/>
  <c r="M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14" i="6"/>
  <c r="E63" i="39" s="1"/>
  <c r="E5" i="6"/>
  <c r="E32" i="6"/>
  <c r="L19" i="6"/>
  <c r="L27" i="6" s="1"/>
  <c r="G1" i="68"/>
  <c r="K1" i="12"/>
  <c r="AR12" i="1"/>
  <c r="AQ12" i="1"/>
  <c r="T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H66" i="43"/>
  <c r="H65" i="43"/>
  <c r="H64" i="43"/>
  <c r="H63" i="43"/>
  <c r="H55" i="43"/>
  <c r="H56" i="43"/>
  <c r="H72" i="43"/>
  <c r="L20" i="6"/>
  <c r="E56" i="39"/>
  <c r="B6" i="1"/>
  <c r="E6" i="1" s="1"/>
  <c r="S8" i="1"/>
  <c r="AQ8" i="1" s="1"/>
  <c r="K11" i="1"/>
  <c r="M11" i="1" s="1"/>
  <c r="AP6" i="1"/>
  <c r="B9" i="1"/>
  <c r="E9" i="1"/>
  <c r="K7" i="1"/>
  <c r="Q16" i="1" s="1"/>
  <c r="F27" i="68"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7" i="15"/>
  <c r="E2" i="68"/>
  <c r="C76" i="67"/>
  <c r="L48" i="15"/>
  <c r="D2" i="33"/>
  <c r="E2" i="69"/>
  <c r="F38" i="15"/>
  <c r="B7" i="76"/>
  <c r="AO10" i="1"/>
  <c r="L47" i="15"/>
  <c r="C76" i="15"/>
  <c r="F40" i="15"/>
  <c r="D3" i="73"/>
  <c r="J15" i="15"/>
  <c r="M8" i="67"/>
  <c r="B13" i="76"/>
  <c r="F6" i="15"/>
  <c r="D2" i="36"/>
  <c r="M6" i="67"/>
  <c r="M28" i="67"/>
  <c r="F43" i="15"/>
  <c r="F20" i="31"/>
  <c r="M26" i="15"/>
  <c r="B9" i="76"/>
  <c r="E11" i="76"/>
  <c r="F40" i="67"/>
  <c r="E7" i="76"/>
  <c r="J15" i="67"/>
  <c r="F3" i="73"/>
  <c r="E13" i="76"/>
  <c r="F13" i="15"/>
  <c r="F42" i="67"/>
  <c r="B8" i="76"/>
  <c r="M28" i="15"/>
  <c r="M29" i="15"/>
  <c r="F37" i="15"/>
  <c r="D2" i="34"/>
  <c r="AO7" i="1"/>
  <c r="F6" i="73"/>
  <c r="M9" i="67"/>
  <c r="M9" i="15"/>
  <c r="M29" i="67"/>
  <c r="D4" i="73"/>
  <c r="D2" i="21"/>
  <c r="D7" i="73"/>
  <c r="F38" i="67"/>
  <c r="AO11" i="1"/>
  <c r="F35" i="67"/>
  <c r="M8" i="15"/>
  <c r="M23" i="15"/>
  <c r="M27" i="67"/>
  <c r="F9" i="15"/>
  <c r="F4" i="73"/>
  <c r="E8" i="76"/>
  <c r="F16" i="67"/>
  <c r="F26" i="15"/>
  <c r="F36" i="67"/>
  <c r="M6" i="15"/>
  <c r="L48" i="67"/>
  <c r="M24" i="15"/>
  <c r="F7" i="73"/>
  <c r="M24" i="67"/>
  <c r="F36" i="15"/>
  <c r="D6" i="73"/>
  <c r="F37" i="67"/>
  <c r="F41" i="67"/>
  <c r="M26" i="67"/>
  <c r="M22" i="67"/>
  <c r="F5" i="73"/>
  <c r="F43" i="67"/>
  <c r="E9" i="76"/>
  <c r="E10" i="76"/>
  <c r="AO9" i="1"/>
  <c r="M23" i="67"/>
  <c r="F13" i="67"/>
  <c r="F16" i="15"/>
  <c r="AO13" i="1"/>
  <c r="F8" i="15"/>
  <c r="L47" i="67"/>
  <c r="F42" i="15"/>
  <c r="B12" i="76"/>
  <c r="B10" i="76"/>
  <c r="D2" i="37"/>
  <c r="M27" i="15"/>
  <c r="AO12" i="1"/>
  <c r="AO8" i="1"/>
  <c r="F6" i="67"/>
  <c r="F8" i="67"/>
  <c r="F9" i="67"/>
  <c r="D2" i="35"/>
  <c r="F26" i="67"/>
  <c r="M21" i="67"/>
  <c r="B11" i="76"/>
  <c r="D5" i="73"/>
  <c r="M22" i="15"/>
  <c r="F7" i="67"/>
  <c r="E12" i="76"/>
  <c r="C21" i="68" l="1"/>
  <c r="C40" i="69"/>
  <c r="P61" i="15"/>
  <c r="C94" i="9"/>
  <c r="C92" i="9"/>
  <c r="C5" i="11"/>
  <c r="F32" i="15"/>
  <c r="F60" i="15" s="1"/>
  <c r="F31" i="12"/>
  <c r="F54" i="9"/>
  <c r="M18" i="15"/>
  <c r="M18" i="67"/>
  <c r="F30" i="68"/>
  <c r="F48" i="68" s="1"/>
  <c r="C24" i="12"/>
  <c r="D68" i="9"/>
  <c r="F28" i="15"/>
  <c r="C28" i="15" s="1"/>
  <c r="F30" i="69"/>
  <c r="F32" i="67"/>
  <c r="F60" i="67" s="1"/>
  <c r="F52" i="9"/>
  <c r="F28" i="67"/>
  <c r="C28" i="67" s="1"/>
  <c r="F30" i="11"/>
  <c r="F53" i="9"/>
  <c r="C21" i="69"/>
  <c r="D22" i="67"/>
  <c r="E2" i="70"/>
  <c r="T35" i="4"/>
  <c r="A19" i="51" s="1"/>
  <c r="B14" i="72" s="1"/>
  <c r="I14" i="74"/>
  <c r="B8" i="74" s="1"/>
  <c r="D127" i="9"/>
  <c r="D13" i="52" s="1"/>
  <c r="D12" i="52"/>
  <c r="D10" i="52"/>
  <c r="D125" i="9"/>
  <c r="D11" i="52" s="1"/>
  <c r="H14" i="74"/>
  <c r="B7" i="74" s="1"/>
  <c r="D17" i="53"/>
  <c r="B36" i="72" s="1"/>
  <c r="AA5" i="71"/>
  <c r="AB5" i="71"/>
  <c r="Y5" i="71"/>
  <c r="Z5" i="71" s="1"/>
  <c r="X5" i="71"/>
  <c r="D67" i="39"/>
  <c r="D69" i="39" s="1"/>
  <c r="C77" i="9"/>
  <c r="C74" i="9" s="1"/>
  <c r="C13" i="12"/>
  <c r="C48" i="69"/>
  <c r="T10" i="1"/>
  <c r="BL18" i="3"/>
  <c r="AZ19" i="3"/>
  <c r="G21" i="3"/>
  <c r="BL22" i="3"/>
  <c r="AZ22" i="3" s="1"/>
  <c r="G23" i="3"/>
  <c r="G5" i="3"/>
  <c r="B3" i="3" s="1"/>
  <c r="E516" i="3" s="1"/>
  <c r="E302" i="3"/>
  <c r="E213" i="3"/>
  <c r="E304" i="3"/>
  <c r="E175" i="3"/>
  <c r="E530" i="3"/>
  <c r="E343" i="3"/>
  <c r="E305" i="3"/>
  <c r="E508" i="3"/>
  <c r="E347" i="3"/>
  <c r="AA6" i="3"/>
  <c r="E399" i="3"/>
  <c r="E280" i="3"/>
  <c r="E124" i="3"/>
  <c r="E397" i="3"/>
  <c r="E568" i="3"/>
  <c r="I6" i="3"/>
  <c r="E536" i="3"/>
  <c r="E549" i="3"/>
  <c r="E453" i="3"/>
  <c r="E368" i="3"/>
  <c r="E244" i="3"/>
  <c r="E196" i="3"/>
  <c r="E156" i="3"/>
  <c r="E148" i="3"/>
  <c r="M7" i="1"/>
  <c r="F22" i="43"/>
  <c r="K101" i="43"/>
  <c r="N101" i="43"/>
  <c r="G101" i="43"/>
  <c r="J101" i="43"/>
  <c r="L101" i="43"/>
  <c r="D101" i="43"/>
  <c r="I101" i="43"/>
  <c r="G22" i="43"/>
  <c r="AH11" i="43"/>
  <c r="AH13" i="43" s="1"/>
  <c r="AD11" i="43"/>
  <c r="AD13" i="43" s="1"/>
  <c r="Z11" i="43"/>
  <c r="Z13" i="43" s="1"/>
  <c r="AG11" i="43"/>
  <c r="AG13" i="43" s="1"/>
  <c r="AC11" i="43"/>
  <c r="AC13" i="43" s="1"/>
  <c r="Y11" i="43"/>
  <c r="Y13" i="43"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J22" i="43"/>
  <c r="BL20" i="3"/>
  <c r="BA21" i="3"/>
  <c r="AZ21" i="3" s="1"/>
  <c r="T9" i="1"/>
  <c r="AQ9" i="1"/>
  <c r="G29" i="6"/>
  <c r="G30" i="6" s="1"/>
  <c r="G31" i="6" s="1"/>
  <c r="F29" i="6"/>
  <c r="BL15" i="3"/>
  <c r="BA23" i="3"/>
  <c r="AZ23" i="3" s="1"/>
  <c r="E59" i="40"/>
  <c r="E15" i="6"/>
  <c r="E64" i="39" s="1"/>
  <c r="BA18" i="3"/>
  <c r="BA20" i="3"/>
  <c r="K14" i="1"/>
  <c r="E60" i="40"/>
  <c r="AR7" i="1"/>
  <c r="T7" i="1"/>
  <c r="AR13" i="1"/>
  <c r="AQ13" i="1"/>
  <c r="T13" i="1"/>
  <c r="F27" i="69"/>
  <c r="C47" i="69" s="1"/>
  <c r="D45" i="69" s="1"/>
  <c r="F28" i="12"/>
  <c r="C29" i="12" s="1"/>
  <c r="D28" i="12" s="1"/>
  <c r="F27" i="11"/>
  <c r="I105" i="43"/>
  <c r="C36" i="69"/>
  <c r="AR8" i="1"/>
  <c r="T8" i="1"/>
  <c r="C102" i="43"/>
  <c r="S4" i="43" s="1"/>
  <c r="D115" i="43"/>
  <c r="E115" i="43" s="1"/>
  <c r="F115" i="43" s="1"/>
  <c r="G115" i="43" s="1"/>
  <c r="H115" i="43" s="1"/>
  <c r="B117" i="43"/>
  <c r="C117" i="43" s="1"/>
  <c r="D116" i="43"/>
  <c r="E116" i="43" s="1"/>
  <c r="F116" i="43" s="1"/>
  <c r="G116" i="43" s="1"/>
  <c r="H116" i="43" s="1"/>
  <c r="D9" i="11"/>
  <c r="C9" i="11" s="1"/>
  <c r="D19" i="12"/>
  <c r="C19" i="12" s="1"/>
  <c r="D9" i="68"/>
  <c r="C9" i="68" s="1"/>
  <c r="J104" i="43"/>
  <c r="J103" i="43"/>
  <c r="J109" i="43"/>
  <c r="G105" i="43"/>
  <c r="G102" i="43"/>
  <c r="G103" i="43"/>
  <c r="G106" i="43"/>
  <c r="G109" i="43"/>
  <c r="N102" i="43"/>
  <c r="N103" i="43"/>
  <c r="N106" i="43"/>
  <c r="N104" i="43"/>
  <c r="K103" i="43"/>
  <c r="K107" i="43"/>
  <c r="K104" i="43"/>
  <c r="K105" i="43"/>
  <c r="K109" i="43"/>
  <c r="F27" i="6"/>
  <c r="E51" i="40"/>
  <c r="I109" i="43"/>
  <c r="I102" i="43"/>
  <c r="I106" i="43"/>
  <c r="I103" i="43"/>
  <c r="D109" i="43"/>
  <c r="D103" i="43"/>
  <c r="D104" i="43"/>
  <c r="D107" i="43"/>
  <c r="AQ11" i="1"/>
  <c r="T11" i="1"/>
  <c r="AR11" i="1"/>
  <c r="C104" i="43"/>
  <c r="C106" i="43"/>
  <c r="C105" i="43"/>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M6" i="1"/>
  <c r="H16" i="1"/>
  <c r="E12" i="6"/>
  <c r="E11" i="6"/>
  <c r="E60" i="39" s="1"/>
  <c r="E10" i="6"/>
  <c r="E13" i="6"/>
  <c r="O12" i="1"/>
  <c r="P12" i="1" s="1"/>
  <c r="O8" i="1"/>
  <c r="O11" i="1"/>
  <c r="P11" i="1" s="1"/>
  <c r="O9" i="1"/>
  <c r="P9" i="1" s="1"/>
  <c r="F30" i="6"/>
  <c r="F31" i="6" s="1"/>
  <c r="E29" i="6"/>
  <c r="C115" i="43"/>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29" i="68"/>
  <c r="D27" i="68" s="1"/>
  <c r="F45" i="68"/>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7" i="15"/>
  <c r="C16" i="67"/>
  <c r="G1" i="73"/>
  <c r="C16" i="15"/>
  <c r="C30" i="68" l="1"/>
  <c r="C48" i="68"/>
  <c r="C30" i="11"/>
  <c r="C48" i="11"/>
  <c r="F48" i="69"/>
  <c r="C30" i="69"/>
  <c r="C29" i="69"/>
  <c r="D27" i="69" s="1"/>
  <c r="F45" i="69"/>
  <c r="AZ20" i="3"/>
  <c r="E236" i="3"/>
  <c r="E136" i="3"/>
  <c r="E262" i="3"/>
  <c r="E296" i="3"/>
  <c r="E306" i="3"/>
  <c r="E434" i="3"/>
  <c r="AK6" i="3"/>
  <c r="E16" i="3"/>
  <c r="E511" i="3"/>
  <c r="E314" i="3"/>
  <c r="E293" i="3"/>
  <c r="E246" i="3"/>
  <c r="E336" i="3"/>
  <c r="X6" i="3"/>
  <c r="E583" i="3"/>
  <c r="E328" i="3"/>
  <c r="E426" i="3"/>
  <c r="E153" i="3"/>
  <c r="E501" i="3"/>
  <c r="E319" i="3"/>
  <c r="E53" i="3"/>
  <c r="E565" i="3"/>
  <c r="E17" i="3"/>
  <c r="E509"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261" i="3"/>
  <c r="E528" i="3"/>
  <c r="E183" i="3"/>
  <c r="E361" i="3"/>
  <c r="E503" i="3"/>
  <c r="E239" i="3"/>
  <c r="E237" i="3"/>
  <c r="E114" i="3"/>
  <c r="E415" i="3"/>
  <c r="E395" i="3"/>
  <c r="E260" i="3"/>
  <c r="E550" i="3"/>
  <c r="O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69" i="3"/>
  <c r="E563" i="3"/>
  <c r="E445"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278" i="3"/>
  <c r="E172" i="3"/>
  <c r="E535" i="3"/>
  <c r="E388"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264" i="3"/>
  <c r="E222" i="3"/>
  <c r="E283" i="3"/>
  <c r="E323" i="3"/>
  <c r="E309" i="3"/>
  <c r="E373" i="3"/>
  <c r="E513" i="3"/>
  <c r="E82" i="3"/>
  <c r="E21" i="3"/>
  <c r="E179" i="3"/>
  <c r="E287" i="3"/>
  <c r="E265" i="3"/>
  <c r="E308" i="3"/>
  <c r="E365" i="3"/>
  <c r="E326" i="3"/>
  <c r="E524" i="3"/>
  <c r="E22" i="3"/>
  <c r="E101" i="3"/>
  <c r="E83" i="3"/>
  <c r="E16" i="6"/>
  <c r="S3" i="43"/>
  <c r="T3" i="43" s="1"/>
  <c r="V3" i="43" s="1"/>
  <c r="O7" i="1"/>
  <c r="P7" i="1" s="1"/>
  <c r="M109" i="43"/>
  <c r="M102" i="43"/>
  <c r="M106" i="43"/>
  <c r="M103" i="43"/>
  <c r="M104" i="43"/>
  <c r="M107" i="43"/>
  <c r="M105" i="43"/>
  <c r="C103" i="43"/>
  <c r="C109" i="43"/>
  <c r="C107" i="43"/>
  <c r="F104" i="43"/>
  <c r="F107" i="43"/>
  <c r="F106" i="43"/>
  <c r="F105" i="43"/>
  <c r="F109" i="43"/>
  <c r="F102" i="43"/>
  <c r="F103" i="43"/>
  <c r="S7" i="43"/>
  <c r="S6" i="43"/>
  <c r="S5" i="43"/>
  <c r="T5" i="43" s="1"/>
  <c r="V5" i="43" s="1"/>
  <c r="S2" i="43"/>
  <c r="I104" i="43"/>
  <c r="I107" i="43"/>
  <c r="L109" i="43"/>
  <c r="L102" i="43"/>
  <c r="L105" i="43"/>
  <c r="L104" i="43"/>
  <c r="L106" i="43"/>
  <c r="L107" i="43"/>
  <c r="L103" i="43"/>
  <c r="G104" i="43"/>
  <c r="G107" i="43"/>
  <c r="K102" i="43"/>
  <c r="K106" i="43"/>
  <c r="C23" i="43"/>
  <c r="C21" i="43" s="1"/>
  <c r="C29" i="43" s="1"/>
  <c r="C30" i="43" s="1"/>
  <c r="E30" i="43" s="1"/>
  <c r="E102" i="43"/>
  <c r="E106" i="43"/>
  <c r="E103" i="43"/>
  <c r="E104" i="43"/>
  <c r="E107" i="43"/>
  <c r="E105" i="43"/>
  <c r="E109" i="43"/>
  <c r="H102" i="43"/>
  <c r="H103" i="43"/>
  <c r="H104" i="43"/>
  <c r="H109" i="43"/>
  <c r="H107" i="43"/>
  <c r="H106" i="43"/>
  <c r="H105" i="43"/>
  <c r="D117" i="43"/>
  <c r="E117" i="43" s="1"/>
  <c r="F117" i="43" s="1"/>
  <c r="G117" i="43" s="1"/>
  <c r="H117" i="43" s="1"/>
  <c r="I116" i="43"/>
  <c r="J116" i="43" s="1"/>
  <c r="K116" i="43" s="1"/>
  <c r="L116" i="43" s="1"/>
  <c r="M116" i="43" s="1"/>
  <c r="D118" i="43"/>
  <c r="E118" i="43" s="1"/>
  <c r="F118" i="43" s="1"/>
  <c r="D22" i="43"/>
  <c r="D106" i="43"/>
  <c r="D105" i="43"/>
  <c r="D102" i="43"/>
  <c r="J105" i="43"/>
  <c r="J107" i="43"/>
  <c r="J102" i="43"/>
  <c r="J106" i="43"/>
  <c r="N107" i="43"/>
  <c r="N105" i="43"/>
  <c r="N109" i="43"/>
  <c r="J10" i="40"/>
  <c r="AC10" i="40" s="1"/>
  <c r="H10" i="39"/>
  <c r="AB10" i="39" s="1"/>
  <c r="F10" i="40"/>
  <c r="S10" i="40" s="1"/>
  <c r="AZ18" i="3"/>
  <c r="BA5" i="3"/>
  <c r="E27" i="6" s="1"/>
  <c r="AZ15" i="3"/>
  <c r="AZ5" i="3" s="1"/>
  <c r="BL5" i="3"/>
  <c r="E56" i="40"/>
  <c r="E57" i="40"/>
  <c r="E61" i="39"/>
  <c r="O6" i="1"/>
  <c r="P6" i="1" s="1"/>
  <c r="C47" i="11"/>
  <c r="D45" i="11" s="1"/>
  <c r="C29" i="11"/>
  <c r="D27" i="11" s="1"/>
  <c r="E58" i="40"/>
  <c r="E62" i="39"/>
  <c r="E65" i="39" s="1"/>
  <c r="M14" i="1"/>
  <c r="C34" i="69"/>
  <c r="J10" i="39"/>
  <c r="W10" i="39" s="1"/>
  <c r="H10" i="40"/>
  <c r="U10" i="40" s="1"/>
  <c r="E30" i="6"/>
  <c r="K15" i="1"/>
  <c r="K16" i="1" s="1"/>
  <c r="P8" i="1"/>
  <c r="F67" i="39"/>
  <c r="E69" i="39"/>
  <c r="D5" i="43"/>
  <c r="C39" i="43" s="1"/>
  <c r="T11" i="43"/>
  <c r="V11" i="43" s="1"/>
  <c r="T12" i="43"/>
  <c r="V12" i="43" s="1"/>
  <c r="T9" i="43"/>
  <c r="V9" i="43" s="1"/>
  <c r="T4" i="43"/>
  <c r="V4" i="43" s="1"/>
  <c r="T10" i="43"/>
  <c r="V10" i="43" s="1"/>
  <c r="T13" i="43"/>
  <c r="V13" i="43" s="1"/>
  <c r="T14" i="43"/>
  <c r="V14" i="43" s="1"/>
  <c r="T6" i="43"/>
  <c r="V6" i="43" s="1"/>
  <c r="T2" i="43"/>
  <c r="V2" i="43" s="1"/>
  <c r="T8" i="43"/>
  <c r="V8" i="43" s="1"/>
  <c r="T16" i="43"/>
  <c r="V16" i="43" s="1"/>
  <c r="T7" i="43"/>
  <c r="V7"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A10" i="40" l="1"/>
  <c r="AB10" i="40"/>
  <c r="H6" i="3"/>
  <c r="E31" i="6"/>
  <c r="AC10" i="39"/>
  <c r="AC6" i="3"/>
  <c r="E6" i="3" s="1"/>
  <c r="D113" i="43"/>
  <c r="K22" i="6"/>
  <c r="M22" i="6" s="1"/>
  <c r="I22" i="6" s="1"/>
  <c r="S22" i="6" s="1"/>
  <c r="K23" i="6"/>
  <c r="M23" i="6" s="1"/>
  <c r="I23" i="6" s="1"/>
  <c r="S23" i="6" s="1"/>
  <c r="K24" i="6"/>
  <c r="M24" i="6" s="1"/>
  <c r="I24" i="6" s="1"/>
  <c r="S24" i="6" s="1"/>
  <c r="K19" i="6"/>
  <c r="S6" i="1" s="1"/>
  <c r="K21" i="6"/>
  <c r="M21" i="6" s="1"/>
  <c r="I21" i="6" s="1"/>
  <c r="S21" i="6" s="1"/>
  <c r="K25" i="6"/>
  <c r="M25" i="6" s="1"/>
  <c r="I25" i="6" s="1"/>
  <c r="S25" i="6" s="1"/>
  <c r="K20" i="6"/>
  <c r="M20" i="6" s="1"/>
  <c r="I20" i="6" s="1"/>
  <c r="S20" i="6" s="1"/>
  <c r="K26" i="6"/>
  <c r="M26" i="6" s="1"/>
  <c r="I26" i="6" s="1"/>
  <c r="S26" i="6" s="1"/>
  <c r="AY6" i="3"/>
  <c r="E3" i="6"/>
  <c r="O14" i="1"/>
  <c r="O16" i="1" s="1"/>
  <c r="M16" i="1"/>
  <c r="N16" i="1" s="1"/>
  <c r="C35" i="69"/>
  <c r="C38" i="6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34" i="68" l="1"/>
  <c r="C36" i="68" s="1"/>
  <c r="F11" i="12"/>
  <c r="F34" i="11"/>
  <c r="C36" i="11" s="1"/>
  <c r="F69" i="15"/>
  <c r="J29" i="15"/>
  <c r="AQ6" i="1"/>
  <c r="AR6" i="1"/>
  <c r="S16" i="1"/>
  <c r="T6" i="1"/>
  <c r="D3" i="21"/>
  <c r="D3" i="33"/>
  <c r="L18" i="9"/>
  <c r="D14" i="12"/>
  <c r="D19" i="11"/>
  <c r="C19" i="11" s="1"/>
  <c r="C20" i="11" s="1"/>
  <c r="C28" i="11" s="1"/>
  <c r="C27" i="11" s="1"/>
  <c r="M18" i="9"/>
  <c r="B118" i="9" s="1"/>
  <c r="B14" i="74" s="1"/>
  <c r="B1" i="74" s="1"/>
  <c r="E6" i="6"/>
  <c r="C17" i="4"/>
  <c r="B4" i="52" s="1"/>
  <c r="B43" i="72" s="1"/>
  <c r="D3" i="37"/>
  <c r="D3" i="34"/>
  <c r="D37" i="11"/>
  <c r="K27" i="6"/>
  <c r="M19"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7" i="3"/>
  <c r="AY34" i="3"/>
  <c r="AY144" i="3"/>
  <c r="AY95" i="3"/>
  <c r="AY152" i="3"/>
  <c r="AY111" i="3"/>
  <c r="AY253" i="3"/>
  <c r="AY382" i="3"/>
  <c r="AY303" i="3"/>
  <c r="AY460" i="3"/>
  <c r="AY529" i="3"/>
  <c r="AY300" i="3"/>
  <c r="AY217" i="3"/>
  <c r="AY327" i="3"/>
  <c r="AY463" i="3"/>
  <c r="AY401" i="3"/>
  <c r="AY544" i="3"/>
  <c r="BE6"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103" i="3"/>
  <c r="AY50" i="3"/>
  <c r="AY160" i="3"/>
  <c r="AY289" i="3"/>
  <c r="AY183" i="3"/>
  <c r="AY261" i="3"/>
  <c r="AY284" i="3"/>
  <c r="AY209" i="3"/>
  <c r="AY319" i="3"/>
  <c r="AY455" i="3"/>
  <c r="AY497" i="3"/>
  <c r="AY116" i="3"/>
  <c r="AY212" i="3"/>
  <c r="AY343" i="3"/>
  <c r="AY478" i="3"/>
  <c r="AY417" i="3"/>
  <c r="AY573" i="3"/>
  <c r="AY539" i="3"/>
  <c r="AY51" i="3"/>
  <c r="AY124" i="3"/>
  <c r="AY281" i="3"/>
  <c r="AY236" i="3"/>
  <c r="AY473" i="3"/>
  <c r="AY26" i="3"/>
  <c r="AY372" i="3"/>
  <c r="AY420" i="3"/>
  <c r="AY533" i="3"/>
  <c r="AY92" i="3"/>
  <c r="AY76" i="3"/>
  <c r="AY33" i="3"/>
  <c r="AY185" i="3"/>
  <c r="AY165" i="3"/>
  <c r="AY125" i="3"/>
  <c r="AY278" i="3"/>
  <c r="AY262" i="3"/>
  <c r="AY219" i="3"/>
  <c r="AY374" i="3"/>
  <c r="BH6" i="3"/>
  <c r="AY73" i="3"/>
  <c r="AY202" i="3"/>
  <c r="AY145" i="3"/>
  <c r="AY259"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83" i="3"/>
  <c r="AY23" i="3"/>
  <c r="AY155" i="3"/>
  <c r="AY59" i="3"/>
  <c r="AY131" i="3"/>
  <c r="AY58" i="3"/>
  <c r="AY268" i="3"/>
  <c r="AY371" i="3"/>
  <c r="AY318" i="3"/>
  <c r="AY428" i="3"/>
  <c r="AY106" i="3"/>
  <c r="AY245" i="3"/>
  <c r="AY395" i="3"/>
  <c r="AY342" i="3"/>
  <c r="AY452" i="3"/>
  <c r="AY513" i="3"/>
  <c r="AY569" i="3"/>
  <c r="AY553"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67" i="3"/>
  <c r="AY196" i="3"/>
  <c r="AY139" i="3"/>
  <c r="AY74" i="3"/>
  <c r="AY123" i="3"/>
  <c r="AY204" i="3"/>
  <c r="AY252" i="3"/>
  <c r="AY363" i="3"/>
  <c r="AY489" i="3"/>
  <c r="AY412" i="3"/>
  <c r="AY43" i="3"/>
  <c r="AY229" i="3"/>
  <c r="AY379" i="3"/>
  <c r="AY326" i="3"/>
  <c r="AY436" i="3"/>
  <c r="AY557" i="3"/>
  <c r="AY540" i="3"/>
  <c r="AY105" i="3"/>
  <c r="AY207" i="3"/>
  <c r="AY42" i="3"/>
  <c r="AY168" i="3"/>
  <c r="AY366" i="3"/>
  <c r="AY441" i="3"/>
  <c r="AY260" i="3"/>
  <c r="AY310" i="3"/>
  <c r="AY549" i="3"/>
  <c r="AY97" i="3"/>
  <c r="AY61" i="3"/>
  <c r="AY44" i="3"/>
  <c r="AY190" i="3"/>
  <c r="AY154" i="3"/>
  <c r="AY133" i="3"/>
  <c r="AY283" i="3"/>
  <c r="AY247" i="3"/>
  <c r="AY230" i="3"/>
  <c r="AY397" i="3"/>
  <c r="AY360" i="3"/>
  <c r="AY109" i="3"/>
  <c r="AY56" i="3"/>
  <c r="AY166" i="3"/>
  <c r="AY295" i="3"/>
  <c r="AY242"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66" i="3"/>
  <c r="AY176" i="3"/>
  <c r="AY115" i="3"/>
  <c r="AY188" i="3"/>
  <c r="AY276" i="3"/>
  <c r="AY297" i="3"/>
  <c r="AY225" i="3"/>
  <c r="AY335" i="3"/>
  <c r="AY470" i="3"/>
  <c r="AY180" i="3"/>
  <c r="AY358" i="3"/>
  <c r="AY433" i="3"/>
  <c r="AY541"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64" i="3"/>
  <c r="AY21" i="3"/>
  <c r="AY174" i="3"/>
  <c r="AY153" i="3"/>
  <c r="AY113" i="3"/>
  <c r="AY267" i="3"/>
  <c r="AY250" i="3"/>
  <c r="AY396" i="3"/>
  <c r="AY361" i="3"/>
  <c r="AY337" i="3"/>
  <c r="AY336" i="3"/>
  <c r="AY492"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20"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09" i="3"/>
  <c r="AY228" i="3"/>
  <c r="AY465" i="3"/>
  <c r="BK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32" i="3"/>
  <c r="AY205" i="3"/>
  <c r="AY142" i="3"/>
  <c r="AY122" i="3"/>
  <c r="AY298" i="3"/>
  <c r="AY235" i="3"/>
  <c r="AY218" i="3"/>
  <c r="AY385" i="3"/>
  <c r="AY352" i="3"/>
  <c r="AY321" i="3"/>
  <c r="AY304"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05" i="3"/>
  <c r="AY479"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L16" i="1"/>
  <c r="P14" i="1"/>
  <c r="P16" i="1" s="1"/>
  <c r="C11" i="12" s="1"/>
  <c r="F50" i="11"/>
  <c r="F50" i="69"/>
  <c r="F50"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4" i="15"/>
  <c r="E6" i="76"/>
  <c r="B6" i="76"/>
  <c r="C34" i="68" l="1"/>
  <c r="C35" i="68" s="1"/>
  <c r="C15" i="15"/>
  <c r="C18" i="15"/>
  <c r="T16" i="1"/>
  <c r="C34" i="11"/>
  <c r="C38" i="11" s="1"/>
  <c r="C37" i="11"/>
  <c r="C7" i="74"/>
  <c r="C8" i="74"/>
  <c r="D17" i="12"/>
  <c r="C17" i="12" s="1"/>
  <c r="C14" i="12"/>
  <c r="D25" i="6"/>
  <c r="D22" i="6"/>
  <c r="D24" i="6"/>
  <c r="D6" i="6"/>
  <c r="D10" i="6"/>
  <c r="D29" i="6"/>
  <c r="H22" i="6"/>
  <c r="H24" i="6"/>
  <c r="M19" i="9"/>
  <c r="C118" i="9" s="1"/>
  <c r="C14" i="74" s="1"/>
  <c r="B2" i="74" s="1"/>
  <c r="D26" i="6"/>
  <c r="D8" i="6"/>
  <c r="D14" i="6"/>
  <c r="D12" i="6"/>
  <c r="D13" i="6"/>
  <c r="E61" i="40"/>
  <c r="H26" i="6"/>
  <c r="D15" i="6"/>
  <c r="D21" i="6"/>
  <c r="D20" i="6"/>
  <c r="D9" i="6"/>
  <c r="L19" i="9"/>
  <c r="H25" i="6"/>
  <c r="H21" i="6"/>
  <c r="H20" i="6"/>
  <c r="D19" i="6"/>
  <c r="C18" i="4"/>
  <c r="D23" i="6"/>
  <c r="D5" i="6"/>
  <c r="D11" i="6"/>
  <c r="D28" i="6"/>
  <c r="D30" i="6" s="1"/>
  <c r="H23" i="6"/>
  <c r="M27" i="6"/>
  <c r="I19" i="6"/>
  <c r="D20" i="12"/>
  <c r="C20" i="12" s="1"/>
  <c r="C18" i="12" s="1"/>
  <c r="D10" i="69"/>
  <c r="D10" i="11"/>
  <c r="C10" i="11" s="1"/>
  <c r="D10" i="68"/>
  <c r="C15" i="12"/>
  <c r="C12" i="12"/>
  <c r="C35" i="11"/>
  <c r="C38"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9" i="15" l="1"/>
  <c r="C20" i="15" s="1"/>
  <c r="C26" i="15" s="1"/>
  <c r="C33" i="11"/>
  <c r="C42" i="11" s="1"/>
  <c r="R20" i="6"/>
  <c r="D16" i="6"/>
  <c r="C16" i="12"/>
  <c r="C21" i="12" s="1"/>
  <c r="C22" i="12" s="1"/>
  <c r="C4" i="52"/>
  <c r="B45" i="72" s="1"/>
  <c r="A7" i="51"/>
  <c r="B7" i="72" s="1"/>
  <c r="A10" i="51"/>
  <c r="B9" i="72" s="1"/>
  <c r="R21" i="6"/>
  <c r="R26" i="6"/>
  <c r="R22" i="6"/>
  <c r="D19" i="68"/>
  <c r="C10" i="68"/>
  <c r="D19" i="69"/>
  <c r="C10" i="69"/>
  <c r="C8" i="69" s="1"/>
  <c r="C5" i="69" s="1"/>
  <c r="C23" i="69" s="1"/>
  <c r="I27" i="6"/>
  <c r="S19" i="6"/>
  <c r="S27" i="6" s="1"/>
  <c r="H19" i="6"/>
  <c r="H27" i="6" s="1"/>
  <c r="R23" i="6"/>
  <c r="D27" i="6"/>
  <c r="D31" i="6" s="1"/>
  <c r="R19" i="6"/>
  <c r="D8" i="74"/>
  <c r="D7" i="74"/>
  <c r="R24" i="6"/>
  <c r="R25" i="6"/>
  <c r="C39" i="11"/>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R27" i="6"/>
  <c r="R6" i="1"/>
  <c r="I5" i="6"/>
  <c r="I6" i="6"/>
  <c r="D37" i="69"/>
  <c r="C37" i="69" s="1"/>
  <c r="C33" i="69" s="1"/>
  <c r="C19" i="69"/>
  <c r="D37" i="68"/>
  <c r="C37" i="68" s="1"/>
  <c r="C33" i="68" s="1"/>
  <c r="C19" i="68"/>
  <c r="C46" i="11"/>
  <c r="C45" i="11" s="1"/>
  <c r="C43" i="11"/>
  <c r="C41" i="1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57" i="15" l="1"/>
  <c r="J14" i="15"/>
  <c r="C36" i="15"/>
  <c r="C13" i="15"/>
  <c r="J19" i="15"/>
  <c r="Q49" i="15"/>
  <c r="J59" i="15"/>
  <c r="J60" i="15" s="1"/>
  <c r="Q48" i="15" s="1"/>
  <c r="J20" i="15"/>
  <c r="C34" i="15"/>
  <c r="C31" i="15" s="1"/>
  <c r="F63" i="15"/>
  <c r="C62" i="15" s="1"/>
  <c r="R16" i="1"/>
  <c r="C49" i="11"/>
  <c r="C51" i="11" s="1"/>
  <c r="C52" i="11" s="1"/>
  <c r="B2" i="11" s="1"/>
  <c r="B3" i="11" s="1"/>
  <c r="C20" i="68"/>
  <c r="C24" i="68"/>
  <c r="C24" i="69"/>
  <c r="C20" i="69"/>
  <c r="C39" i="68"/>
  <c r="C42" i="68"/>
  <c r="C39" i="69"/>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15" l="1"/>
  <c r="Q70" i="15"/>
  <c r="C56" i="15"/>
  <c r="C65" i="15" s="1"/>
  <c r="C37" i="15"/>
  <c r="C75" i="15"/>
  <c r="J22" i="15"/>
  <c r="J13" i="15"/>
  <c r="J23" i="15" s="1"/>
  <c r="C30" i="15"/>
  <c r="C39" i="15" s="1"/>
  <c r="C61" i="15"/>
  <c r="C59" i="15" s="1"/>
  <c r="C64" i="15"/>
  <c r="L57" i="15"/>
  <c r="L60" i="15" s="1"/>
  <c r="L46" i="15" s="1"/>
  <c r="Q69" i="15"/>
  <c r="Q68" i="15" s="1"/>
  <c r="C43" i="69"/>
  <c r="C41" i="69" s="1"/>
  <c r="C46" i="69"/>
  <c r="C45" i="69" s="1"/>
  <c r="C46" i="68"/>
  <c r="C45" i="68" s="1"/>
  <c r="C43" i="68"/>
  <c r="C41" i="68" s="1"/>
  <c r="C25" i="68"/>
  <c r="C22" i="68" s="1"/>
  <c r="C28" i="68"/>
  <c r="C27" i="68" s="1"/>
  <c r="C28" i="69"/>
  <c r="C27" i="69" s="1"/>
  <c r="C25" i="69"/>
  <c r="C22" i="69"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6" i="15" l="1"/>
  <c r="C80" i="15"/>
  <c r="C79" i="15" s="1"/>
  <c r="Q67" i="15"/>
  <c r="C58" i="15"/>
  <c r="C67" i="15" s="1"/>
  <c r="C68" i="15" s="1"/>
  <c r="C71" i="15" s="1"/>
  <c r="C40" i="15"/>
  <c r="B2" i="15" s="1"/>
  <c r="C8" i="12" s="1"/>
  <c r="C4" i="12" s="1"/>
  <c r="J16" i="15"/>
  <c r="J25" i="15" s="1"/>
  <c r="Q57" i="15"/>
  <c r="C49" i="69"/>
  <c r="C51" i="69" s="1"/>
  <c r="C31" i="68"/>
  <c r="C49" i="68"/>
  <c r="C51" i="68" s="1"/>
  <c r="C31" i="69"/>
  <c r="M69" i="39"/>
  <c r="N67" i="39"/>
  <c r="R39" i="35"/>
  <c r="E38" i="35"/>
  <c r="M63" i="40"/>
  <c r="L65" i="40"/>
  <c r="AO6" i="1"/>
  <c r="C46" i="15" l="1"/>
  <c r="C43" i="15"/>
  <c r="Q65" i="15"/>
  <c r="Q75" i="15" s="1"/>
  <c r="C83" i="15"/>
  <c r="C82" i="15" s="1"/>
  <c r="Q56" i="15"/>
  <c r="Q47" i="15"/>
  <c r="Q53" i="15" s="1"/>
  <c r="Q62" i="15"/>
  <c r="C23" i="12"/>
  <c r="C31" i="12"/>
  <c r="B6" i="70"/>
  <c r="B2" i="70" s="1"/>
  <c r="B3" i="70" s="1"/>
  <c r="B3" i="15"/>
  <c r="C6" i="12" s="1"/>
  <c r="C52" i="69"/>
  <c r="B2" i="69" s="1"/>
  <c r="B3" i="69" s="1"/>
  <c r="C52" i="68"/>
  <c r="B2" i="68" s="1"/>
  <c r="O67" i="39"/>
  <c r="O69" i="39" s="1"/>
  <c r="N69" i="39"/>
  <c r="F7" i="39"/>
  <c r="C39" i="35"/>
  <c r="B2" i="35" s="1"/>
  <c r="B3" i="35" s="1"/>
  <c r="C38" i="35"/>
  <c r="N63" i="40"/>
  <c r="M65" i="40"/>
  <c r="E43" i="35"/>
  <c r="F43" i="35" s="1"/>
  <c r="E42" i="35"/>
  <c r="F42" i="35" s="1"/>
  <c r="I43" i="35"/>
  <c r="J43" i="35" s="1"/>
  <c r="C19" i="9"/>
  <c r="C102" i="9" l="1"/>
  <c r="C21" i="9"/>
  <c r="B3" i="68"/>
  <c r="C30" i="12"/>
  <c r="C28" i="12" s="1"/>
  <c r="C27" i="12"/>
  <c r="C25" i="12" s="1"/>
  <c r="C57" i="69"/>
  <c r="C56" i="69" s="1"/>
  <c r="C57" i="68"/>
  <c r="C56" i="68" s="1"/>
  <c r="H7" i="39"/>
  <c r="J7" i="39"/>
  <c r="S7" i="39"/>
  <c r="AA7" i="39"/>
  <c r="R47" i="39" s="1"/>
  <c r="O63" i="40"/>
  <c r="O65" i="40" s="1"/>
  <c r="N65" i="40"/>
  <c r="D34" i="9"/>
  <c r="C20" i="9"/>
  <c r="D35" i="9"/>
  <c r="C103" i="9" l="1"/>
  <c r="C32" i="12"/>
  <c r="B2" i="12" s="1"/>
  <c r="W7" i="39"/>
  <c r="AC7" i="39"/>
  <c r="V47" i="39" s="1"/>
  <c r="I47" i="39" s="1"/>
  <c r="E47" i="39"/>
  <c r="R48" i="39"/>
  <c r="U7" i="39"/>
  <c r="AB7" i="39"/>
  <c r="T47" i="39" s="1"/>
  <c r="G47" i="39" s="1"/>
  <c r="J7" i="40"/>
  <c r="F7" i="40"/>
  <c r="H7" i="40"/>
  <c r="D19" i="9"/>
  <c r="D102" i="9" l="1"/>
  <c r="D21" i="9"/>
  <c r="G19" i="9"/>
  <c r="G21" i="9" s="1"/>
  <c r="D22" i="9"/>
  <c r="B3" i="12"/>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G118" i="9" s="1"/>
  <c r="G4" i="52" s="1"/>
  <c r="B52" i="72" s="1"/>
  <c r="D118" i="9"/>
  <c r="D4" i="52" s="1"/>
  <c r="B47" i="72" s="1"/>
  <c r="H118" i="9"/>
  <c r="I118" i="9" s="1"/>
  <c r="E118" i="9" l="1"/>
  <c r="E4" i="52" s="1"/>
  <c r="B48" i="72" s="1"/>
  <c r="H101" i="9"/>
  <c r="M48" i="9" s="1"/>
  <c r="C104" i="9"/>
  <c r="D14" i="74"/>
  <c r="H4" i="52"/>
  <c r="H119" i="9"/>
  <c r="H5" i="52" s="1"/>
  <c r="D119" i="9"/>
  <c r="D5" i="52" s="1"/>
  <c r="B49" i="72" s="1"/>
  <c r="C105" i="9"/>
  <c r="H102" i="9"/>
  <c r="D7" i="53" s="1"/>
  <c r="B21" i="72" s="1"/>
  <c r="I4" i="52"/>
  <c r="D5" i="53"/>
  <c r="F4" i="52"/>
  <c r="B51" i="72" s="1"/>
  <c r="F119" i="9"/>
  <c r="F5" i="52" s="1"/>
  <c r="B53" i="72" s="1"/>
  <c r="H107" i="9" l="1"/>
  <c r="D13" i="53" s="1"/>
  <c r="D45" i="9"/>
  <c r="D52" i="9" s="1"/>
  <c r="D122" i="9"/>
  <c r="B20" i="72"/>
  <c r="D6" i="53"/>
  <c r="B22" i="72" s="1"/>
  <c r="E14" i="74"/>
  <c r="F14" i="74"/>
  <c r="B5" i="74"/>
  <c r="D53" i="9"/>
  <c r="H108" i="9" l="1"/>
  <c r="D15" i="53" s="1"/>
  <c r="B31" i="72" s="1"/>
  <c r="M49" i="9"/>
  <c r="C72" i="9"/>
  <c r="C64" i="9"/>
  <c r="C63" i="9" s="1"/>
  <c r="C67" i="9" s="1"/>
  <c r="D59" i="9" s="1"/>
  <c r="M55" i="9" s="1"/>
  <c r="C78" i="9"/>
  <c r="C73" i="9" s="1"/>
  <c r="D55" i="9"/>
  <c r="M53" i="9" s="1"/>
  <c r="C85" i="9"/>
  <c r="C93" i="9"/>
  <c r="C86" i="9" s="1"/>
  <c r="C79" i="9"/>
  <c r="C80" i="9" s="1"/>
  <c r="E80" i="9" s="1"/>
  <c r="E81" i="9" s="1"/>
  <c r="L63" i="9"/>
  <c r="M63" i="9" s="1"/>
  <c r="L68" i="9"/>
  <c r="M68" i="9" s="1"/>
  <c r="L65" i="9"/>
  <c r="M65" i="9" s="1"/>
  <c r="L67" i="9"/>
  <c r="M67" i="9" s="1"/>
  <c r="L64" i="9"/>
  <c r="M64" i="9" s="1"/>
  <c r="L66" i="9"/>
  <c r="M66" i="9" s="1"/>
  <c r="B30" i="72"/>
  <c r="D14" i="53"/>
  <c r="B32" i="72" s="1"/>
  <c r="C68" i="9"/>
  <c r="D54" i="9" s="1"/>
  <c r="C5" i="74"/>
  <c r="D5" i="74"/>
  <c r="D123" i="9"/>
  <c r="D9" i="52" s="1"/>
  <c r="G14" i="74"/>
  <c r="B6" i="74" s="1"/>
  <c r="D8" i="52"/>
  <c r="C95" i="9" l="1"/>
  <c r="C96" i="9" s="1"/>
  <c r="E96" i="9" s="1"/>
  <c r="E97" i="9" s="1"/>
  <c r="C6" i="74"/>
  <c r="D6" i="74"/>
  <c r="M69" i="9"/>
  <c r="N69" i="9" s="1"/>
  <c r="C81" i="9"/>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<sst xmlns="http://schemas.openxmlformats.org/spreadsheetml/2006/main" count="7444" uniqueCount="3217">
  <si>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</si>
  <si>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</si>
  <si>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</si>
  <si>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</si>
  <si>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</si>
  <si>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</si>
  <si>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</si>
  <si>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</si>
  <si>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</si>
  <si>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</si>
  <si>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</si>
  <si>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</si>
  <si>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</si>
  <si>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</si>
  <si>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</si>
  <si>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</si>
  <si>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</si>
  <si>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</si>
  <si>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</si>
  <si>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</si>
  <si>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</si>
  <si>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</si>
  <si>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</si>
  <si>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</si>
  <si>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</si>
  <si>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</si>
  <si>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</si>
  <si>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</si>
  <si>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</si>
  <si>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</si>
  <si>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</si>
  <si>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</si>
  <si>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</si>
  <si>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</si>
  <si>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</si>
  <si>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</si>
  <si>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</si>
  <si>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</si>
  <si>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</si>
  <si>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</si>
  <si>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</si>
  <si>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</si>
  <si>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</si>
  <si>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</si>
  <si>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</si>
  <si>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</si>
  <si>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</si>
  <si>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</si>
  <si>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</si>
  <si>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</si>
  <si>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</si>
  <si>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</si>
  <si>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</si>
  <si>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</si>
  <si>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</si>
  <si>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</si>
  <si>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</si>
  <si>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</si>
  <si>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</si>
  <si>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</si>
  <si>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</si>
  <si>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</si>
  <si>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</si>
  <si>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</si>
  <si>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</si>
  <si>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</si>
  <si>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</si>
  <si>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</si>
  <si>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</si>
  <si>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</si>
  <si>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</si>
  <si>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</si>
  <si>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</si>
  <si>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</si>
  <si>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</si>
  <si>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</si>
  <si>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</si>
  <si>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</si>
  <si>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</si>
  <si>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</si>
  <si>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</si>
  <si>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</si>
  <si>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</si>
  <si>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</si>
  <si>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</si>
  <si>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</si>
  <si>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</si>
  <si>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</si>
  <si>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</si>
  <si>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</si>
  <si>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</si>
  <si>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</si>
  <si>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</si>
  <si>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</si>
  <si>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</si>
  <si>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</si>
  <si>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</si>
  <si>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</si>
  <si>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</si>
  <si>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</si>
  <si>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</si>
  <si>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</si>
  <si>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</si>
  <si>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</si>
  <si>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</si>
  <si>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</si>
  <si>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</si>
  <si>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</si>
  <si>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</si>
  <si>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</si>
  <si>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</si>
  <si>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</si>
  <si>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</si>
  <si>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</si>
  <si>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</si>
  <si>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</si>
  <si>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</si>
  <si>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</si>
  <si>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</si>
  <si>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</si>
  <si>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</si>
  <si>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</si>
  <si>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</si>
  <si>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</si>
  <si>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</si>
  <si>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</si>
  <si>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</si>
  <si>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</si>
  <si>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</si>
  <si>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</si>
  <si>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</si>
  <si>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</si>
  <si>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</si>
  <si>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</si>
  <si>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</si>
  <si>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</si>
  <si>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</si>
  <si>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</si>
  <si>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</si>
  <si>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</si>
  <si>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</si>
  <si>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</si>
  <si>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</si>
  <si>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</si>
  <si>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</si>
  <si>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</si>
  <si>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</si>
  <si>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</si>
  <si>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</si>
  <si>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</si>
  <si>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</si>
  <si>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</si>
  <si>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</si>
  <si>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</si>
  <si>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</si>
  <si>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</si>
  <si>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</si>
  <si>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</si>
  <si>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</si>
  <si>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</si>
  <si>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</si>
  <si>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</si>
  <si>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</si>
  <si>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</si>
  <si>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</si>
  <si>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</si>
  <si>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</si>
  <si>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</si>
  <si>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</si>
  <si>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</si>
  <si>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</si>
  <si>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</si>
  <si>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</si>
  <si>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</si>
  <si>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</si>
  <si>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</si>
  <si>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</si>
  <si>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</si>
  <si>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</si>
  <si>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</si>
  <si>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</si>
  <si>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</si>
  <si>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</si>
  <si>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</si>
  <si>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</si>
  <si>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</si>
  <si>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</si>
  <si>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</si>
  <si>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</si>
  <si>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</si>
  <si>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</si>
  <si>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</si>
  <si>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</si>
  <si>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</si>
  <si>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</si>
  <si>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</si>
  <si>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</si>
  <si>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</si>
  <si>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</si>
  <si>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</si>
  <si>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</si>
  <si>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</si>
  <si>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</si>
  <si>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</si>
  <si>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</si>
  <si>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</si>
  <si>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</si>
  <si>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</si>
  <si>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</si>
  <si>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</si>
  <si>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</si>
  <si>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</si>
  <si>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</si>
  <si>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</si>
  <si>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</si>
  <si>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</si>
  <si>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</si>
  <si>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</si>
  <si>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</si>
  <si>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</si>
  <si>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</si>
  <si>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</si>
  <si>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</si>
  <si>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</si>
  <si>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</si>
  <si>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</si>
  <si>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</si>
  <si>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</si>
  <si>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</si>
  <si>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</si>
  <si>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</si>
  <si>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</si>
  <si>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</si>
  <si>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</si>
  <si>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</si>
  <si>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</si>
  <si>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</si>
  <si>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</si>
  <si>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</si>
  <si>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</si>
  <si>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</si>
  <si>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</si>
  <si>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</si>
  <si>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</si>
  <si>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</si>
  <si>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</si>
  <si>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</si>
  <si>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</si>
  <si>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</si>
  <si>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</si>
  <si>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</si>
  <si>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</si>
  <si>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</si>
  <si>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</si>
  <si>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</si>
  <si>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</si>
  <si>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</si>
  <si>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</si>
  <si>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</si>
  <si>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</si>
  <si>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</si>
  <si>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</si>
  <si>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</si>
  <si>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</si>
  <si>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</si>
  <si>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</si>
  <si>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</si>
  <si>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</si>
  <si>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</si>
  <si>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</si>
  <si>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</si>
  <si>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</si>
  <si>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</si>
  <si>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</si>
  <si>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</si>
  <si>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</si>
  <si>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</si>
  <si>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</si>
  <si>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</si>
  <si>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</si>
  <si>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</si>
  <si>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</si>
  <si>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</si>
  <si>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</si>
  <si>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</si>
  <si>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</si>
  <si>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</si>
  <si>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</si>
  <si>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</si>
  <si>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</si>
  <si>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</si>
  <si>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</si>
  <si>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</si>
  <si>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</si>
  <si>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</si>
  <si>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</si>
  <si>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</si>
  <si>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</si>
  <si>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</si>
  <si>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</si>
  <si>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</si>
  <si>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</si>
  <si>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</si>
  <si>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</si>
  <si>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</si>
  <si>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</si>
  <si>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</si>
  <si>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</si>
  <si>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</si>
  <si>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</si>
  <si>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</si>
  <si>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</si>
  <si>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</si>
  <si>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</si>
  <si>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</si>
  <si>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</si>
  <si>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</si>
  <si>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</si>
  <si>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</si>
  <si>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</si>
  <si>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</si>
  <si>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</si>
  <si>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</si>
  <si>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</si>
  <si>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</si>
  <si>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</si>
  <si>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</si>
  <si>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</si>
  <si>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</si>
  <si>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</si>
  <si>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</si>
  <si>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</si>
  <si>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</si>
  <si>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</si>
  <si>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</si>
  <si>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</si>
  <si>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</si>
  <si>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</si>
  <si>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</si>
  <si>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</si>
  <si>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</si>
  <si>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</si>
  <si>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</si>
  <si>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</si>
  <si>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</si>
  <si>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</si>
  <si>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</si>
  <si>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</si>
  <si>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</si>
  <si>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</si>
  <si>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</si>
  <si>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</si>
  <si>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</si>
  <si>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</si>
  <si>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</si>
  <si>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</si>
  <si>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</si>
  <si>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</si>
  <si>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</si>
  <si>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</si>
  <si>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</si>
  <si>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</si>
  <si>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</si>
  <si>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</si>
  <si>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</si>
  <si>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</si>
  <si>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</si>
  <si>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</si>
  <si>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</si>
  <si>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</si>
  <si>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</si>
  <si>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</si>
  <si>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</si>
  <si>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</si>
  <si>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</si>
  <si>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</si>
  <si>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</si>
  <si>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</si>
  <si>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</si>
  <si>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</si>
  <si>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</si>
  <si>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</si>
  <si>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</si>
  <si>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</si>
  <si>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</si>
  <si>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</si>
  <si>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</si>
  <si>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</si>
  <si>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</si>
  <si>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</si>
  <si>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</si>
  <si>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</si>
  <si>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</si>
  <si>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</si>
  <si>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</si>
  <si>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</si>
  <si>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</si>
  <si>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</si>
  <si>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</si>
  <si>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</si>
  <si>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</si>
  <si>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</si>
  <si>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</si>
  <si>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</si>
  <si>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</si>
  <si>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</si>
  <si>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</si>
  <si>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</si>
  <si>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</si>
  <si>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</si>
  <si>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</si>
  <si>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</si>
  <si>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</si>
  <si>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</si>
  <si>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</si>
  <si>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</si>
  <si>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</si>
  <si>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</si>
  <si>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</si>
  <si>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</si>
  <si>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</si>
  <si>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</si>
  <si>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</si>
  <si>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</si>
  <si>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</si>
  <si>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</si>
  <si>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</si>
  <si>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</si>
  <si>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</si>
  <si>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</si>
  <si>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</si>
  <si>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</si>
  <si>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</si>
  <si>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</si>
  <si>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</si>
  <si>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</si>
  <si>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</si>
  <si>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</si>
  <si>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</si>
  <si>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</si>
  <si>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</si>
  <si>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</si>
  <si>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</si>
  <si>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</si>
  <si>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</si>
  <si>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</si>
  <si>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</si>
  <si>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</si>
  <si>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</si>
  <si>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</si>
  <si>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</si>
  <si>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</si>
  <si>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</si>
  <si>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</si>
  <si>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</si>
  <si>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</si>
  <si>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</si>
  <si>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</si>
  <si>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</si>
  <si>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</si>
  <si>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</si>
  <si>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</si>
  <si>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</si>
  <si>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</si>
  <si>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</si>
  <si>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</si>
  <si>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</si>
  <si>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</si>
  <si>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</si>
  <si>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</si>
  <si>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</si>
  <si>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</si>
  <si>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</si>
  <si>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</si>
  <si>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</si>
  <si>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</si>
  <si>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</si>
  <si>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</si>
  <si>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</si>
  <si>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</si>
  <si>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</si>
  <si>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</si>
  <si>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</si>
  <si>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</si>
  <si>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</si>
  <si>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</si>
  <si>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</si>
  <si>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</si>
  <si>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</si>
  <si>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</si>
  <si>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</si>
  <si>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</si>
  <si>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</si>
  <si>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</si>
  <si>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</si>
  <si>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</si>
  <si>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</si>
  <si>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</si>
  <si>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</si>
  <si>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</si>
  <si>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</si>
  <si>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</si>
  <si>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</si>
  <si>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</si>
  <si>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</si>
  <si>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</si>
  <si>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</si>
  <si>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</si>
  <si>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</si>
  <si>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</si>
  <si>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</si>
  <si>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</si>
  <si>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</si>
  <si>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</si>
  <si>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</si>
  <si>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</si>
  <si>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</si>
  <si>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</si>
  <si>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</si>
  <si>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</si>
  <si>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</si>
  <si>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</si>
  <si>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</si>
  <si>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</si>
  <si>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</si>
  <si>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</si>
  <si>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</si>
  <si>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</si>
  <si>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</si>
  <si>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</si>
  <si>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</si>
  <si>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</si>
  <si>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</si>
  <si>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</si>
  <si>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</si>
  <si>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</si>
  <si>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</si>
  <si>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</si>
  <si>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</si>
  <si>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</si>
  <si>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</si>
  <si>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</si>
  <si>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</si>
  <si>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</si>
  <si>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</si>
  <si>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</si>
  <si>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</si>
  <si>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</si>
  <si>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</si>
  <si>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</si>
  <si>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</si>
  <si>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</si>
  <si>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</si>
  <si>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</si>
  <si>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</si>
  <si>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</si>
  <si>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</si>
  <si>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</si>
  <si>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</si>
  <si>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</si>
  <si>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</si>
  <si>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</si>
  <si>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</si>
  <si>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</si>
  <si>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</si>
  <si>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</si>
  <si>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</si>
  <si>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</si>
  <si>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</si>
  <si>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</si>
  <si>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</si>
  <si>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</si>
  <si>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</si>
  <si>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</si>
  <si>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</si>
  <si>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</si>
  <si>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</si>
  <si>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</si>
  <si>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</si>
  <si>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</si>
  <si>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</si>
  <si>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</si>
  <si>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</si>
  <si>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</si>
  <si>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</si>
  <si>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</si>
  <si>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</si>
  <si>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</si>
  <si>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</si>
  <si>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</si>
  <si>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</si>
  <si>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</si>
  <si>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</si>
  <si>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</si>
  <si>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</si>
  <si>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</si>
  <si>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</si>
  <si>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</si>
  <si>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</si>
  <si>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</si>
  <si>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</si>
  <si>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</si>
  <si>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</si>
  <si>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</si>
  <si>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</si>
  <si>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</si>
  <si>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</si>
  <si>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</si>
  <si>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</si>
  <si>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</si>
  <si>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</si>
  <si>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</si>
  <si>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</si>
  <si>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</si>
  <si>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</si>
  <si>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</si>
  <si>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</si>
  <si>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</si>
  <si>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</si>
  <si>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</si>
  <si>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</si>
  <si>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</si>
  <si>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</si>
  <si>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</si>
  <si>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</si>
  <si>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</si>
  <si>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</si>
  <si>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</si>
  <si>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</si>
  <si>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</si>
  <si>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</si>
  <si>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</si>
  <si>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</si>
  <si>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</si>
  <si>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</si>
  <si>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</si>
  <si>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</si>
  <si>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</si>
  <si>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</si>
  <si>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</si>
  <si>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</si>
  <si>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</si>
  <si>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</si>
  <si>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</si>
  <si>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</si>
  <si>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</si>
  <si>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</si>
  <si>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</si>
  <si>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</si>
  <si>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</si>
  <si>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</si>
  <si>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</si>
  <si>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</si>
  <si>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</si>
  <si>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</si>
  <si>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</si>
  <si>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</si>
  <si>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</si>
  <si>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</si>
  <si>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</si>
  <si>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</si>
  <si>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</si>
  <si>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</si>
  <si>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</si>
  <si>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</si>
  <si>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</si>
  <si>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</si>
  <si>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</si>
  <si>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</si>
  <si>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</si>
  <si>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</si>
  <si>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</si>
  <si>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</si>
  <si>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</si>
  <si>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</si>
  <si>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</si>
  <si>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</si>
  <si>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</si>
  <si>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</si>
  <si>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</si>
  <si>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</si>
  <si>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</si>
  <si>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</si>
  <si>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</si>
  <si>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</si>
  <si>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</si>
  <si>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</si>
  <si>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</si>
  <si>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</si>
  <si>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</si>
  <si>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</si>
  <si>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</si>
  <si>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</si>
  <si>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</si>
  <si>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</si>
  <si>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</si>
  <si>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</si>
  <si>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</si>
  <si>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</si>
  <si>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</si>
  <si>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</si>
  <si>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</si>
  <si>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</si>
  <si>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</si>
  <si>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</si>
  <si>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</si>
  <si>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</si>
  <si>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</si>
  <si>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</si>
  <si>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</si>
  <si>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</si>
  <si>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</si>
  <si>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</si>
  <si>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</si>
  <si>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</si>
  <si>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</si>
  <si>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</si>
  <si>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</si>
  <si>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</si>
  <si>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</si>
  <si>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</si>
  <si>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</si>
  <si>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</si>
  <si>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</si>
  <si>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</si>
  <si>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</si>
  <si>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</si>
  <si>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</si>
  <si>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</si>
  <si>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</si>
  <si>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</si>
  <si>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</si>
  <si>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</si>
  <si>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</si>
  <si>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</si>
  <si>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</si>
  <si>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</si>
  <si>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</si>
  <si>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</si>
  <si>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</si>
  <si>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</si>
  <si>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</si>
  <si>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</si>
  <si>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</si>
  <si>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</si>
  <si>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</si>
  <si>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</si>
  <si>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</si>
  <si>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</si>
  <si>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</si>
  <si>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</si>
  <si>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</si>
  <si>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</si>
  <si>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</si>
  <si>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</si>
  <si>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</si>
  <si>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</si>
  <si>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</si>
  <si>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</si>
  <si>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</si>
  <si>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</si>
  <si>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</si>
  <si>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</si>
  <si>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</si>
  <si>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</si>
  <si>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</si>
  <si>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</si>
  <si>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</si>
  <si>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</si>
  <si>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</si>
  <si>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</si>
  <si>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</si>
  <si>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</si>
  <si>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</si>
  <si>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</si>
  <si>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</si>
  <si>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</si>
  <si>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</si>
  <si>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</si>
  <si>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</si>
  <si>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</si>
  <si>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</si>
  <si>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</si>
  <si>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</si>
  <si>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</si>
  <si>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</si>
  <si>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</si>
  <si>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</si>
  <si>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</si>
  <si>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</si>
  <si>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</si>
  <si>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</si>
  <si>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</si>
  <si>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</si>
  <si>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</si>
  <si>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</si>
  <si>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</si>
  <si>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</si>
  <si>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</si>
  <si>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</si>
  <si>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</si>
  <si>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</si>
  <si>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</si>
  <si>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</si>
  <si>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</si>
  <si>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</si>
  <si>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</si>
  <si>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</si>
  <si>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</si>
  <si>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</si>
  <si>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</si>
  <si>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</si>
  <si>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</si>
  <si>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</si>
  <si>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</si>
  <si>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</si>
  <si>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</si>
  <si>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</si>
  <si>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</si>
  <si>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</si>
  <si>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</si>
  <si>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</si>
  <si>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</si>
  <si>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</si>
  <si>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</si>
  <si>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</si>
  <si>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</si>
  <si>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</si>
  <si>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</si>
  <si>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</si>
  <si>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</si>
  <si>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</si>
  <si>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</si>
  <si>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</si>
  <si>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</si>
  <si>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</si>
  <si>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</si>
  <si>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</si>
  <si>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</si>
  <si>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</si>
  <si>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</si>
  <si>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</si>
  <si>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</si>
  <si>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</si>
  <si>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</si>
  <si>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</si>
  <si>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</si>
  <si>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</si>
  <si>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</si>
  <si>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</si>
  <si>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</si>
  <si>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</si>
  <si>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</si>
  <si>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</si>
  <si>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</si>
  <si>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</si>
  <si>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</si>
  <si>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</si>
  <si>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</si>
  <si>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</si>
  <si>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</si>
  <si>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</si>
  <si>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</si>
  <si>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</si>
  <si>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</si>
  <si>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</si>
  <si>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</si>
  <si>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</si>
  <si>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</si>
  <si>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</si>
  <si>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</si>
  <si>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</si>
  <si>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</si>
  <si>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</si>
  <si>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</si>
  <si>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</si>
  <si>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</si>
  <si>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</si>
  <si>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</si>
  <si>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</si>
  <si>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</si>
  <si>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</si>
  <si>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</si>
  <si>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</si>
  <si>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</si>
  <si>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</si>
  <si>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</si>
  <si>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</si>
  <si>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</si>
  <si>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</si>
  <si>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</si>
  <si>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</si>
  <si>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</si>
  <si>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</si>
  <si>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</si>
  <si>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</si>
  <si>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</si>
  <si>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</si>
  <si>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</si>
  <si>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</si>
  <si>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</si>
  <si>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</si>
  <si>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</si>
  <si>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</si>
  <si>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</si>
  <si>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</si>
  <si>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</si>
  <si>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</si>
  <si>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</si>
  <si>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</si>
  <si>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</si>
  <si>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</si>
  <si>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</si>
  <si>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</si>
  <si>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</si>
  <si>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</si>
  <si>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</si>
  <si>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</si>
  <si>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</si>
  <si>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</si>
  <si>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</si>
  <si>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</si>
  <si>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</si>
  <si>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</si>
  <si>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</si>
  <si>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</si>
  <si>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</si>
  <si>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</si>
  <si>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</si>
  <si>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</si>
  <si>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</si>
  <si>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</si>
  <si>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</si>
  <si>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</si>
  <si>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</si>
  <si>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</si>
  <si>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</si>
  <si>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</si>
  <si>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</si>
  <si>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</si>
  <si>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</si>
  <si>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</si>
  <si>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</si>
  <si>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</si>
  <si>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</si>
  <si>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</si>
  <si>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</si>
  <si>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</si>
  <si>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</si>
  <si>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</si>
  <si>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</si>
  <si>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</si>
  <si>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</si>
  <si>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</si>
  <si>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</si>
  <si>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</si>
  <si>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</si>
  <si>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</si>
  <si>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</si>
  <si>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</si>
  <si>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</si>
  <si>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</si>
  <si>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</si>
  <si>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</si>
  <si>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</si>
  <si>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</si>
  <si>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</si>
  <si>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</si>
  <si>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</si>
  <si>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</si>
  <si>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</si>
  <si>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</si>
  <si>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</si>
  <si>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</si>
  <si>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</si>
  <si>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</si>
  <si>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</si>
  <si>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</si>
  <si>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</si>
  <si>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</si>
  <si>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</si>
  <si>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</si>
  <si>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</si>
  <si>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</si>
  <si>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</si>
  <si>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</si>
  <si>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</si>
  <si>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</si>
  <si>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</si>
  <si>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</si>
  <si>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</si>
  <si>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</si>
  <si>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</si>
  <si>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</si>
  <si>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</si>
  <si>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</si>
  <si>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</si>
  <si>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</si>
  <si>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</si>
  <si>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</si>
  <si>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</si>
  <si>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</si>
  <si>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</si>
  <si>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</si>
  <si>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</si>
  <si>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</si>
  <si>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</si>
  <si>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</si>
  <si>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</si>
  <si>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</si>
  <si>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</si>
  <si>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</si>
  <si>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</si>
  <si>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</si>
  <si>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</si>
  <si>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</si>
  <si>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</si>
  <si>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</si>
  <si>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</si>
  <si>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</si>
  <si>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</si>
  <si>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</si>
  <si>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</si>
  <si>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</si>
  <si>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</si>
  <si>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</si>
  <si>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</si>
  <si>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</si>
  <si>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</si>
  <si>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</si>
  <si>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</si>
  <si>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</si>
  <si>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</si>
  <si>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</si>
  <si>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</si>
  <si>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</si>
  <si>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</si>
  <si>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</si>
  <si>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</si>
  <si>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</si>
  <si>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</si>
  <si>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</si>
  <si>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</si>
  <si>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</si>
  <si>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</si>
  <si>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</si>
  <si>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</si>
  <si>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</si>
  <si>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</si>
  <si>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</si>
  <si>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</si>
  <si>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</si>
  <si>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</si>
  <si>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</si>
  <si>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</si>
  <si>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</si>
  <si>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</si>
  <si>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</si>
  <si>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</si>
  <si>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</si>
  <si>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</si>
  <si>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</si>
  <si>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</si>
  <si>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</si>
  <si>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</si>
  <si>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</si>
  <si>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</si>
  <si>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</si>
  <si>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</si>
  <si>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</si>
  <si>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</si>
  <si>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</si>
  <si>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</si>
  <si>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</si>
  <si>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</si>
  <si>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</si>
  <si>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</si>
  <si>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</si>
  <si>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</si>
  <si>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</si>
  <si>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</si>
  <si>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</si>
  <si>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</si>
  <si>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</si>
  <si>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</si>
  <si>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</si>
  <si>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</si>
  <si>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</si>
  <si>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</si>
  <si>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</si>
  <si>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</si>
  <si>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</si>
  <si>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</si>
  <si>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</si>
  <si>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</si>
  <si>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</si>
  <si>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</si>
  <si>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</si>
  <si>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</si>
  <si>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</si>
  <si>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</si>
  <si>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</si>
  <si>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</si>
  <si>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</si>
  <si>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</si>
  <si>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</si>
  <si>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</si>
  <si>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</si>
  <si>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</si>
  <si>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</si>
  <si>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</si>
  <si>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</si>
  <si>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</si>
  <si>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</si>
  <si>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</si>
  <si>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</si>
  <si>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</si>
  <si>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</si>
  <si>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</si>
  <si>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</si>
  <si>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</si>
  <si>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</si>
  <si>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</si>
  <si>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</si>
  <si>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</si>
  <si>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</si>
  <si>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</si>
  <si>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</si>
  <si>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</si>
  <si>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</si>
  <si>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</si>
  <si>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</si>
  <si>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</si>
  <si>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</si>
  <si>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</si>
  <si>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</si>
  <si>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</si>
  <si>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</si>
  <si>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</si>
  <si>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</si>
  <si>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</si>
  <si>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</si>
  <si>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</si>
  <si>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</si>
  <si>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</si>
  <si>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</si>
  <si>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</si>
  <si>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</si>
  <si>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</si>
  <si>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</si>
  <si>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</si>
  <si>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</si>
  <si>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</si>
  <si>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</si>
  <si>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</si>
  <si>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</si>
  <si>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</si>
  <si>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</si>
  <si>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</si>
  <si>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</si>
  <si>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</si>
  <si>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</si>
  <si>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</si>
  <si>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</si>
  <si>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</si>
  <si>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</si>
  <si>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</si>
  <si>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</si>
  <si>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</si>
  <si>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</si>
  <si>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</si>
  <si>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</si>
  <si>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</si>
  <si>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</si>
  <si>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</si>
  <si>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</si>
  <si>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</si>
  <si>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</si>
  <si>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</si>
  <si>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</si>
  <si>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</si>
  <si>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</si>
  <si>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</si>
  <si>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</si>
  <si>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</si>
  <si>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</si>
  <si>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</si>
  <si>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</si>
  <si>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</si>
  <si>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</si>
  <si>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</si>
  <si>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</si>
  <si>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</si>
  <si>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</si>
  <si>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</si>
  <si>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</si>
  <si>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</si>
  <si>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</si>
  <si>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</si>
  <si>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</si>
  <si>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</si>
  <si>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</si>
  <si>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</si>
  <si>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</si>
  <si>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</si>
  <si>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</si>
  <si>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</si>
  <si>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</si>
  <si>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</si>
  <si>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</si>
  <si>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</si>
  <si>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</si>
  <si>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</si>
  <si>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</si>
  <si>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</si>
  <si>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</si>
  <si>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</si>
  <si>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</si>
  <si>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</si>
  <si>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</si>
  <si>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</si>
  <si>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</si>
  <si>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</si>
  <si>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</si>
  <si>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</si>
  <si>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</si>
  <si>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</si>
  <si>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</si>
  <si>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</si>
  <si>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</si>
  <si>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</si>
  <si>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</si>
  <si>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</si>
  <si>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</si>
  <si>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</si>
  <si>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</si>
  <si>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</si>
  <si>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</si>
  <si>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</si>
  <si>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</si>
  <si>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</si>
  <si>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</si>
  <si>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</si>
  <si>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</si>
  <si>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</si>
  <si>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</si>
  <si>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</si>
  <si>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</si>
  <si>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</si>
  <si>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</si>
  <si>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</si>
  <si>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</si>
  <si>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</si>
  <si>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</si>
  <si>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</si>
  <si>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</si>
  <si>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</si>
  <si>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</si>
  <si>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</si>
  <si>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</si>
  <si>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</si>
  <si>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</si>
  <si>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</si>
  <si>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</si>
  <si>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</si>
  <si>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</si>
  <si>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</si>
  <si>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</si>
  <si>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</si>
  <si>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</si>
  <si>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</si>
  <si>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</si>
  <si>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</si>
  <si>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</si>
  <si>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</si>
  <si>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</si>
  <si>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</si>
  <si>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</si>
  <si>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</si>
  <si>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</si>
  <si>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</si>
  <si>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</si>
  <si>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</si>
  <si>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</si>
  <si>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</si>
  <si>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</si>
  <si>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</si>
  <si>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</si>
  <si>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</si>
  <si>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</si>
  <si>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</si>
  <si>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</si>
  <si>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</si>
  <si>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</si>
  <si>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</si>
  <si>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</si>
  <si>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</si>
  <si>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</si>
  <si>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</si>
  <si>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</si>
  <si>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</si>
  <si>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</si>
  <si>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</si>
  <si>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</si>
  <si>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</si>
  <si>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</si>
  <si>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</si>
  <si>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</si>
  <si>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</si>
  <si>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</si>
  <si>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</si>
  <si>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</si>
  <si>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</si>
  <si>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</si>
  <si>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</si>
  <si>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</si>
  <si>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</si>
  <si>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</si>
  <si>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</si>
  <si>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</si>
  <si>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</si>
  <si>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</si>
  <si>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</si>
  <si>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</si>
  <si>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</si>
  <si>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</si>
  <si>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</si>
  <si>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</si>
  <si>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</si>
  <si>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</si>
  <si>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</si>
  <si>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</si>
  <si>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</si>
  <si>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</si>
  <si>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</si>
  <si>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</si>
  <si>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</si>
  <si>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</si>
  <si>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</si>
  <si>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</si>
  <si>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</si>
  <si>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</si>
  <si>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</si>
  <si>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</si>
  <si>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</si>
  <si>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</si>
  <si>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</si>
  <si>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</si>
  <si>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</si>
  <si>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</si>
  <si>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</si>
  <si>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</si>
  <si>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</si>
  <si>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</si>
  <si>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</si>
  <si>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</si>
  <si>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</si>
  <si>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</si>
  <si>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</si>
  <si>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</si>
  <si>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</si>
  <si>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</si>
  <si>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</si>
  <si>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</si>
  <si>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</si>
  <si>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</si>
  <si>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</si>
  <si>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</si>
  <si>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</si>
  <si>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</si>
  <si>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</si>
  <si>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</si>
  <si>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</si>
  <si>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</si>
  <si>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</si>
  <si>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</si>
  <si>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</si>
  <si>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</si>
  <si>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</si>
  <si>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</si>
  <si>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</si>
  <si>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</si>
  <si>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</si>
  <si>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</si>
  <si>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</si>
  <si>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</si>
  <si>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</si>
  <si>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</si>
  <si>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</si>
  <si>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</si>
  <si>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</si>
  <si>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</si>
  <si>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</si>
  <si>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</si>
  <si>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</si>
  <si>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</si>
  <si>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</si>
  <si>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</si>
  <si>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</si>
  <si>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</si>
  <si>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</si>
  <si>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</si>
  <si>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</si>
  <si>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</si>
  <si>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</si>
  <si>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</si>
  <si>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</si>
  <si>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</si>
  <si>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</si>
  <si>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</si>
  <si>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</si>
  <si>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</si>
  <si>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</si>
  <si>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</si>
  <si>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</si>
  <si>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</si>
  <si>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</si>
  <si>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</si>
  <si>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</si>
  <si>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</si>
  <si>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</si>
  <si>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</si>
  <si>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</si>
  <si>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</si>
  <si>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</si>
  <si>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</si>
  <si>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</si>
  <si>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</si>
  <si>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</si>
  <si>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</si>
  <si>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</si>
  <si>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</si>
  <si>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</si>
  <si>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</si>
  <si>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</si>
  <si>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</si>
  <si>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</si>
  <si>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</si>
  <si>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</si>
  <si>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</si>
  <si>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</si>
  <si>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</si>
  <si>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</si>
  <si>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</si>
  <si>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</si>
  <si>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</si>
  <si>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</si>
  <si>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</si>
  <si>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</si>
  <si>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</si>
  <si>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</si>
  <si>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</si>
  <si>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</si>
  <si>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</si>
  <si>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</si>
  <si>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</si>
  <si>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</si>
  <si>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</si>
  <si>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</si>
  <si>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</si>
  <si>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</si>
  <si>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</si>
  <si>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</si>
  <si>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</si>
  <si>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</si>
  <si>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</si>
  <si>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</si>
  <si>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</si>
  <si>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</si>
  <si>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</si>
  <si>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</si>
  <si>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</si>
  <si>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</si>
  <si>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</si>
  <si>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</si>
  <si>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</si>
  <si>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</si>
  <si>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</si>
  <si>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</si>
  <si>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</si>
  <si>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</si>
  <si>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</si>
  <si>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</si>
  <si>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</si>
  <si>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</si>
  <si>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</si>
  <si>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</si>
  <si>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</si>
  <si>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</si>
  <si>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</si>
  <si>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</si>
  <si>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</si>
  <si>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</si>
  <si>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</si>
  <si>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</si>
  <si>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</si>
  <si>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</si>
  <si>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</si>
  <si>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</si>
  <si>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</si>
  <si>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</si>
  <si>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</si>
  <si>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</si>
  <si>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</si>
  <si>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</si>
  <si>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</si>
  <si>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</si>
  <si>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</si>
  <si>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</si>
  <si>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</si>
  <si>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</si>
  <si>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</si>
  <si>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</si>
  <si>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</si>
  <si>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</si>
  <si>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</si>
  <si>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</si>
  <si>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</si>
  <si>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</si>
  <si>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</si>
  <si>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</si>
  <si>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</si>
  <si>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</si>
  <si>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</si>
  <si>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</si>
  <si>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</si>
  <si>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</si>
  <si>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</si>
  <si>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</si>
  <si>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</si>
  <si>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</si>
  <si>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</si>
  <si>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</si>
  <si>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</si>
  <si>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</si>
  <si>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</si>
  <si>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</si>
  <si>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</si>
  <si>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</si>
  <si>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</si>
  <si>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</si>
  <si>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</si>
  <si>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</si>
  <si>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</si>
  <si>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</si>
  <si>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</si>
  <si>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</si>
  <si>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</si>
  <si>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</si>
  <si>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</si>
  <si>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</si>
  <si>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</si>
  <si>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</si>
  <si>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</si>
  <si>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</si>
  <si>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</si>
  <si>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</si>
  <si>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</si>
  <si>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</si>
  <si>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</si>
  <si>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</si>
  <si>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</si>
  <si>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</si>
  <si>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</si>
  <si>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</si>
  <si>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</si>
  <si>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</si>
  <si>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</si>
  <si>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</si>
  <si>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</si>
  <si>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</si>
  <si>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</si>
  <si>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</si>
  <si>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</si>
  <si>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</si>
  <si>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</si>
  <si>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</si>
  <si>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</si>
  <si>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</si>
  <si>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</si>
  <si>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</si>
  <si>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</si>
  <si>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</si>
  <si>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</si>
  <si>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</si>
  <si>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</si>
  <si>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</si>
  <si>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</si>
  <si>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</si>
  <si>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</si>
  <si>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</si>
  <si>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</si>
  <si>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</si>
  <si>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</si>
  <si>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</si>
  <si>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</si>
  <si>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</si>
  <si>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</si>
  <si>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</si>
  <si>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</si>
  <si>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</si>
  <si>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</si>
  <si>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</si>
  <si>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</si>
  <si>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</si>
  <si>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</si>
  <si>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</si>
  <si>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</si>
  <si>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</si>
  <si>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</si>
  <si>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</si>
  <si>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</si>
  <si>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</si>
  <si>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</si>
  <si>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</si>
  <si>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</si>
  <si>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</si>
  <si>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</si>
  <si>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</si>
  <si>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</si>
  <si>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</si>
  <si>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</si>
  <si>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</si>
  <si>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</si>
  <si>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</si>
  <si>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</si>
  <si>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</si>
  <si>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</si>
  <si>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</si>
  <si>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</si>
  <si>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</si>
  <si>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</si>
  <si>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</si>
  <si>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</si>
  <si>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</si>
  <si>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</si>
  <si>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</si>
  <si>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</si>
  <si>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</si>
  <si>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</si>
  <si>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</si>
  <si>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</si>
  <si>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</si>
  <si>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</si>
  <si>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</si>
  <si>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</si>
  <si>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</si>
  <si>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</si>
  <si>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</si>
  <si>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</si>
  <si>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</si>
  <si>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</si>
  <si>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</si>
  <si>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</si>
  <si>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</si>
  <si>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</si>
  <si>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</si>
  <si>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</si>
  <si>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</si>
  <si>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</si>
  <si>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</si>
  <si>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</si>
  <si>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</si>
  <si>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</si>
  <si>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</si>
  <si>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</si>
  <si>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</si>
  <si>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</si>
  <si>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</si>
  <si>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</si>
  <si>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</si>
  <si>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</si>
  <si>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</si>
  <si>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</si>
  <si>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</si>
  <si>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</si>
  <si>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</si>
  <si>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</si>
  <si>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</si>
  <si>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</si>
  <si>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</si>
  <si>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</si>
  <si>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</si>
  <si>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</si>
  <si>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</si>
  <si>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</si>
  <si>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</si>
  <si>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</si>
  <si>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</si>
  <si>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</si>
  <si>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</si>
  <si>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</si>
  <si>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</si>
  <si>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</si>
  <si>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</si>
  <si>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</si>
  <si>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</si>
  <si>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</si>
  <si>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</si>
  <si>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</si>
  <si>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</si>
  <si>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</si>
  <si>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</si>
  <si>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</si>
  <si>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</si>
  <si>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</si>
  <si>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</si>
  <si>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</si>
  <si>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</si>
  <si>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</si>
  <si>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</si>
  <si>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</si>
  <si>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</si>
  <si>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</si>
  <si>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</si>
  <si>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</si>
  <si>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</si>
  <si>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</si>
  <si>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</si>
  <si>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</si>
  <si>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</si>
  <si>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</si>
  <si>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</si>
  <si>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</si>
  <si>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</si>
  <si>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</si>
  <si>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</si>
  <si>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</si>
  <si>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</si>
  <si>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</si>
  <si>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</si>
  <si>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</si>
  <si>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</si>
  <si>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</si>
  <si>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</si>
  <si>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</si>
  <si>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</si>
  <si>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</si>
  <si>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</si>
  <si>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</si>
  <si>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</si>
  <si>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</si>
  <si>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</si>
  <si>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</si>
  <si>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</si>
  <si>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</si>
  <si>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</si>
  <si>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</si>
  <si>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</si>
  <si>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</si>
  <si>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</si>
  <si>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</si>
  <si>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</si>
  <si>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</si>
  <si>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</si>
  <si>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</si>
  <si>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</si>
  <si>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</si>
  <si>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</si>
  <si>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</si>
  <si>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</si>
  <si>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</si>
  <si>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</si>
  <si>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</si>
  <si>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</si>
  <si>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</si>
  <si>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</si>
  <si>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</si>
  <si>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</si>
  <si>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</si>
  <si>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</si>
  <si>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</si>
  <si>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</si>
  <si>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</si>
  <si>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</si>
  <si>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</si>
  <si>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</si>
  <si>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</si>
  <si>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</si>
  <si>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</si>
  <si>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</si>
  <si>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</si>
  <si>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</si>
  <si>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</si>
  <si>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</si>
  <si>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</si>
  <si>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</si>
  <si>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</si>
  <si>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</si>
  <si>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</si>
  <si>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</si>
  <si>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</si>
  <si>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</si>
  <si>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</si>
  <si>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</si>
  <si>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</si>
  <si>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</si>
  <si>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</si>
  <si>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</si>
  <si>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</si>
  <si>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</si>
  <si>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</si>
  <si>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</si>
  <si>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</si>
  <si>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</si>
  <si>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</si>
  <si>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</si>
  <si>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</si>
  <si>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</si>
  <si>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</si>
  <si>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</si>
  <si>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</si>
  <si>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</si>
  <si>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</si>
  <si>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</si>
  <si>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</si>
  <si>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</si>
  <si>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</si>
  <si>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</si>
  <si>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</si>
  <si>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</si>
  <si>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</si>
  <si>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</si>
  <si>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</si>
  <si>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</si>
  <si>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</si>
  <si>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</si>
  <si>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</si>
  <si>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</si>
  <si>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</si>
  <si>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</si>
  <si>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</si>
  <si>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</si>
  <si>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</si>
  <si>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</si>
  <si>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</si>
  <si>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</si>
  <si>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</si>
  <si>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</si>
  <si>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</si>
  <si>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</si>
  <si>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</si>
  <si>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</si>
  <si>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</si>
  <si>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</si>
  <si>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</si>
  <si>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</si>
  <si>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</si>
  <si>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</si>
  <si>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</si>
  <si>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</si>
  <si>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</si>
  <si>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</si>
  <si>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</si>
  <si>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</si>
  <si>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</si>
  <si>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</si>
  <si>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</si>
  <si>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</si>
  <si>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</si>
  <si>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</si>
  <si>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</si>
  <si>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</si>
  <si>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</si>
  <si>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</si>
  <si>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</si>
  <si>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</si>
  <si>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</si>
  <si>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</si>
  <si>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</si>
  <si>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</si>
  <si>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</si>
  <si>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</si>
  <si>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</si>
  <si>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</si>
  <si>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</si>
  <si>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</si>
  <si>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</si>
  <si>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</si>
  <si>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</si>
  <si>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</si>
  <si>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</si>
  <si>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</si>
  <si>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</si>
  <si>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</si>
  <si>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</si>
  <si>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</si>
  <si>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</si>
  <si>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</si>
  <si>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</si>
  <si>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</si>
  <si>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</si>
  <si>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</si>
  <si>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</si>
  <si>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</si>
  <si>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</si>
  <si>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</si>
  <si>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</si>
  <si>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</si>
  <si>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</si>
  <si>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</si>
  <si>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</si>
  <si>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</si>
  <si>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</si>
  <si>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</si>
  <si>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</si>
  <si>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</si>
  <si>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</si>
  <si>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</si>
  <si>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</si>
  <si>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</si>
  <si>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</si>
  <si>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</si>
  <si>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</si>
  <si>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</si>
  <si>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</si>
  <si>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</si>
  <si>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</si>
  <si>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</si>
  <si>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</si>
  <si>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</si>
  <si>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</si>
  <si>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</si>
  <si>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</si>
  <si>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</si>
  <si>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</si>
  <si>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</si>
  <si>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</si>
  <si>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</si>
  <si>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</si>
  <si>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</si>
  <si>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</si>
  <si>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</si>
  <si>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</si>
  <si>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</si>
  <si>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</si>
  <si>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</si>
  <si>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</si>
  <si>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</si>
  <si>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</si>
  <si>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</si>
  <si>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</si>
  <si>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</si>
  <si>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</si>
  <si>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</si>
  <si>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</si>
  <si>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</si>
  <si>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</si>
  <si>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</si>
  <si>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</si>
  <si>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</si>
  <si>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</si>
  <si>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</si>
  <si>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</si>
  <si>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</si>
  <si>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</si>
  <si>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</si>
  <si>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</si>
  <si>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</si>
  <si>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</si>
  <si>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</si>
  <si>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</si>
  <si>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</si>
  <si>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</si>
  <si>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</si>
  <si>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</si>
  <si>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</si>
  <si>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</si>
  <si>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</si>
  <si>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</si>
  <si>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</si>
  <si>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</si>
  <si>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</si>
  <si>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</si>
  <si>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</si>
  <si>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</si>
  <si>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</si>
  <si>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</si>
  <si>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</si>
  <si>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</si>
  <si>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</si>
  <si>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</si>
  <si>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</si>
  <si>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</si>
  <si>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</si>
  <si>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</si>
  <si>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</si>
  <si>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</si>
  <si>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</si>
  <si>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</si>
  <si>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</si>
  <si>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</si>
  <si>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</si>
  <si>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</si>
  <si>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</si>
  <si>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</si>
  <si>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</si>
  <si>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</si>
  <si>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</si>
  <si>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</si>
  <si>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</si>
  <si>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</si>
  <si>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</si>
  <si>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</si>
  <si>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</si>
  <si>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</si>
  <si>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</si>
  <si>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</si>
  <si>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</si>
  <si>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</si>
  <si>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</si>
  <si>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</si>
  <si>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</si>
  <si>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</si>
  <si>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</si>
  <si>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</si>
  <si>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</si>
  <si>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</si>
  <si>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</si>
  <si>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</si>
  <si>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</si>
  <si>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</si>
  <si>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</si>
  <si>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</si>
  <si>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</si>
  <si>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</si>
  <si>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</si>
  <si>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</si>
  <si>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</si>
  <si>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</si>
  <si>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</si>
  <si>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</si>
  <si>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</si>
  <si>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</si>
  <si>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</si>
  <si>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</si>
  <si>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</si>
  <si>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</si>
  <si>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</si>
  <si>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</si>
  <si>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</si>
  <si>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</si>
  <si>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</si>
  <si>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</si>
  <si>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</si>
  <si>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</si>
  <si>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</si>
  <si>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</si>
  <si>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</si>
  <si>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</si>
  <si>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</si>
  <si>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</si>
  <si>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</si>
  <si>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</si>
  <si>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</si>
  <si>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</si>
  <si>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</si>
  <si>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</si>
  <si>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</si>
  <si>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</si>
  <si>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</si>
  <si>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</si>
  <si>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</si>
  <si>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</si>
  <si>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</si>
  <si>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</si>
  <si>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</si>
  <si>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</si>
  <si>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</si>
  <si>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</si>
  <si>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</si>
  <si>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</si>
  <si>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</si>
  <si>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</si>
  <si>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</si>
  <si>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</si>
  <si>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</si>
  <si>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</si>
  <si>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</si>
  <si>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</si>
  <si>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</si>
  <si>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</si>
  <si>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</si>
  <si>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</si>
  <si>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</si>
  <si>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</si>
  <si>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</si>
  <si>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</si>
  <si>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</si>
  <si>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</si>
  <si>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</si>
  <si>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</si>
  <si>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</si>
  <si>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</si>
  <si>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</si>
  <si>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</si>
  <si>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</si>
  <si>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</si>
  <si>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</si>
  <si>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</si>
  <si>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</si>
  <si>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</si>
  <si>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</si>
  <si>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</si>
  <si>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</si>
  <si>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</si>
  <si>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</si>
  <si>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</si>
  <si>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</si>
  <si>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</si>
  <si>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</si>
  <si>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</si>
  <si>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</si>
  <si>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</si>
  <si>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</si>
  <si>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</si>
  <si>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</si>
  <si>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</si>
  <si>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</si>
  <si>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</si>
  <si>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</si>
  <si>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</si>
  <si>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</si>
  <si>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</si>
  <si>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</si>
  <si>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</si>
  <si>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</si>
  <si>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</si>
  <si>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</si>
  <si>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</si>
  <si>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</si>
  <si>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</si>
  <si>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</si>
  <si>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</si>
  <si>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</si>
  <si>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</si>
  <si>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</si>
  <si>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</si>
  <si>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</si>
  <si>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</si>
  <si>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</si>
  <si>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</si>
  <si>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</si>
  <si>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</si>
  <si>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</si>
  <si>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</si>
  <si>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</si>
  <si>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</si>
  <si>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</si>
  <si>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</si>
  <si>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</si>
  <si>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</si>
  <si>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</si>
  <si>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</si>
  <si>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</si>
  <si>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</si>
  <si>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</si>
  <si>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</si>
  <si>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</si>
  <si>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</si>
  <si>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</si>
  <si>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</si>
  <si>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</si>
  <si>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</si>
  <si>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</si>
  <si>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</si>
  <si>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</si>
  <si>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</si>
  <si>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</si>
  <si>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</si>
  <si>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</si>
  <si>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</si>
  <si>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</si>
  <si>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</si>
  <si>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</si>
  <si>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</si>
  <si>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</si>
  <si>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</si>
  <si>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</si>
  <si>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</si>
  <si>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</si>
  <si>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</si>
  <si>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</si>
  <si>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</si>
  <si>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</si>
  <si>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</si>
  <si>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</si>
  <si>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</si>
  <si>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</si>
  <si>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</si>
  <si>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</si>
  <si>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</si>
  <si>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</si>
  <si>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</si>
  <si>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</si>
  <si>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</si>
  <si>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</si>
  <si>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</si>
  <si>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</si>
  <si>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</si>
  <si>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</si>
  <si>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</si>
  <si>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</si>
  <si>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</si>
  <si>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</si>
  <si>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</si>
  <si>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</si>
  <si>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</si>
  <si>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</si>
  <si>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</si>
  <si>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</si>
  <si>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</si>
  <si>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</si>
  <si>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</si>
  <si>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</si>
  <si>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</si>
  <si>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</si>
  <si>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</si>
  <si>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</si>
  <si>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</si>
  <si>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</si>
  <si>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</si>
  <si>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</si>
  <si>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</si>
  <si>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</si>
  <si>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</si>
  <si>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</si>
  <si>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</si>
  <si>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</si>
  <si>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</si>
  <si>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</si>
  <si>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</si>
  <si>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</si>
  <si>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</si>
  <si>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</si>
  <si>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</si>
  <si>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</si>
  <si>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</si>
  <si>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</si>
  <si>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</si>
  <si>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</si>
  <si>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</si>
  <si>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</si>
  <si>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</si>
  <si>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</si>
  <si>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</si>
  <si>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</si>
  <si>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</si>
  <si>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</si>
  <si>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</si>
  <si>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</si>
  <si>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</si>
  <si>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</si>
  <si>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</si>
  <si>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</si>
  <si>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</si>
  <si>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</si>
  <si>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</si>
  <si>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</si>
  <si>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</si>
  <si>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</si>
  <si>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</si>
  <si>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</si>
  <si>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</si>
  <si>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</si>
  <si>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</si>
  <si>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</si>
  <si>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</si>
  <si>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</si>
  <si>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</si>
  <si>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</si>
  <si>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</si>
  <si>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</si>
  <si>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</si>
  <si>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</si>
  <si>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</si>
  <si>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</si>
  <si>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</si>
  <si>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</si>
  <si>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</si>
  <si>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</si>
  <si>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</si>
  <si>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</si>
  <si>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</si>
  <si>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</si>
  <si>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</si>
  <si>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</si>
  <si>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</si>
  <si>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</si>
  <si>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</si>
  <si>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</si>
  <si>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</si>
  <si>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</si>
  <si>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</si>
  <si>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</si>
  <si>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</si>
  <si>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</si>
  <si>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</si>
  <si>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</si>
  <si>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</si>
  <si>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</si>
  <si>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</si>
  <si>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</si>
  <si>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</si>
  <si>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</si>
  <si>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</si>
  <si>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</si>
  <si>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</si>
  <si>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</si>
  <si>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</si>
  <si>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</si>
  <si>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</si>
  <si>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</si>
  <si>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</si>
  <si>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</si>
  <si>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</si>
  <si>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</si>
  <si>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</si>
  <si>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</si>
  <si>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</si>
  <si>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</si>
  <si>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</si>
  <si>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</si>
  <si>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</si>
  <si>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</si>
  <si>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</si>
  <si>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</si>
  <si>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</si>
  <si>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</si>
  <si>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</si>
  <si>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</si>
  <si>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</si>
  <si>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</si>
  <si>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</si>
  <si>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</si>
  <si>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</si>
  <si>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</si>
  <si>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</si>
  <si>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</si>
  <si>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</si>
  <si>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</si>
  <si>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</si>
  <si>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</si>
  <si>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</si>
  <si>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</si>
  <si>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</si>
  <si>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</si>
  <si>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</si>
  <si>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</si>
  <si>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</si>
  <si>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</si>
  <si>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</si>
  <si>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</si>
  <si>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</si>
  <si>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</si>
  <si>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</si>
  <si>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</si>
  <si>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</si>
  <si>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</si>
  <si>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</si>
  <si>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</si>
  <si>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</si>
  <si>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</si>
  <si>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</si>
  <si>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</si>
  <si>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</si>
  <si>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</si>
  <si>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</si>
  <si>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</si>
  <si>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</si>
  <si>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</si>
  <si>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</si>
  <si>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</si>
  <si>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</si>
  <si>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</si>
  <si>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</si>
  <si>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</si>
  <si>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</si>
  <si>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</si>
  <si>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</si>
  <si>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</si>
  <si>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</si>
  <si>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</si>
  <si>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</si>
  <si>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</si>
  <si>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</si>
  <si>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</si>
  <si>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</si>
  <si>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</si>
  <si>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</si>
  <si>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</si>
  <si>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</si>
  <si>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</si>
  <si>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</si>
  <si>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</si>
  <si>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</si>
  <si>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</si>
  <si>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</si>
  <si>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</si>
  <si>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</si>
  <si>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</si>
  <si>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</si>
  <si>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</si>
  <si>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</si>
  <si>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</si>
  <si>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</si>
  <si>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</si>
  <si>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</si>
  <si>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</si>
  <si>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</si>
  <si>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</si>
  <si>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</si>
  <si>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</si>
  <si>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</si>
  <si>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</si>
  <si>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</si>
  <si>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</si>
  <si>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</si>
  <si>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</si>
  <si>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</si>
  <si>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</si>
  <si>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</si>
  <si>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</si>
  <si>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</si>
  <si>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</si>
  <si>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</si>
  <si>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</si>
  <si>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</si>
  <si>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</si>
  <si>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</si>
  <si>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</si>
  <si>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</si>
  <si>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</si>
  <si>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</si>
  <si>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</si>
  <si>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</si>
  <si>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</si>
  <si>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</si>
  <si>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</si>
  <si>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</si>
  <si>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</si>
  <si>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</si>
  <si>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</si>
  <si>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</si>
  <si>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</si>
  <si>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</si>
  <si>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</si>
  <si>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</si>
  <si>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</si>
  <si>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</si>
  <si>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</si>
  <si>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</si>
  <si>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</si>
  <si>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</si>
  <si>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</si>
  <si>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</si>
  <si>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</si>
  <si>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</si>
  <si>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</si>
  <si>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</si>
  <si>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</si>
  <si>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</si>
  <si>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</si>
  <si>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</si>
  <si>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</si>
  <si>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</si>
  <si>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</si>
  <si>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</si>
  <si>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</si>
  <si>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</si>
  <si>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</si>
  <si>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</si>
  <si>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</si>
  <si>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</si>
  <si>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</si>
  <si>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</si>
  <si>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</si>
  <si>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</si>
  <si>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</si>
  <si>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</si>
  <si>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</si>
  <si>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</si>
  <si>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</si>
  <si>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</si>
  <si>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</si>
  <si>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</si>
  <si>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</si>
  <si>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</si>
  <si>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</si>
  <si>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</si>
  <si>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</si>
  <si>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</si>
  <si>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</si>
  <si>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</si>
  <si>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</si>
  <si>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</si>
  <si>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</si>
  <si>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</si>
  <si>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</si>
  <si>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</si>
  <si>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</si>
  <si>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</si>
  <si>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</si>
  <si>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</si>
  <si>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</si>
  <si>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</si>
  <si>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</si>
  <si>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</si>
  <si>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</si>
  <si>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</si>
  <si>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</si>
  <si>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</si>
  <si>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</si>
  <si>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</si>
  <si>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</si>
  <si>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</si>
  <si>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</si>
  <si>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</si>
  <si>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</si>
  <si>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</si>
  <si>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</si>
  <si>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</si>
  <si>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</si>
  <si>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</si>
  <si>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</si>
  <si>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</si>
  <si>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</si>
  <si>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</si>
  <si>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</si>
  <si>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</si>
  <si>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</si>
  <si>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</si>
  <si>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</si>
  <si>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</si>
  <si>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</si>
  <si>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</si>
  <si>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</si>
  <si>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</si>
  <si>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</si>
  <si>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</si>
  <si>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</si>
  <si>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</si>
  <si>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</si>
  <si>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</si>
  <si>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</si>
  <si>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</si>
  <si>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</si>
  <si>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</si>
  <si>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</si>
  <si>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</si>
  <si>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</si>
  <si>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</si>
  <si>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</si>
  <si>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</si>
  <si>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</si>
  <si>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</si>
  <si>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</si>
  <si>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</si>
  <si>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</si>
  <si>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</si>
  <si>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</si>
  <si>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</si>
  <si>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</si>
  <si>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</si>
  <si>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</si>
  <si>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</si>
  <si>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</si>
  <si>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</si>
  <si>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</si>
  <si>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</si>
  <si>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</si>
  <si>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</si>
  <si>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</si>
  <si>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</si>
  <si>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</si>
  <si>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</si>
  <si>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</si>
  <si>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</si>
  <si>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</si>
  <si>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</si>
  <si>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</si>
  <si>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</si>
  <si>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</si>
  <si>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</si>
  <si>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</si>
  <si>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</si>
  <si>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</si>
  <si>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</si>
  <si>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</si>
  <si>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</si>
  <si>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</si>
  <si>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</si>
  <si>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</si>
  <si>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</si>
  <si>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</si>
  <si>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</si>
  <si>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</si>
  <si>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</si>
  <si>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</si>
  <si>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</si>
  <si>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</si>
  <si>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</si>
  <si>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</si>
  <si>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</si>
  <si>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</si>
  <si>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</si>
  <si>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</si>
  <si>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</si>
  <si>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</si>
  <si>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</si>
  <si>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</si>
  <si>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</si>
  <si>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</si>
  <si>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</si>
  <si>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</si>
  <si>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</si>
  <si>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</si>
  <si>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</si>
  <si>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</si>
  <si>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</si>
  <si>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</si>
  <si>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</si>
  <si>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</si>
  <si>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</si>
  <si>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</si>
  <si>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</si>
  <si>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</si>
  <si>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</si>
  <si>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</si>
  <si>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</si>
  <si>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</si>
  <si>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</si>
  <si>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</si>
  <si>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</si>
  <si>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</si>
  <si>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</si>
  <si>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</si>
  <si>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</si>
  <si>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</si>
  <si>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</si>
  <si>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</si>
  <si>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</si>
  <si>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</si>
  <si>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</si>
  <si>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</si>
  <si>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</si>
  <si>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</si>
  <si>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</si>
  <si>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</si>
  <si>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</si>
  <si>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</si>
  <si>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</si>
  <si>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</si>
  <si>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</si>
  <si>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</si>
  <si>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</si>
  <si>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</si>
  <si>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</si>
  <si>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</si>
  <si>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</si>
  <si>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</si>
  <si>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</si>
  <si>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</si>
  <si>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</si>
  <si>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</si>
  <si>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</si>
  <si>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</si>
  <si>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</si>
  <si>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</si>
  <si>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</si>
  <si>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</si>
  <si>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</si>
  <si>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</si>
  <si>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</si>
  <si>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</si>
  <si>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</si>
  <si>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</si>
  <si>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</si>
  <si>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</si>
  <si>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</si>
  <si>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</si>
  <si>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</si>
  <si>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</si>
  <si>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</si>
  <si>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</si>
  <si>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</si>
  <si>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</si>
  <si>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</si>
  <si>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</si>
  <si>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</si>
  <si>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</si>
  <si>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</si>
  <si>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</si>
  <si>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</si>
  <si>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</si>
  <si>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</si>
  <si>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</si>
  <si>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</si>
  <si>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</si>
  <si>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</si>
  <si>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</si>
  <si>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</si>
  <si>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</si>
  <si>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</si>
  <si>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</si>
  <si>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</si>
  <si>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</si>
  <si>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</si>
  <si>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</si>
  <si>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</si>
  <si>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</si>
  <si>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</si>
  <si>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</si>
  <si>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</si>
  <si>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</si>
  <si>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</si>
  <si>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</si>
  <si>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</si>
  <si>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</si>
  <si>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</si>
  <si>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</si>
  <si>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</si>
  <si>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</si>
  <si>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</si>
  <si>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</si>
  <si>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</si>
  <si>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</si>
  <si>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</si>
  <si>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</si>
  <si>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</si>
  <si>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</si>
  <si>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</si>
  <si>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</si>
  <si>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</si>
  <si>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</si>
  <si>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</si>
  <si>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</si>
  <si>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</si>
  <si>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</si>
  <si>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</si>
  <si>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</si>
  <si>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</si>
  <si>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</si>
  <si>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</si>
  <si>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</si>
  <si>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</si>
  <si>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</si>
  <si>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</si>
  <si>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</si>
  <si>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</si>
  <si>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</si>
  <si>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</si>
  <si>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</si>
  <si>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</si>
  <si>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</si>
  <si>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</si>
  <si>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</si>
  <si>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</si>
  <si>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</si>
  <si>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</si>
  <si>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</si>
  <si>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</si>
  <si>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</si>
  <si>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</si>
  <si>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</si>
  <si>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</si>
  <si>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</si>
  <si>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</si>
  <si>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</si>
  <si>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</si>
  <si>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</si>
  <si>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</si>
  <si>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</si>
  <si>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</si>
  <si>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</si>
  <si>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</si>
  <si>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</si>
  <si>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</si>
  <si>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</si>
  <si>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</si>
  <si>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</si>
  <si>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</si>
  <si>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</si>
  <si>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</si>
  <si>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</si>
  <si>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</si>
  <si>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</si>
  <si>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</si>
  <si>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</si>
  <si>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</si>
  <si>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</si>
  <si>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</si>
  <si>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</si>
  <si>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</si>
  <si>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</si>
  <si>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</si>
  <si>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</si>
  <si>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</si>
  <si>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</si>
  <si>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</si>
  <si>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</si>
  <si>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</si>
  <si>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</si>
  <si>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</si>
  <si>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</si>
  <si>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</si>
  <si>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</si>
  <si>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</si>
  <si>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</si>
  <si>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</si>
  <si>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</si>
  <si>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</si>
  <si>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</si>
  <si>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</si>
  <si>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</si>
  <si>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</si>
  <si>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</si>
  <si>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</si>
  <si>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</si>
  <si>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</si>
  <si>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</si>
  <si>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</si>
  <si>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</si>
  <si>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</si>
  <si>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</si>
  <si>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</si>
  <si>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</si>
  <si>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</si>
  <si>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</si>
  <si>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</si>
  <si>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</si>
  <si>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</si>
  <si>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</si>
  <si>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</si>
  <si>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</si>
  <si>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</si>
  <si>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</si>
  <si>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</si>
  <si>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</si>
  <si>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</si>
  <si>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</si>
  <si>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</si>
  <si>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</si>
  <si>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</si>
  <si>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</si>
  <si>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</si>
  <si>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</si>
  <si>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</si>
  <si>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</si>
  <si>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</si>
  <si>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</si>
  <si>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</si>
  <si>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</si>
  <si>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</si>
  <si>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</si>
  <si>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</si>
  <si>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</si>
  <si>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</si>
  <si>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</si>
  <si>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</si>
  <si>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</si>
  <si>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</si>
  <si>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</si>
  <si>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</si>
  <si>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</si>
  <si>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</si>
  <si>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</si>
  <si>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</si>
  <si>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</si>
  <si>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</si>
  <si>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</si>
  <si>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</si>
  <si>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</si>
  <si>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</si>
  <si>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</si>
  <si>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</si>
  <si>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</si>
  <si>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</si>
  <si>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</si>
  <si>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</si>
  <si>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</si>
  <si>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</si>
  <si>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</si>
  <si>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</si>
  <si>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</si>
  <si>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</si>
  <si>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</si>
  <si>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</si>
  <si>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</si>
  <si>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</si>
  <si>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</si>
  <si>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</si>
  <si>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</si>
  <si>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</si>
  <si>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</si>
  <si>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</si>
  <si>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</si>
  <si>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</si>
  <si>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</si>
  <si>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</si>
  <si>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</si>
  <si>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</si>
  <si>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</si>
  <si>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</si>
  <si>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</si>
  <si>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</si>
  <si>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</si>
  <si>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</si>
  <si>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</si>
  <si>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</si>
  <si>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</si>
  <si>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</si>
  <si>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</si>
  <si>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</si>
  <si>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</si>
  <si>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</si>
  <si>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</si>
  <si>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</si>
  <si>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</si>
  <si>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</si>
  <si>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</si>
  <si>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</si>
  <si>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</si>
  <si>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</si>
  <si>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</si>
  <si>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</si>
  <si>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</si>
  <si>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</si>
  <si>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</si>
  <si>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</si>
  <si>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</si>
  <si>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</si>
  <si>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</si>
  <si>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</si>
  <si>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</si>
  <si>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</si>
  <si>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</si>
  <si>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</si>
  <si>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</si>
  <si>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</si>
  <si>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</si>
  <si>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</si>
  <si>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</si>
  <si>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</si>
  <si>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</si>
  <si>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</si>
  <si>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</si>
  <si>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</si>
  <si>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</si>
  <si>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</si>
  <si>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</si>
  <si>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</si>
  <si>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</si>
  <si>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</si>
  <si>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</si>
  <si>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</si>
  <si>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</si>
  <si>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</si>
  <si>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</si>
  <si>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</si>
  <si>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</si>
  <si>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</si>
  <si>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</si>
  <si>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</si>
  <si>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</si>
  <si>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</si>
  <si>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</si>
  <si>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</si>
  <si>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</si>
  <si>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</si>
  <si>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</si>
  <si>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</si>
  <si>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</si>
  <si>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</si>
  <si>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</si>
  <si>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</si>
  <si>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</si>
  <si>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</si>
  <si>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</si>
  <si>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</si>
  <si>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</si>
  <si>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</si>
  <si>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</si>
  <si>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</si>
  <si>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</si>
  <si>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</si>
  <si>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</si>
  <si>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</si>
  <si>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</si>
  <si>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</si>
  <si>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</si>
  <si>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</si>
  <si>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</si>
  <si>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</si>
  <si>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</si>
  <si>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</si>
  <si>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</si>
  <si>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</si>
  <si>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</si>
  <si>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</si>
  <si>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</si>
  <si>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</si>
  <si>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</si>
  <si>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</si>
  <si>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</si>
  <si>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</si>
  <si>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</si>
  <si>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</si>
  <si>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</si>
  <si>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</si>
  <si>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</si>
  <si>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</si>
  <si>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</si>
  <si>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</si>
  <si>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</si>
  <si>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</si>
  <si>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</si>
  <si>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</si>
  <si>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</si>
  <si>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</si>
  <si>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</si>
  <si>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</si>
  <si>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</si>
  <si>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</si>
  <si>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</si>
  <si>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</si>
  <si>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</si>
  <si>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</si>
  <si>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</si>
  <si>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</si>
  <si>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</si>
  <si>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</si>
  <si>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</si>
  <si>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</si>
  <si>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</si>
  <si>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</si>
  <si>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</si>
  <si>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</si>
  <si>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</si>
  <si>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</si>
  <si>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</si>
  <si>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</si>
  <si>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</si>
  <si>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</si>
  <si>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</si>
  <si>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</si>
  <si>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</si>
  <si>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</si>
  <si>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</si>
  <si>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</si>
  <si>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</si>
  <si>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</si>
  <si>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</si>
  <si>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</si>
  <si>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</si>
  <si>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</si>
  <si>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</si>
  <si>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</si>
  <si>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</si>
  <si>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</si>
  <si>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</si>
  <si>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</si>
  <si>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</si>
  <si>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</si>
  <si>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</si>
  <si>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</si>
  <si>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</si>
  <si>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</si>
  <si>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</si>
  <si>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</si>
  <si>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</si>
  <si>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</si>
  <si>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</si>
  <si>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</si>
  <si>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</si>
  <si>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</si>
  <si>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</si>
  <si>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</si>
  <si>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</si>
  <si>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</si>
  <si>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</si>
  <si>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</si>
  <si>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</si>
  <si>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</si>
  <si>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</si>
  <si>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</si>
  <si>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</si>
  <si>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</si>
  <si>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</si>
  <si>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</si>
  <si>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</si>
  <si>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</si>
  <si>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</si>
  <si>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</si>
  <si>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</si>
  <si>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</si>
  <si>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</si>
  <si>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</si>
  <si>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</si>
  <si>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</si>
  <si>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</si>
  <si>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</si>
  <si>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</si>
  <si>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</si>
  <si>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</si>
  <si>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</si>
  <si>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</si>
  <si>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</si>
  <si>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</si>
  <si>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</si>
  <si>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</si>
  <si>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</si>
  <si>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</si>
  <si>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</si>
  <si>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</si>
  <si>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</si>
  <si>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</si>
  <si>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</si>
  <si>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</si>
  <si>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</si>
  <si>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</si>
  <si>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</si>
  <si>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</si>
  <si>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</si>
  <si>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</si>
  <si>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</si>
  <si>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</si>
  <si>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</si>
  <si>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</si>
  <si>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</si>
  <si>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</si>
  <si>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</si>
  <si>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</si>
  <si>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</si>
  <si>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</si>
  <si>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</si>
  <si>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</si>
  <si>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</si>
  <si>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</si>
  <si>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</si>
  <si>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</si>
  <si>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</si>
  <si>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</si>
  <si>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</si>
  <si>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</si>
  <si>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</si>
  <si>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</si>
  <si>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</si>
  <si>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</si>
  <si>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</si>
  <si>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</si>
  <si>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</si>
  <si>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</si>
  <si>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</si>
  <si>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</si>
  <si>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</si>
  <si>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</si>
  <si>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</si>
  <si>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</si>
  <si>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</si>
  <si>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</si>
  <si>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</si>
  <si>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</si>
  <si>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</si>
  <si>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</si>
  <si>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</si>
  <si>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</si>
  <si>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</si>
  <si>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</si>
  <si>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</si>
  <si>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</si>
  <si>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</si>
  <si>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</si>
  <si>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</si>
  <si>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</si>
  <si>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</si>
  <si>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</si>
  <si>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</si>
  <si>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</si>
  <si>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</si>
  <si>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</si>
  <si>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</si>
  <si>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</si>
  <si>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</si>
  <si>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</si>
  <si>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是</t>
  </si>
  <si>
    <t>地上</t>
  </si>
  <si>
    <t>办公楼</t>
  </si>
  <si>
    <t>工业</t>
    <phoneticPr fontId="7" type="noConversion"/>
  </si>
  <si>
    <t>抵押</t>
  </si>
  <si>
    <t>房地产抵押价值</t>
  </si>
  <si>
    <t>北京市</t>
  </si>
  <si>
    <t>企业</t>
  </si>
  <si>
    <t>出让</t>
  </si>
  <si>
    <t>通路</t>
  </si>
  <si>
    <t>通电</t>
  </si>
  <si>
    <t>通讯</t>
  </si>
  <si>
    <t>通上水</t>
  </si>
  <si>
    <t>通下水</t>
  </si>
  <si>
    <t>平整</t>
  </si>
  <si>
    <t>收益法</t>
  </si>
  <si>
    <t>利息：取LPR加浮动点数</t>
  </si>
  <si>
    <t>在建（套用方法）</t>
  </si>
  <si>
    <t>钢混</t>
  </si>
  <si>
    <t>非生产用房</t>
  </si>
  <si>
    <t>按租金收入计税</t>
  </si>
  <si>
    <t>已全部缴纳</t>
  </si>
  <si>
    <t>未包含在土地购买价格中</t>
  </si>
  <si>
    <t>全部缴纳</t>
  </si>
  <si>
    <t>已包含在土地取得成本中</t>
  </si>
  <si>
    <t>成本法</t>
  </si>
  <si>
    <t>假设开发法</t>
  </si>
  <si>
    <t>成本比率</t>
  </si>
  <si>
    <t>总价</t>
  </si>
  <si>
    <t>郑燚</t>
  </si>
  <si>
    <t>崔锴</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</si>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</sst>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104" fillId="5" borderId="1" xfId="1" applyNumberFormat="1" applyFont="1" applyFill="1" applyBorder="1" applyAlignment="1" applyProtection="1">
      <alignment horizontal="center" vertical="center"/>
      <protection locked="0"/>
    </xf>
    <xf numFmtId="184" fontId="118" fillId="5" borderId="1" xfId="0" applyNumberFormat="1" applyFont="1" applyFill="1" applyBorder="1" applyAlignment="1" applyProtection="1">
      <alignment horizontal="center" vertical="center" shrinkToFit="1"/>
      <protection locked="0"/>
    </xf>
    <xf numFmtId="10" fontId="104" fillId="5" borderId="1" xfId="1" applyNumberFormat="1" applyFont="1" applyFill="1" applyBorder="1" applyAlignment="1" applyProtection="1">
      <alignment horizontal="center" vertical="center"/>
      <protection locked="0"/>
    </xf>
    <xf numFmtId="0" fontId="118" fillId="5" borderId="24"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3494;&#20113;&#21306;&#19996;&#21513;&#36335;1&#21495;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2348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估价对象为北京市房地产，为所有。根据《国有土地使用证》[]，估价对象（分摊）出让国有建设用地使用权面积为18193.39平方米，建筑面积为37711.24平方米。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估价对象为北京市房地产,属开发建设的，该项目尚在开发建设中。根据《国有土地使用证》[]，估价对象（分摊）出让国有建设用地使用权面积为18193.39平方米，规划建筑面积为37711.24平方米。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2022年7月26日</v>
      </c>
    </row>
    <row r="13" spans="1:2" s="1318" customFormat="1">
      <c r="A13" s="1316" t="s">
        <v>954</v>
      </c>
      <c r="B13" s="1317" t="str">
        <f>'预评函-1'!A18</f>
        <v>本次估价的“房地产价值”是指在正常市场情况下，在价值时点2022年7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23513</v>
      </c>
    </row>
    <row r="21" spans="1:2" s="1318" customFormat="1">
      <c r="A21" s="1316" t="s">
        <v>962</v>
      </c>
      <c r="B21" s="1317">
        <f ca="1">'预评函-2'!D7</f>
        <v>6235</v>
      </c>
    </row>
    <row r="22" spans="1:2" s="1318" customFormat="1">
      <c r="A22" s="1316" t="s">
        <v>963</v>
      </c>
      <c r="B22" s="1317" t="str">
        <f ca="1">'预评函-2'!D6</f>
        <v>贰亿叁仟伍佰壹拾叁万元整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23513</v>
      </c>
    </row>
    <row r="31" spans="1:2" s="1318" customFormat="1">
      <c r="A31" s="1316" t="s">
        <v>1001</v>
      </c>
      <c r="B31" s="1317">
        <f ca="1">'预评函-2'!D15</f>
        <v>6235</v>
      </c>
    </row>
    <row r="32" spans="1:2" s="1318" customFormat="1">
      <c r="A32" s="1316" t="s">
        <v>968</v>
      </c>
      <c r="B32" s="1317" t="str">
        <f ca="1">'预评函-2'!D14</f>
        <v>贰亿叁仟伍佰壹拾叁万元整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37711.240000000005</v>
      </c>
    </row>
    <row r="44" spans="1:2" s="1318" customFormat="1">
      <c r="A44" s="1316" t="s">
        <v>1000</v>
      </c>
      <c r="B44" s="1317" t="str">
        <f>'预评函-3'!C2</f>
        <v>(分摊)土地面积</v>
      </c>
    </row>
    <row r="45" spans="1:2" s="1318" customFormat="1">
      <c r="A45" s="1316" t="s">
        <v>972</v>
      </c>
      <c r="B45" s="1317">
        <f>'预评函-3'!C4</f>
        <v>18193.39</v>
      </c>
    </row>
    <row r="46" spans="1:2" s="1318" customFormat="1">
      <c r="A46" s="1316" t="s">
        <v>998</v>
      </c>
      <c r="B46" s="1317" t="str">
        <f>'预评函-3'!D2</f>
        <v>出让国有建设用地使用权价值</v>
      </c>
    </row>
    <row r="47" spans="1:2" s="1318" customFormat="1">
      <c r="A47" s="1316" t="s">
        <v>973</v>
      </c>
      <c r="B47" s="1317">
        <f ca="1">'预评函-3'!D4</f>
        <v>4867</v>
      </c>
    </row>
    <row r="48" spans="1:2" s="1318" customFormat="1">
      <c r="A48" s="1316" t="s">
        <v>974</v>
      </c>
      <c r="B48" s="1317">
        <f ca="1">'预评函-3'!E4</f>
        <v>1291</v>
      </c>
    </row>
    <row r="49" spans="1:2" s="1318" customFormat="1">
      <c r="A49" s="1316" t="s">
        <v>975</v>
      </c>
      <c r="B49" s="1317" t="str">
        <f ca="1">'预评函-3'!D5</f>
        <v>肆仟捌佰陆拾柒万元整</v>
      </c>
    </row>
    <row r="50" spans="1:2" s="1318" customFormat="1">
      <c r="A50" s="1316" t="s">
        <v>999</v>
      </c>
      <c r="B50" s="1317" t="str">
        <f>'预评函-3'!F2</f>
        <v>在建建筑物价值</v>
      </c>
    </row>
    <row r="51" spans="1:2" s="1318" customFormat="1">
      <c r="A51" s="1316" t="s">
        <v>976</v>
      </c>
      <c r="B51" s="1317">
        <f ca="1">'预评函-3'!F4</f>
        <v>18646</v>
      </c>
    </row>
    <row r="52" spans="1:2" s="1318" customFormat="1">
      <c r="A52" s="1316" t="s">
        <v>977</v>
      </c>
      <c r="B52" s="1317">
        <f ca="1">'预评函-3'!G4</f>
        <v>4944</v>
      </c>
    </row>
    <row r="53" spans="1:2" s="1318" customFormat="1">
      <c r="A53" s="1316" t="s">
        <v>1005</v>
      </c>
      <c r="B53" s="1317" t="str">
        <f ca="1">'预评函-3'!F5</f>
        <v>壹亿捌仟陆佰肆拾陆万元整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7" sqref="N2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2668</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2669</v>
      </c>
      <c r="B3" s="2547"/>
      <c r="C3" s="2548" t="s">
        <v>2670</v>
      </c>
      <c r="D3" s="2547">
        <v>44768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3214</v>
      </c>
      <c r="C4" s="2550">
        <f ca="1">SUMIF(注册房地产估价师,B4,估价师及机构信息!B3:B24)</f>
        <v>1120070131</v>
      </c>
      <c r="D4" s="2549" t="s">
        <v>3215</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2674</v>
      </c>
      <c r="B7" s="2561"/>
      <c r="C7" s="2559"/>
      <c r="D7" s="2560"/>
      <c r="E7" s="2839"/>
      <c r="F7" s="2841"/>
      <c r="G7" s="2841"/>
      <c r="H7" s="2841"/>
      <c r="I7" s="2841"/>
      <c r="J7" s="2615"/>
      <c r="K7" s="2792"/>
      <c r="L7" s="2789"/>
      <c r="M7" s="2789"/>
      <c r="N7" s="2615"/>
      <c r="O7" s="2626"/>
      <c r="P7" s="2615"/>
      <c r="Q7" s="2615"/>
      <c r="R7" s="2615"/>
    </row>
    <row r="8" spans="1:28">
      <c r="A8" s="2562" t="s">
        <v>2675</v>
      </c>
      <c r="B8" s="2563" t="s">
        <v>3189</v>
      </c>
      <c r="C8" s="2564"/>
      <c r="D8" s="3279" t="s">
        <v>2676</v>
      </c>
      <c r="E8" s="2565" t="s">
        <v>3190</v>
      </c>
      <c r="F8" s="2566"/>
      <c r="G8" s="2840"/>
      <c r="H8" s="2840"/>
      <c r="I8" s="2840"/>
      <c r="J8" s="2615"/>
      <c r="K8" s="2790"/>
      <c r="L8" s="2789"/>
      <c r="M8" s="2789"/>
      <c r="N8" s="2615"/>
      <c r="O8" s="2626"/>
      <c r="P8" s="2615"/>
      <c r="Q8" s="2615"/>
      <c r="R8" s="2615"/>
    </row>
    <row r="9" spans="1:28" ht="13.5" thickBot="1">
      <c r="A9" s="2567" t="s">
        <v>2677</v>
      </c>
      <c r="B9" s="2568" t="s">
        <v>3190</v>
      </c>
      <c r="C9" s="2569"/>
      <c r="D9" s="3280"/>
      <c r="E9" s="2568"/>
      <c r="F9" s="2570"/>
      <c r="G9" s="2842"/>
      <c r="H9" s="2842"/>
      <c r="I9" s="2842"/>
      <c r="J9" s="2615"/>
      <c r="K9" s="2792"/>
      <c r="L9" s="2789"/>
      <c r="M9" s="2789"/>
      <c r="N9" s="2615"/>
      <c r="O9" s="2626"/>
      <c r="P9" s="2615"/>
      <c r="Q9" s="2615"/>
      <c r="R9" s="2615"/>
    </row>
    <row r="10" spans="1:28" ht="13.5" thickTop="1">
      <c r="A10" s="2571" t="s">
        <v>2678</v>
      </c>
      <c r="B10" s="2572" t="s">
        <v>3191</v>
      </c>
      <c r="C10" s="2573"/>
      <c r="D10" s="2556"/>
      <c r="E10" s="2574" t="s">
        <v>2679</v>
      </c>
      <c r="F10" s="2843"/>
      <c r="G10" s="2844"/>
      <c r="H10" s="2845"/>
      <c r="I10" s="2846"/>
      <c r="J10" s="2615"/>
      <c r="K10" s="2792"/>
      <c r="L10" s="2789"/>
      <c r="M10" s="2789"/>
      <c r="N10" s="2615"/>
      <c r="O10" s="2626"/>
      <c r="P10" s="2615"/>
      <c r="Q10" s="2615"/>
      <c r="R10" s="2615"/>
    </row>
    <row r="11" spans="1:28">
      <c r="A11" s="2575" t="s">
        <v>2680</v>
      </c>
      <c r="B11" s="2576" t="s">
        <v>3192</v>
      </c>
      <c r="C11" s="2577"/>
      <c r="D11" s="2578"/>
      <c r="E11" s="2544"/>
      <c r="F11" s="2544"/>
      <c r="G11" s="2544"/>
      <c r="H11" s="2544"/>
      <c r="I11" s="2544"/>
      <c r="J11" s="2615"/>
      <c r="K11" s="2792"/>
      <c r="L11" s="2789"/>
      <c r="M11" s="2789"/>
      <c r="N11" s="2615"/>
      <c r="O11" s="2626"/>
      <c r="P11" s="2615"/>
      <c r="Q11" s="2615"/>
      <c r="R11" s="2615"/>
    </row>
    <row r="12" spans="1:28">
      <c r="A12" s="2579" t="s">
        <v>2681</v>
      </c>
      <c r="B12" s="2576" t="s">
        <v>3193</v>
      </c>
      <c r="C12" s="329" t="s">
        <v>2682</v>
      </c>
      <c r="D12" s="2580" t="s">
        <v>2683</v>
      </c>
      <c r="E12" s="2580" t="s">
        <v>2684</v>
      </c>
      <c r="F12" s="2580" t="s">
        <v>2685</v>
      </c>
      <c r="G12" s="2580" t="s">
        <v>2686</v>
      </c>
      <c r="H12" s="2580" t="s">
        <v>2687</v>
      </c>
      <c r="I12" s="2580" t="s">
        <v>2688</v>
      </c>
      <c r="J12" s="2615"/>
      <c r="K12" s="2792"/>
      <c r="L12" s="2789"/>
      <c r="M12" s="2789"/>
      <c r="N12" s="2615"/>
      <c r="O12" s="2626"/>
      <c r="P12" s="2615"/>
      <c r="Q12" s="2615"/>
      <c r="R12" s="2615"/>
    </row>
    <row r="13" spans="1:28">
      <c r="A13" s="1194"/>
      <c r="B13" s="2581"/>
      <c r="C13" s="2582" t="s">
        <v>2689</v>
      </c>
      <c r="D13" s="946"/>
      <c r="E13" s="946"/>
      <c r="F13" s="946"/>
      <c r="G13" s="946"/>
      <c r="H13" s="946"/>
      <c r="I13" s="3581">
        <v>57526</v>
      </c>
      <c r="J13" s="2615"/>
      <c r="K13" s="2792"/>
      <c r="L13" s="2789"/>
      <c r="M13" s="2789"/>
      <c r="N13" s="2615"/>
      <c r="O13" s="2626"/>
      <c r="P13" s="2615"/>
      <c r="Q13" s="2615"/>
      <c r="R13" s="2615"/>
    </row>
    <row r="14" spans="1:28">
      <c r="A14" s="1194"/>
      <c r="B14" s="2581"/>
      <c r="C14" s="2582" t="s">
        <v>2690</v>
      </c>
      <c r="D14" s="2583"/>
      <c r="E14" s="2583"/>
      <c r="F14" s="2583"/>
      <c r="G14" s="2583"/>
      <c r="H14" s="2583"/>
      <c r="I14" s="2583">
        <v>50</v>
      </c>
      <c r="J14" s="2615"/>
      <c r="K14" s="2793"/>
      <c r="L14" s="2789"/>
      <c r="M14" s="2789"/>
      <c r="N14" s="2615"/>
      <c r="O14" s="2626"/>
      <c r="P14" s="2615"/>
      <c r="Q14" s="2615"/>
      <c r="R14" s="2615"/>
    </row>
    <row r="15" spans="1:28">
      <c r="A15" s="326"/>
      <c r="B15" s="2584"/>
      <c r="C15" s="2585" t="s">
        <v>2691</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34.950000000000003</v>
      </c>
      <c r="J15" s="2615"/>
      <c r="K15" s="2794"/>
      <c r="L15" s="2627"/>
      <c r="M15" s="2627"/>
      <c r="N15" s="2685"/>
      <c r="O15" s="2627"/>
      <c r="P15" s="2685"/>
      <c r="Q15" s="2615"/>
      <c r="R15" s="2615"/>
    </row>
    <row r="16" spans="1:28">
      <c r="A16" s="2574" t="s">
        <v>2692</v>
      </c>
      <c r="B16" s="3286"/>
      <c r="C16" s="3287"/>
      <c r="D16" s="3288"/>
      <c r="E16" s="2589" t="s">
        <v>2693</v>
      </c>
      <c r="F16" s="3289"/>
      <c r="G16" s="3290"/>
      <c r="H16" s="3290"/>
      <c r="I16" s="3291"/>
      <c r="J16" s="2615"/>
      <c r="K16" s="2794"/>
      <c r="L16" s="2627"/>
      <c r="M16" s="2627"/>
      <c r="N16" s="2685"/>
      <c r="O16" s="2627"/>
      <c r="P16" s="2685"/>
      <c r="Q16" s="2615"/>
      <c r="R16" s="2615"/>
    </row>
    <row r="17" spans="1:28">
      <c r="A17" s="319" t="s">
        <v>2694</v>
      </c>
      <c r="B17" s="308" t="s">
        <v>2695</v>
      </c>
      <c r="C17" s="11">
        <f>'数据-汇总表'!E3</f>
        <v>37711.240000000005</v>
      </c>
      <c r="D17" s="2496" t="s">
        <v>2696</v>
      </c>
      <c r="E17" s="3292" t="s">
        <v>2697</v>
      </c>
      <c r="F17" s="3293"/>
      <c r="G17" s="3293"/>
      <c r="H17" s="3293"/>
      <c r="I17" s="3294"/>
      <c r="J17" s="2615"/>
      <c r="K17" s="2795"/>
      <c r="L17" s="2627"/>
      <c r="M17" s="2627"/>
      <c r="N17" s="2685"/>
      <c r="O17" s="2627"/>
      <c r="P17" s="2685"/>
      <c r="Q17" s="2615"/>
      <c r="R17" s="2615"/>
      <c r="S17" s="2615"/>
      <c r="T17" s="2615"/>
      <c r="U17" s="2615"/>
      <c r="V17" s="2615"/>
    </row>
    <row r="18" spans="1:28" ht="24.75" thickBot="1">
      <c r="A18" s="2590" t="s">
        <v>2698</v>
      </c>
      <c r="B18" s="1203" t="s">
        <v>2699</v>
      </c>
      <c r="C18" s="2591">
        <f>'数据-汇总表'!D3</f>
        <v>18193.39</v>
      </c>
      <c r="D18" s="1205" t="s">
        <v>2700</v>
      </c>
      <c r="E18" s="3295" t="s">
        <v>2701</v>
      </c>
      <c r="F18" s="3296"/>
      <c r="G18" s="3296"/>
      <c r="H18" s="3296"/>
      <c r="I18" s="3297"/>
      <c r="J18" s="2615"/>
      <c r="K18" s="2795"/>
      <c r="L18" s="2627"/>
      <c r="M18" s="2627"/>
      <c r="N18" s="2685"/>
      <c r="O18" s="2627"/>
      <c r="P18" s="2685"/>
      <c r="Q18" s="2615"/>
      <c r="R18" s="2615"/>
      <c r="S18" s="2615"/>
      <c r="T18" s="2615"/>
      <c r="U18" s="2615"/>
      <c r="V18" s="2615"/>
    </row>
    <row r="19" spans="1:28" ht="37.5" thickTop="1" thickBot="1">
      <c r="A19" s="333" t="s">
        <v>1500</v>
      </c>
      <c r="B19" s="313" t="s">
        <v>2702</v>
      </c>
      <c r="C19" s="1699" t="s">
        <v>3185</v>
      </c>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282" t="s">
        <v>2705</v>
      </c>
      <c r="C20" s="3283"/>
      <c r="D20" s="3284" t="s">
        <v>2706</v>
      </c>
      <c r="E20" s="3285"/>
      <c r="F20" s="2824" t="s">
        <v>1501</v>
      </c>
      <c r="G20" s="2841"/>
      <c r="H20" s="2841"/>
      <c r="I20" s="2841"/>
      <c r="J20" s="2615"/>
      <c r="K20" s="3281"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9"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9"/>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9"/>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0"/>
      <c r="B30" s="308" t="s">
        <v>2717</v>
      </c>
      <c r="C30" s="3301"/>
      <c r="D30" s="3302"/>
      <c r="E30" s="2841"/>
      <c r="F30" s="2841"/>
      <c r="G30" s="2841"/>
      <c r="H30" s="2841"/>
      <c r="I30" s="2841"/>
      <c r="J30" s="2615"/>
      <c r="K30" s="2792"/>
      <c r="L30" s="2789"/>
      <c r="M30" s="2789"/>
      <c r="N30" s="2615"/>
      <c r="O30" s="2626"/>
      <c r="P30" s="2615"/>
      <c r="Q30" s="2615"/>
      <c r="R30" s="2615"/>
      <c r="S30" s="2615"/>
      <c r="T30" s="2615"/>
      <c r="U30" s="2615"/>
      <c r="V30" s="2615"/>
    </row>
    <row r="31" spans="1:28">
      <c r="A31" s="3303"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t="s">
        <v>3194</v>
      </c>
      <c r="C34" s="2165" t="s">
        <v>3195</v>
      </c>
      <c r="D34" s="2165" t="s">
        <v>3196</v>
      </c>
      <c r="E34" s="2165" t="s">
        <v>3197</v>
      </c>
      <c r="F34" s="2165" t="s">
        <v>3198</v>
      </c>
      <c r="G34" s="2165" t="s">
        <v>3199</v>
      </c>
      <c r="H34" s="2165"/>
      <c r="I34" s="2841"/>
      <c r="J34" s="2615"/>
      <c r="K34" s="2603">
        <f>COUNTIF(B34:H34,"——")</f>
        <v>0</v>
      </c>
      <c r="L34" s="329" t="s">
        <v>2720</v>
      </c>
      <c r="M34" s="329" t="s">
        <v>2721</v>
      </c>
      <c r="N34" s="329" t="s">
        <v>2722</v>
      </c>
      <c r="O34" s="329" t="s">
        <v>2723</v>
      </c>
      <c r="P34" s="329" t="s">
        <v>2724</v>
      </c>
      <c r="Q34" s="329" t="s">
        <v>2725</v>
      </c>
      <c r="R34" s="329" t="s">
        <v>2726</v>
      </c>
      <c r="S34" s="3298" t="s">
        <v>2727</v>
      </c>
      <c r="T34" s="2604" t="str">
        <f>NUMBERSTRING(7-K34,1)&amp;"通"</f>
        <v>七通</v>
      </c>
      <c r="U34" s="2615"/>
      <c r="V34" s="2615"/>
    </row>
    <row r="35" spans="1:30">
      <c r="A35" s="2605"/>
      <c r="B35" s="3305" t="s">
        <v>2728</v>
      </c>
      <c r="C35" s="3305"/>
      <c r="D35" s="3305"/>
      <c r="E35" s="3305"/>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98"/>
      <c r="T35" s="335" t="str">
        <f>IF(T34="一通",L35,IF(T34="二通",M35,IF(T34="三通",N35,IF(T34="四通",O35,IF(T34="五通",P35,IF(T34="六通",Q35,R35))))))</f>
        <v>通路、通电、通讯、通上水、通下水、平整、</v>
      </c>
      <c r="U35" s="2615"/>
      <c r="V35" s="2615"/>
    </row>
    <row r="36" spans="1:30">
      <c r="A36" s="2606"/>
      <c r="B36" s="673" t="s">
        <v>2684</v>
      </c>
      <c r="C36" s="673" t="s">
        <v>2685</v>
      </c>
      <c r="D36" s="673" t="s">
        <v>2683</v>
      </c>
      <c r="E36" s="673" t="s">
        <v>2688</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24" sqref="AG2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18193.39</v>
      </c>
      <c r="B3" s="14">
        <f>IF(C3="否",G5-AT5,G5)</f>
        <v>37711.240000000005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37711.240000000005</v>
      </c>
      <c r="H5" s="16">
        <f t="shared" ref="H5:AT5" si="0">SUM(H13:H656)</f>
        <v>36123.300000000003</v>
      </c>
      <c r="I5" s="16">
        <f t="shared" si="0"/>
        <v>36123.300000000003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1587.94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1365.83</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37711.240000000005</v>
      </c>
      <c r="BA5" s="18">
        <f t="shared" si="1"/>
        <v>36123.300000000003</v>
      </c>
      <c r="BB5" s="18">
        <f t="shared" si="1"/>
        <v>36123.300000000003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1587.94</v>
      </c>
      <c r="BM5" s="18">
        <f t="shared" si="1"/>
        <v>0</v>
      </c>
      <c r="BN5" s="18">
        <f t="shared" si="1"/>
        <v>0</v>
      </c>
      <c r="BO5" s="18">
        <f t="shared" si="1"/>
        <v>0</v>
      </c>
      <c r="BP5" s="18">
        <f t="shared" si="1"/>
        <v>0</v>
      </c>
      <c r="BQ5" s="18">
        <f t="shared" si="1"/>
        <v>222.11</v>
      </c>
      <c r="BR5" s="18">
        <f t="shared" si="1"/>
        <v>1365.83</v>
      </c>
      <c r="BS5" s="18">
        <f t="shared" si="1"/>
        <v>0</v>
      </c>
      <c r="BT5" s="19">
        <f t="shared" si="1"/>
        <v>0</v>
      </c>
    </row>
    <row r="6" spans="1:72" s="1725" customFormat="1" ht="12.75">
      <c r="A6" s="15" t="s">
        <v>1517</v>
      </c>
      <c r="B6" s="1722"/>
      <c r="C6" s="1722"/>
      <c r="D6" s="1723"/>
      <c r="E6" s="16">
        <f>H6+AC6+AT6</f>
        <v>18193.39</v>
      </c>
      <c r="F6" s="16" t="s">
        <v>1</v>
      </c>
      <c r="G6" s="16" t="s">
        <v>2</v>
      </c>
      <c r="H6" s="20">
        <f>SUMIF(I$12:AB$12,"总值",I6:AB6)</f>
        <v>17427.310000000001</v>
      </c>
      <c r="I6" s="16">
        <f t="shared" ref="I6:AB6" si="2">ROUND($A$3*I5/$B$3,2)</f>
        <v>17427.310000000001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766.07999999999993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107.15</v>
      </c>
      <c r="AM6" s="16">
        <f t="shared" si="3"/>
        <v>0</v>
      </c>
      <c r="AN6" s="16">
        <f t="shared" si="3"/>
        <v>658.93</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18193.39</v>
      </c>
      <c r="AZ6" s="16" t="s">
        <v>3</v>
      </c>
      <c r="BA6" s="16">
        <f>ROUND($AY$6*BA5/$AZ$5,2)</f>
        <v>17427.310000000001</v>
      </c>
      <c r="BB6" s="16">
        <f>ROUND($AY$6*BB5/$AZ$5,2)</f>
        <v>17427.310000000001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766.08</v>
      </c>
      <c r="BM6" s="16">
        <f t="shared" si="5"/>
        <v>0</v>
      </c>
      <c r="BN6" s="16">
        <f t="shared" si="5"/>
        <v>0</v>
      </c>
      <c r="BO6" s="16">
        <f t="shared" si="5"/>
        <v>0</v>
      </c>
      <c r="BP6" s="16">
        <f t="shared" si="5"/>
        <v>0</v>
      </c>
      <c r="BQ6" s="16">
        <f t="shared" si="5"/>
        <v>107.15</v>
      </c>
      <c r="BR6" s="16">
        <f t="shared" si="5"/>
        <v>658.93</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3173</v>
      </c>
      <c r="D13" s="1761" t="s">
        <v>3185</v>
      </c>
      <c r="E13" s="16">
        <f>IF($C$3="是",ROUND($A$3*G13/$B$3,2),ROUND($A$3*(G13-AT13)/$B$3,2))</f>
        <v>1747.25</v>
      </c>
      <c r="F13" s="32"/>
      <c r="G13" s="33">
        <f>H13+AC13+AT13</f>
        <v>3621.7</v>
      </c>
      <c r="H13" s="20">
        <f>SUMIF(I$12:AB$12,"总值",I13:AB13)</f>
        <v>3621.7</v>
      </c>
      <c r="I13" s="1762">
        <v>3621.7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1#戊类厂房</v>
      </c>
      <c r="AY13" s="1484">
        <f>ROUND($AY$6*AZ13/$AZ$5,2)</f>
        <v>1747.25</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25.5">
      <c r="A14" s="1163"/>
      <c r="B14" s="1163"/>
      <c r="C14" s="1163" t="s">
        <v>3174</v>
      </c>
      <c r="D14" s="1761" t="s">
        <v>3185</v>
      </c>
      <c r="E14" s="16">
        <f>IF($C$3="是",ROUND($A$3*G14/$B$3,2),ROUND($A$3*(G14-AT14)/$B$3,2))</f>
        <v>1365</v>
      </c>
      <c r="F14" s="32"/>
      <c r="G14" s="33">
        <f>H14+AC14+AT14</f>
        <v>2829.38</v>
      </c>
      <c r="H14" s="20">
        <f>SUMIF(I$12:AB$12,"总值",I14:AB14)</f>
        <v>2829.38</v>
      </c>
      <c r="I14" s="1762">
        <v>2829.38</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2-1#戊类厂房</v>
      </c>
      <c r="AY14" s="1484">
        <f>ROUND($AY$6*AZ14/$AZ$5,2)</f>
        <v>1365</v>
      </c>
      <c r="AZ14" s="16">
        <f>BA14+BL14</f>
        <v>2829.38</v>
      </c>
      <c r="BA14" s="16">
        <f>SUM(BB14:BK14)</f>
        <v>2829.38</v>
      </c>
      <c r="BB14" s="16">
        <f>IF($D14="是",I14-J14,0)</f>
        <v>2829.38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25.5">
      <c r="A15" s="1163"/>
      <c r="B15" s="1163"/>
      <c r="C15" s="1163" t="s">
        <v>3175</v>
      </c>
      <c r="D15" s="1761" t="s">
        <v>3185</v>
      </c>
      <c r="E15" s="16">
        <f>IF($C$3="是",ROUND($A$3*G15/$B$3,2),ROUND($A$3*(G15-AT15)/$B$3,2))</f>
        <v>1365</v>
      </c>
      <c r="F15" s="32"/>
      <c r="G15" s="33">
        <f>H15+AC15+AT15</f>
        <v>2829.38</v>
      </c>
      <c r="H15" s="20">
        <f>SUMIF(I$12:AB$12,"总值",I15:AB15)</f>
        <v>2829.38</v>
      </c>
      <c r="I15" s="1762">
        <v>2829.38</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2-2#戊类厂房</v>
      </c>
      <c r="AY15" s="1484">
        <f>ROUND($AY$6*AZ15/$AZ$5,2)</f>
        <v>1365</v>
      </c>
      <c r="AZ15" s="16">
        <f>BA15+BL15</f>
        <v>2829.38</v>
      </c>
      <c r="BA15" s="16">
        <f>SUM(BB15:BK15)</f>
        <v>2829.38</v>
      </c>
      <c r="BB15" s="16">
        <f>IF($D15="是",I15-J15,0)</f>
        <v>2829.38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25.5">
      <c r="A16" s="1163"/>
      <c r="B16" s="1163"/>
      <c r="C16" s="1163" t="s">
        <v>3176</v>
      </c>
      <c r="D16" s="1761" t="s">
        <v>3185</v>
      </c>
      <c r="E16" s="16">
        <f>IF($C$3="是",ROUND($A$3*G16/$B$3,2),ROUND($A$3*(G16-AT16)/$B$3,2))</f>
        <v>1761.75</v>
      </c>
      <c r="F16" s="32"/>
      <c r="G16" s="33">
        <f>H16+AC16+AT16</f>
        <v>3651.75</v>
      </c>
      <c r="H16" s="20">
        <f>SUMIF(I$12:AB$12,"总值",I16:AB16)</f>
        <v>3530.68</v>
      </c>
      <c r="I16" s="1762">
        <v>3530.68</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121.07000000000001</v>
      </c>
      <c r="AD16" s="1763"/>
      <c r="AE16" s="1763"/>
      <c r="AF16" s="1763"/>
      <c r="AG16" s="1763"/>
      <c r="AH16" s="1763"/>
      <c r="AI16" s="1763"/>
      <c r="AJ16" s="1763"/>
      <c r="AK16" s="1763"/>
      <c r="AL16" s="1763">
        <f>85.12+35.95</f>
        <v>121.07000000000001</v>
      </c>
      <c r="AM16" s="1763"/>
      <c r="AN16" s="1763"/>
      <c r="AO16" s="1763"/>
      <c r="AP16" s="1763"/>
      <c r="AQ16" s="1763"/>
      <c r="AR16" s="1763"/>
      <c r="AS16" s="1763"/>
      <c r="AT16" s="1764"/>
      <c r="AU16" s="1765"/>
      <c r="AV16" s="11">
        <f t="shared" si="6"/>
        <v>0</v>
      </c>
      <c r="AW16" s="11">
        <f t="shared" si="6"/>
        <v>0</v>
      </c>
      <c r="AX16" s="11" t="str">
        <f t="shared" si="6"/>
        <v>3-1#戊类厂房</v>
      </c>
      <c r="AY16" s="1484">
        <f>ROUND($AY$6*AZ16/$AZ$5,2)</f>
        <v>1761.75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1715" customFormat="1" ht="25.5">
      <c r="A17" s="1163"/>
      <c r="B17" s="1163"/>
      <c r="C17" s="1163" t="s">
        <v>3177</v>
      </c>
      <c r="D17" s="1761" t="s">
        <v>3185</v>
      </c>
      <c r="E17" s="16">
        <f>IF($C$3="是",ROUND($A$3*G17/$B$3,2),ROUND($A$3*(G17-AT17)/$B$3,2))</f>
        <v>1703.34</v>
      </c>
      <c r="F17" s="32"/>
      <c r="G17" s="33">
        <f>H17+AC17+AT17</f>
        <v>3530.68</v>
      </c>
      <c r="H17" s="20">
        <f>SUMIF(I$12:AB$12,"总值",I17:AB17)</f>
        <v>3530.68</v>
      </c>
      <c r="I17" s="1762">
        <v>3530.68</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t="str">
        <f t="shared" si="6"/>
        <v>3-2#戊类厂房</v>
      </c>
      <c r="AY17" s="1484">
        <f>ROUND($AY$6*AZ17/$AZ$5,2)</f>
        <v>1703.34</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163" t="s">
        <v>3178</v>
      </c>
      <c r="D18" s="1761" t="s">
        <v>3185</v>
      </c>
      <c r="E18" s="35">
        <f t="shared" ref="E18:E112" si="7">IF($C$3="是",ROUND($A$3*G18/$B$3,2),ROUND($A$3*(G18-AT18)/$B$3,2))</f>
        <v>1365</v>
      </c>
      <c r="F18" s="36"/>
      <c r="G18" s="37">
        <f t="shared" ref="G18:G109" si="8">H18+AC18+AT18</f>
        <v>2829.38</v>
      </c>
      <c r="H18" s="38">
        <f t="shared" ref="H18:H109" si="9">SUMIF(I$12:AB$12,"总值",I18:AB18)</f>
        <v>2829.38</v>
      </c>
      <c r="I18" s="1762">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763"/>
      <c r="AM18" s="40"/>
      <c r="AN18" s="1763"/>
      <c r="AO18" s="40"/>
      <c r="AP18" s="40"/>
      <c r="AQ18" s="40"/>
      <c r="AR18" s="40"/>
      <c r="AS18" s="40"/>
      <c r="AT18" s="41"/>
      <c r="AU18" s="1767"/>
      <c r="AV18" s="1478">
        <f t="shared" ref="AV18:AV112" si="11">A18</f>
        <v>0</v>
      </c>
      <c r="AW18" s="1478">
        <f t="shared" ref="AW18:AW112" si="12">B18</f>
        <v>0</v>
      </c>
      <c r="AX18" s="1478" t="str">
        <f t="shared" ref="AX18:AX112" si="13">C18</f>
        <v>4-1#戊类厂房</v>
      </c>
      <c r="AY18" s="42">
        <f t="shared" ref="AY18:AY109" si="14">ROUND($AY$6*AZ18/$AZ$5,2)</f>
        <v>1365</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163" t="s">
        <v>3179</v>
      </c>
      <c r="D19" s="1761" t="s">
        <v>3185</v>
      </c>
      <c r="E19" s="35">
        <f t="shared" si="7"/>
        <v>1365</v>
      </c>
      <c r="F19" s="36"/>
      <c r="G19" s="37">
        <f t="shared" si="8"/>
        <v>2829.38</v>
      </c>
      <c r="H19" s="38">
        <f t="shared" si="9"/>
        <v>2829.38</v>
      </c>
      <c r="I19" s="1762">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763"/>
      <c r="AM19" s="40"/>
      <c r="AN19" s="1763"/>
      <c r="AO19" s="40"/>
      <c r="AP19" s="40"/>
      <c r="AQ19" s="40"/>
      <c r="AR19" s="40"/>
      <c r="AS19" s="40"/>
      <c r="AT19" s="41"/>
      <c r="AU19" s="1767"/>
      <c r="AV19" s="1478">
        <f t="shared" si="11"/>
        <v>0</v>
      </c>
      <c r="AW19" s="1478">
        <f t="shared" si="12"/>
        <v>0</v>
      </c>
      <c r="AX19" s="1478" t="str">
        <f t="shared" si="13"/>
        <v>4-2#戊类厂房</v>
      </c>
      <c r="AY19" s="42">
        <f t="shared" si="14"/>
        <v>1365</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1163" t="s">
        <v>3180</v>
      </c>
      <c r="D20" s="1761" t="s">
        <v>3185</v>
      </c>
      <c r="E20" s="35">
        <f t="shared" si="7"/>
        <v>1727.71</v>
      </c>
      <c r="F20" s="36"/>
      <c r="G20" s="37">
        <f t="shared" si="8"/>
        <v>3581.2</v>
      </c>
      <c r="H20" s="38">
        <f t="shared" si="9"/>
        <v>3530.68</v>
      </c>
      <c r="I20" s="1762">
        <v>3530.68</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1763">
        <v>50.52</v>
      </c>
      <c r="AM20" s="40"/>
      <c r="AN20" s="1763"/>
      <c r="AO20" s="40"/>
      <c r="AP20" s="40"/>
      <c r="AQ20" s="40"/>
      <c r="AR20" s="40"/>
      <c r="AS20" s="40"/>
      <c r="AT20" s="41"/>
      <c r="AU20" s="1767"/>
      <c r="AV20" s="1478">
        <f t="shared" si="11"/>
        <v>0</v>
      </c>
      <c r="AW20" s="1478">
        <f t="shared" si="12"/>
        <v>0</v>
      </c>
      <c r="AX20" s="1478" t="str">
        <f t="shared" si="13"/>
        <v>5-1#戊类厂房</v>
      </c>
      <c r="AY20" s="42">
        <f t="shared" si="14"/>
        <v>1727.71</v>
      </c>
      <c r="AZ20" s="35">
        <f t="shared" si="15"/>
        <v>3581.2</v>
      </c>
      <c r="BA20" s="35">
        <f t="shared" si="16"/>
        <v>3530.68</v>
      </c>
      <c r="BB20" s="35">
        <f t="shared" si="17"/>
        <v>3530.68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163" t="s">
        <v>3181</v>
      </c>
      <c r="D21" s="1761" t="s">
        <v>3185</v>
      </c>
      <c r="E21" s="35">
        <f t="shared" si="7"/>
        <v>1703.34</v>
      </c>
      <c r="F21" s="36"/>
      <c r="G21" s="37">
        <f t="shared" si="8"/>
        <v>3530.68</v>
      </c>
      <c r="H21" s="38">
        <f t="shared" si="9"/>
        <v>3530.68</v>
      </c>
      <c r="I21" s="1762">
        <v>3530.68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763"/>
      <c r="AM21" s="40"/>
      <c r="AN21" s="1763"/>
      <c r="AO21" s="40"/>
      <c r="AP21" s="40"/>
      <c r="AQ21" s="40"/>
      <c r="AR21" s="40"/>
      <c r="AS21" s="40"/>
      <c r="AT21" s="41"/>
      <c r="AU21" s="1767"/>
      <c r="AV21" s="1478">
        <f t="shared" si="11"/>
        <v>0</v>
      </c>
      <c r="AW21" s="1478">
        <f t="shared" si="12"/>
        <v>0</v>
      </c>
      <c r="AX21" s="1478" t="str">
        <f t="shared" si="13"/>
        <v>5-2#戊类厂房</v>
      </c>
      <c r="AY21" s="42">
        <f t="shared" si="14"/>
        <v>1703.34</v>
      </c>
      <c r="AZ21" s="35">
        <f t="shared" si="15"/>
        <v>3530.68</v>
      </c>
      <c r="BA21" s="35">
        <f t="shared" si="16"/>
        <v>3530.68</v>
      </c>
      <c r="BB21" s="35">
        <f t="shared" si="17"/>
        <v>3530.68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163" t="s">
        <v>3182</v>
      </c>
      <c r="D22" s="1761" t="s">
        <v>3185</v>
      </c>
      <c r="E22" s="35">
        <f t="shared" si="7"/>
        <v>1727.71</v>
      </c>
      <c r="F22" s="36"/>
      <c r="G22" s="37">
        <f t="shared" si="8"/>
        <v>3581.2</v>
      </c>
      <c r="H22" s="38">
        <f t="shared" si="9"/>
        <v>3530.68</v>
      </c>
      <c r="I22" s="1762">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1763">
        <v>50.52</v>
      </c>
      <c r="AM22" s="40"/>
      <c r="AN22" s="1763"/>
      <c r="AO22" s="40"/>
      <c r="AP22" s="40"/>
      <c r="AQ22" s="40"/>
      <c r="AR22" s="40"/>
      <c r="AS22" s="40"/>
      <c r="AT22" s="41"/>
      <c r="AU22" s="1767"/>
      <c r="AV22" s="1478">
        <f t="shared" si="11"/>
        <v>0</v>
      </c>
      <c r="AW22" s="1478">
        <f t="shared" si="12"/>
        <v>0</v>
      </c>
      <c r="AX22" s="1478" t="str">
        <f t="shared" si="13"/>
        <v>6-1#戊类厂房</v>
      </c>
      <c r="AY22" s="42">
        <f t="shared" si="14"/>
        <v>1727.71</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163" t="s">
        <v>3183</v>
      </c>
      <c r="D23" s="1761" t="s">
        <v>3185</v>
      </c>
      <c r="E23" s="35">
        <f t="shared" si="7"/>
        <v>1703.34</v>
      </c>
      <c r="F23" s="36"/>
      <c r="G23" s="37">
        <f t="shared" si="8"/>
        <v>3530.68</v>
      </c>
      <c r="H23" s="38">
        <f t="shared" si="9"/>
        <v>3530.68</v>
      </c>
      <c r="I23" s="1762">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t="str">
        <f t="shared" si="13"/>
        <v>6-2#戊类厂房</v>
      </c>
      <c r="AY23" s="42">
        <f t="shared" si="14"/>
        <v>1703.34</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31" t="s">
        <v>3184</v>
      </c>
      <c r="D24" s="1761" t="s">
        <v>3185</v>
      </c>
      <c r="E24" s="35">
        <f t="shared" si="7"/>
        <v>658.93</v>
      </c>
      <c r="F24" s="36"/>
      <c r="G24" s="37">
        <f t="shared" si="8"/>
        <v>1365.83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1365.83</v>
      </c>
      <c r="AD24" s="40"/>
      <c r="AE24" s="40"/>
      <c r="AF24" s="40"/>
      <c r="AG24" s="40"/>
      <c r="AH24" s="40"/>
      <c r="AI24" s="40"/>
      <c r="AJ24" s="40"/>
      <c r="AK24" s="40"/>
      <c r="AL24" s="40"/>
      <c r="AM24" s="40"/>
      <c r="AN24" s="40">
        <v>1365.83</v>
      </c>
      <c r="AO24" s="40"/>
      <c r="AP24" s="40"/>
      <c r="AQ24" s="40"/>
      <c r="AR24" s="40"/>
      <c r="AS24" s="40"/>
      <c r="AT24" s="41"/>
      <c r="AU24" s="1767"/>
      <c r="AV24" s="1478">
        <f t="shared" si="11"/>
        <v>0</v>
      </c>
      <c r="AW24" s="1478">
        <f t="shared" si="12"/>
        <v>0</v>
      </c>
      <c r="AX24" s="1478" t="str">
        <f t="shared" si="13"/>
        <v>地下室</v>
      </c>
      <c r="AY24" s="42">
        <f t="shared" si="14"/>
        <v>658.93</v>
      </c>
      <c r="AZ24" s="35">
        <f t="shared" si="15"/>
        <v>1365.83</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1365.83</v>
      </c>
      <c r="BM24" s="35">
        <f t="shared" si="28"/>
        <v>0</v>
      </c>
      <c r="BN24" s="35">
        <f t="shared" si="29"/>
        <v>0</v>
      </c>
      <c r="BO24" s="35">
        <f t="shared" si="30"/>
        <v>0</v>
      </c>
      <c r="BP24" s="35">
        <f t="shared" si="31"/>
        <v>0</v>
      </c>
      <c r="BQ24" s="35">
        <f t="shared" si="32"/>
        <v>0</v>
      </c>
      <c r="BR24" s="35">
        <f t="shared" si="33"/>
        <v>1365.83</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G51" sqref="G5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7" t="s">
        <v>1576</v>
      </c>
      <c r="B2" s="3317"/>
      <c r="C2" s="3317"/>
      <c r="D2" s="885" t="s">
        <v>1552</v>
      </c>
      <c r="E2" s="1775" t="s">
        <v>1553</v>
      </c>
      <c r="F2" s="2836"/>
      <c r="G2" s="2827"/>
      <c r="H2" s="2828"/>
      <c r="I2" s="2499" t="s">
        <v>1577</v>
      </c>
      <c r="J2" s="2836"/>
      <c r="K2" s="2836"/>
      <c r="L2" s="2836"/>
      <c r="M2" s="2836"/>
      <c r="N2" s="2838"/>
      <c r="O2" s="2836"/>
      <c r="P2" s="2836"/>
    </row>
    <row r="3" spans="1:16" ht="15.75" thickBot="1">
      <c r="A3" s="3318" t="s">
        <v>1550</v>
      </c>
      <c r="B3" s="3318"/>
      <c r="C3" s="3318"/>
      <c r="D3" s="46">
        <f>'数据-基础表'!AY6</f>
        <v>18193.39</v>
      </c>
      <c r="E3" s="46">
        <f>'数据-基础表'!AZ5</f>
        <v>37711.240000000005</v>
      </c>
      <c r="F3" s="2836"/>
      <c r="G3" s="1260"/>
      <c r="H3" s="1138" t="s">
        <v>1551</v>
      </c>
      <c r="I3" s="945">
        <f>ROUND('数据-基础表'!B3/'数据-基础表'!A3,2)</f>
        <v>2.0699999999999998</v>
      </c>
      <c r="J3" s="2836"/>
      <c r="K3" s="2836"/>
      <c r="L3" s="2836"/>
      <c r="M3" s="2836"/>
      <c r="N3" s="2838"/>
      <c r="O3" s="2836"/>
      <c r="P3" s="2836"/>
    </row>
    <row r="4" spans="1:16" ht="15">
      <c r="A4" s="3319"/>
      <c r="B4" s="3320"/>
      <c r="C4" s="3321"/>
      <c r="D4" s="1777" t="s">
        <v>1552</v>
      </c>
      <c r="E4" s="1778" t="s">
        <v>1553</v>
      </c>
      <c r="F4" s="2836"/>
      <c r="G4" s="2829" t="s">
        <v>1578</v>
      </c>
      <c r="H4" s="1138" t="s">
        <v>1558</v>
      </c>
      <c r="I4" s="945">
        <f>ROUND(SUMIF('数据-基础表'!I9:AS9,"地上",'数据-基础表'!I5:AS5)/'数据-基础表'!A3,2)</f>
        <v>2</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f>ROUND(E31/D31,2)</f>
        <v>2.0699999999999998</v>
      </c>
      <c r="J5" s="2836"/>
      <c r="K5" s="2836"/>
      <c r="L5" s="2836"/>
      <c r="M5" s="2836"/>
      <c r="N5" s="2836"/>
      <c r="O5" s="2836"/>
      <c r="P5" s="2836"/>
    </row>
    <row r="6" spans="1:16" ht="15" thickBot="1">
      <c r="A6" s="1780"/>
      <c r="B6" s="3322" t="s">
        <v>1556</v>
      </c>
      <c r="C6" s="3322"/>
      <c r="D6" s="48">
        <f>ROUND($D$3*E6/$E$3,2)</f>
        <v>18193.39</v>
      </c>
      <c r="E6" s="49">
        <f>E3-E5</f>
        <v>37711.240000000005</v>
      </c>
      <c r="F6" s="2836"/>
      <c r="G6" s="2830" t="s">
        <v>1557</v>
      </c>
      <c r="H6" s="1261" t="s">
        <v>1558</v>
      </c>
      <c r="I6" s="2831">
        <f>ROUND(F31/D31,2)</f>
        <v>2</v>
      </c>
      <c r="J6" s="2836"/>
      <c r="K6" s="2836"/>
      <c r="L6" s="2836"/>
      <c r="M6" s="2836"/>
      <c r="N6" s="2836"/>
      <c r="O6" s="2836"/>
      <c r="P6" s="2836"/>
    </row>
    <row r="7" spans="1:16" ht="15.7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17427.310000000001</v>
      </c>
      <c r="E8" s="51">
        <f>SUMIF('数据-基础表'!BB10:BK10,"地上",'数据-基础表'!BB5:BK5)</f>
        <v>36123.300000000003</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17427.310000000001</v>
      </c>
      <c r="E16" s="53">
        <f>SUM(E8:E15)</f>
        <v>36123.300000000003</v>
      </c>
      <c r="F16" s="2836"/>
      <c r="G16" s="2837"/>
      <c r="H16" s="1784" t="s">
        <v>1580</v>
      </c>
      <c r="I16" s="1785"/>
      <c r="J16" s="1254"/>
      <c r="K16" s="3311" t="s">
        <v>1580</v>
      </c>
      <c r="L16" s="3312"/>
      <c r="M16" s="3312"/>
      <c r="N16" s="3312"/>
      <c r="O16" s="3312"/>
      <c r="P16" s="3313"/>
    </row>
    <row r="17" spans="1:19" ht="15">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3188</v>
      </c>
      <c r="D19" s="48">
        <f>ROUND($D$3*E19/$E$3,2)</f>
        <v>17427.310000000001</v>
      </c>
      <c r="E19" s="56">
        <f t="shared" ref="E19:E26" si="1">SUM(F19:G19)</f>
        <v>36123.300000000003</v>
      </c>
      <c r="F19" s="2976">
        <f>'数据-基础表'!I5</f>
        <v>36123.300000000003</v>
      </c>
      <c r="G19" s="2977"/>
      <c r="H19" s="679">
        <f>ROUND($D$3*I19/$E$3,2)</f>
        <v>766.08</v>
      </c>
      <c r="I19" s="51">
        <f t="shared" ref="I19:I26" si="2">IF($I$17="自定义",P19,M19)</f>
        <v>1587.94</v>
      </c>
      <c r="J19" s="1254"/>
      <c r="K19" s="1253">
        <f t="shared" ref="K19:K26" si="3">ROUND(E$28*E19/E$27,2)</f>
        <v>1587.94</v>
      </c>
      <c r="L19" s="1138">
        <f t="shared" ref="L19:L26" si="4">ROUND(IF(COUNTIF(C19,"*住宅*")&gt;0,E$29*E19/E$32,0),2)</f>
        <v>0</v>
      </c>
      <c r="M19" s="1265">
        <f>K19+L19</f>
        <v>1587.94</v>
      </c>
      <c r="N19" s="1805"/>
      <c r="O19" s="1806"/>
      <c r="P19" s="1265">
        <f>N19+O19</f>
        <v>0</v>
      </c>
      <c r="R19" s="1138">
        <f t="shared" ref="R19:S26" si="5">D19+H19</f>
        <v>18193.390000000003</v>
      </c>
      <c r="S19" s="1139">
        <f t="shared" si="5"/>
        <v>37711.240000000005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17427.310000000001</v>
      </c>
      <c r="E27" s="1256">
        <f>IF(SUM(E19:E26)='数据-基础表'!BA5,SUM(E19:E26),IF(F27="地上面积有误","面积有误","地下面积有误"))</f>
        <v>36123.300000000003</v>
      </c>
      <c r="F27" s="1255">
        <f>IF(SUM(F19:F26)=E8,SUM(F19:F26),"地上面积有误")</f>
        <v>36123.300000000003</v>
      </c>
      <c r="G27" s="1257">
        <f>SUM(G19:G26)</f>
        <v>0</v>
      </c>
      <c r="H27" s="1258">
        <f>SUM(H19:H26)</f>
        <v>766.08</v>
      </c>
      <c r="I27" s="1259">
        <f>SUM(I19:I26)</f>
        <v>1587.94</v>
      </c>
      <c r="J27" s="1254"/>
      <c r="K27" s="1262">
        <f>SUM(K19:K26)</f>
        <v>1587.94</v>
      </c>
      <c r="L27" s="1263">
        <f>SUM(L19:L26)</f>
        <v>0</v>
      </c>
      <c r="M27" s="1266">
        <f>SUM(M19:M26)</f>
        <v>1587.94</v>
      </c>
      <c r="N27" s="1262">
        <f t="shared" ref="N27:O27" si="10">SUM(N19:N26)</f>
        <v>0</v>
      </c>
      <c r="O27" s="1263">
        <f t="shared" si="10"/>
        <v>0</v>
      </c>
      <c r="P27" s="1264">
        <f>SUM(P19:P26)</f>
        <v>0</v>
      </c>
      <c r="R27" s="1140">
        <f>IF(SUM(R19:R26)=$D$3,SUM(R19:R26),SUM(R19:R26)&amp;"误差"&amp;ROUND(SUM(R19:R26)-$D$3,2))</f>
        <v>18193.390000000003</v>
      </c>
      <c r="S27" s="1138">
        <f>IF(SUM(S19:S26)=$E$3,SUM(S19:S26),SUM(S19:S26)&amp;"误差"&amp;ROUND(SUM(S19:S26)-E3,2))</f>
        <v>37711.240000000005</v>
      </c>
    </row>
    <row r="28" spans="1:19">
      <c r="A28" s="1807"/>
      <c r="B28" s="50" t="s">
        <v>1600</v>
      </c>
      <c r="C28" s="1150" t="s">
        <v>1601</v>
      </c>
      <c r="D28" s="48">
        <f>ROUND($D$3*E28/$E$3,2)</f>
        <v>766.08</v>
      </c>
      <c r="E28" s="56">
        <f>SUM(F28:G28)</f>
        <v>1587.94</v>
      </c>
      <c r="F28" s="60">
        <f>'数据-基础表'!BQ5+'数据-基础表'!BS5</f>
        <v>222.11</v>
      </c>
      <c r="G28" s="61">
        <f>'数据-基础表'!BR5+'数据-基础表'!BT5</f>
        <v>1365.83</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766.08</v>
      </c>
      <c r="E30" s="1255">
        <f>SUM(E28:E29)</f>
        <v>1587.94</v>
      </c>
      <c r="F30" s="1255">
        <f>SUM(F28:F29)</f>
        <v>222.11</v>
      </c>
      <c r="G30" s="1257">
        <f>SUM(G28:G29)</f>
        <v>1365.83</v>
      </c>
      <c r="H30" s="2836"/>
      <c r="I30" s="2836"/>
      <c r="J30" s="2836"/>
      <c r="K30" s="2836"/>
      <c r="L30" s="2836"/>
      <c r="M30" s="2836"/>
      <c r="N30" s="2836"/>
      <c r="O30" s="2836"/>
      <c r="P30" s="2836"/>
    </row>
    <row r="31" spans="1:19" ht="15.75" thickBot="1">
      <c r="A31" s="1813"/>
      <c r="B31" s="1814"/>
      <c r="C31" s="925" t="s">
        <v>1603</v>
      </c>
      <c r="D31" s="685">
        <f>D27+D30</f>
        <v>18193.390000000003</v>
      </c>
      <c r="E31" s="685">
        <f>E27+E30</f>
        <v>37711.240000000005</v>
      </c>
      <c r="F31" s="686">
        <f>F27+F30</f>
        <v>36345.410000000003</v>
      </c>
      <c r="G31" s="687">
        <f>G27+G30</f>
        <v>1365.83</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44768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57526</v>
      </c>
      <c r="F6" s="68">
        <f>SUMIF(项目基本情况!D$12:I$12,C6,项目基本情况!D$15:I$15)</f>
        <v>34.950000000000003</v>
      </c>
      <c r="G6" s="69">
        <f>IF(ISERROR(ROUND(POWER(1+H6,D6-F6)*(POWER(1+H6,F6)-1)/(POWER(1+H6,D6)-1),3)),0,ROUND(POWER(1+H6,D6-F6)*(POWER(1+H6,F6)-1)/(POWER(1+H6,D6)-1),3))</f>
        <v>0.88300000000000001</v>
      </c>
      <c r="H6" s="741">
        <v>4.4999999999999998E-2</v>
      </c>
      <c r="I6" s="741">
        <v>0.05</v>
      </c>
      <c r="J6" s="70">
        <v>0.08</v>
      </c>
      <c r="K6" s="1142">
        <f>SUMIF('数据-汇总表'!C$19:C$33,A6,'数据-汇总表'!E$19:E$33)</f>
        <v>36123.300000000003</v>
      </c>
      <c r="L6" s="742">
        <v>3000</v>
      </c>
      <c r="M6" s="71">
        <f t="shared" ref="M6:M14" si="0">ROUND(K6*L6/10000,0)</f>
        <v>10837</v>
      </c>
      <c r="N6" s="740">
        <v>0.99</v>
      </c>
      <c r="O6" s="71">
        <f>IF($N$5="成新度","——",ROUND(M6*N6,0))</f>
        <v>10729</v>
      </c>
      <c r="P6" s="72">
        <f>IF($N$5="成新度","——",M6-O6)</f>
        <v>108</v>
      </c>
      <c r="Q6" s="743">
        <v>0.08</v>
      </c>
      <c r="R6" s="73">
        <f ca="1">SUMIF('数据-汇总表'!C$19:C$33,A6,'数据-汇总表'!R$19:R$27)</f>
        <v>18193.390000000003</v>
      </c>
      <c r="S6" s="54">
        <f>IF('数据-汇总表'!$I$17="按面积比例",SUMIF('数据-汇总表'!C$19:C$33,A6,'数据-汇总表'!K$19:K$33),SUMIF('数据-汇总表'!C$19:C$33,A6,'数据-汇总表'!N$19:N$33))</f>
        <v>1587.94</v>
      </c>
      <c r="T6" s="1287">
        <f>ROUND($L$14*S6/10000,0)</f>
        <v>476</v>
      </c>
      <c r="U6" s="74">
        <v>1.7</v>
      </c>
      <c r="V6" s="75">
        <v>2.5000000000000001E-2</v>
      </c>
      <c r="W6" s="75">
        <v>0.2</v>
      </c>
      <c r="X6" s="1152"/>
      <c r="Y6" s="76">
        <v>1</v>
      </c>
      <c r="Z6" s="77"/>
      <c r="AA6" s="70"/>
      <c r="AB6" s="70"/>
      <c r="AC6" s="1152"/>
      <c r="AD6" s="78"/>
      <c r="AE6" s="1153">
        <f ca="1">IF(AN6="",0,SUMIF(INDIRECT("'"&amp;AN6&amp;"'"&amp;"!E:E"),$AE$5,INDIRECT("'"&amp;AN6&amp;"'"&amp;"!F:F")))</f>
        <v>34.940000000000005</v>
      </c>
      <c r="AF6" s="1483"/>
      <c r="AG6" s="143">
        <f>IF(AF6="",0,AE6-AF6)</f>
        <v>0</v>
      </c>
      <c r="AH6" s="79"/>
      <c r="AI6" s="81">
        <v>365</v>
      </c>
      <c r="AJ6" s="82"/>
      <c r="AK6" s="83">
        <v>1.4999999999999999E-2</v>
      </c>
      <c r="AL6" s="84">
        <v>1.5E-3</v>
      </c>
      <c r="AM6" s="85">
        <v>0.01</v>
      </c>
      <c r="AN6" s="1852" t="s">
        <v>3200</v>
      </c>
      <c r="AO6" s="55">
        <f ca="1">SUMIF(INDIRECT("'"&amp;AN6&amp;"'"&amp;"!A:A"),"总价",INDIRECT("'"&amp;AN6&amp;"'"&amp;"!B:B"))</f>
        <v>27933</v>
      </c>
      <c r="AP6" s="1853">
        <f>IF(C6="住宅",K6*L6,0)</f>
        <v>0</v>
      </c>
      <c r="AQ6" s="55">
        <f>ROUND($L$14*$N$14*S6/10000,0)</f>
        <v>472</v>
      </c>
      <c r="AR6" s="55">
        <f>ROUND($L$14*(1-$N$14)*S6/10000,0)</f>
        <v>5</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1651</v>
      </c>
      <c r="B14" s="1850" t="s">
        <v>1652</v>
      </c>
      <c r="C14" s="1855" t="s">
        <v>1651</v>
      </c>
      <c r="D14" s="948"/>
      <c r="E14" s="947"/>
      <c r="F14" s="68"/>
      <c r="G14" s="69"/>
      <c r="H14" s="1141"/>
      <c r="I14" s="1141"/>
      <c r="J14" s="1141"/>
      <c r="K14" s="1142">
        <f>SUMIF('数据-汇总表'!C$19:C$33,A14,'数据-汇总表'!E$19:E$33)</f>
        <v>1587.94</v>
      </c>
      <c r="L14" s="3580">
        <v>3000</v>
      </c>
      <c r="M14" s="71">
        <f t="shared" si="0"/>
        <v>476</v>
      </c>
      <c r="N14" s="3582">
        <v>0.99</v>
      </c>
      <c r="O14" s="71">
        <f t="shared" si="3"/>
        <v>471</v>
      </c>
      <c r="P14" s="72">
        <f t="shared" si="4"/>
        <v>5</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1655</v>
      </c>
      <c r="B16" s="93"/>
      <c r="C16" s="923"/>
      <c r="D16" s="1857"/>
      <c r="E16" s="93"/>
      <c r="F16" s="93"/>
      <c r="G16" s="94">
        <f>ROUND(SUMPRODUCT(G6:G13,K6:K13)/SUMPRODUCT((G6:G13&gt;0)*(K6:K13)),3)</f>
        <v>0.88300000000000001</v>
      </c>
      <c r="H16" s="95">
        <f>ROUND(SUMPRODUCT(H6:H13,K6:K13)/SUMPRODUCT((H6:H13&gt;0)*(K6:K13)),3)</f>
        <v>4.4999999999999998E-2</v>
      </c>
      <c r="I16" s="96"/>
      <c r="J16" s="96"/>
      <c r="K16" s="97">
        <f>SUM(K6:K15)</f>
        <v>37711.240000000005</v>
      </c>
      <c r="L16" s="98">
        <f>ROUND(M16*10000/SUM(K6:K14),0)</f>
        <v>3000</v>
      </c>
      <c r="M16" s="98">
        <f>SUM(M6:M14)</f>
        <v>11313</v>
      </c>
      <c r="N16" s="99">
        <f>ROUND(SUMPRODUCT(M6:M14,N6:N14)/M16,3)</f>
        <v>0.99</v>
      </c>
      <c r="O16" s="98">
        <f>SUM(O6:O14)</f>
        <v>11200</v>
      </c>
      <c r="P16" s="98">
        <f>SUM(P6:P14)</f>
        <v>113</v>
      </c>
      <c r="Q16" s="100">
        <f>ROUND(SUMPRODUCT(Q6:Q13,K6:K13)/SUMPRODUCT((Q6:Q13&gt;0)*(K6:K13)),2)</f>
        <v>0.08</v>
      </c>
      <c r="R16" s="1146">
        <f ca="1">SUM(R6:R13)</f>
        <v>18193.390000000003</v>
      </c>
      <c r="S16" s="101">
        <f>SUM(S6:S13)</f>
        <v>1587.94</v>
      </c>
      <c r="T16" s="102">
        <f>IF(SUMIF(T6:T13,"&lt;9E307")=M14,SUMIF(T6:T13,"&lt;9E307"),"有误，请检查")</f>
        <v>476</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1656</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1657</v>
      </c>
      <c r="B19" s="108"/>
      <c r="C19" s="2980" t="s">
        <v>2804</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1658</v>
      </c>
      <c r="B20" s="109">
        <v>1</v>
      </c>
      <c r="C20" s="2981" t="s">
        <v>2802</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1659</v>
      </c>
      <c r="B21" s="109">
        <v>0.99</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1660</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1661</v>
      </c>
      <c r="B23" s="110">
        <f>B19+B21</f>
        <v>0.99</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1662</v>
      </c>
      <c r="B24" s="111">
        <f>B20-B21</f>
        <v>1.0000000000000009E-2</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1663</v>
      </c>
      <c r="B26" s="1863" t="s">
        <v>1664</v>
      </c>
      <c r="C26" s="2856" t="s">
        <v>1665</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1666</v>
      </c>
      <c r="B27" s="112"/>
      <c r="C27" s="2982" t="s">
        <v>2806</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1667</v>
      </c>
      <c r="B28" s="3583">
        <v>190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1668</v>
      </c>
      <c r="B29" s="117">
        <f>ROUND(B28*'数据-基础表'!B3/10000,0)</f>
        <v>717</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1669</v>
      </c>
      <c r="B30" s="680">
        <v>150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1670</v>
      </c>
      <c r="B31" s="116">
        <f>B30-B32</f>
        <v>150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1671</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1672</v>
      </c>
      <c r="B33" s="682">
        <v>0.03</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1673</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1674</v>
      </c>
      <c r="B35" s="115">
        <v>150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1676</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1677</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1678</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3201</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1679</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1680</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1681</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1682</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1683</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1684</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1685</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1686</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1687</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1688</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1689</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1690</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1691</v>
      </c>
      <c r="B53" s="1875" t="s">
        <v>56</v>
      </c>
      <c r="C53" s="2838" t="s">
        <v>1692</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1693</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1694</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1695</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1696</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1697</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1698</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1699</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1700</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1701</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1702</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3" t="s">
        <v>2785</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37711.240000000005</v>
      </c>
      <c r="C1" s="2865"/>
      <c r="D1" s="2865"/>
      <c r="E1" s="2865"/>
      <c r="F1" s="2865"/>
      <c r="G1" s="2866"/>
      <c r="H1" s="2867"/>
      <c r="I1" s="2867"/>
      <c r="J1" s="2867"/>
      <c r="K1" s="2867"/>
    </row>
    <row r="2" spans="1:11" ht="16.5">
      <c r="A2" s="2688" t="s">
        <v>1078</v>
      </c>
      <c r="B2" s="2688">
        <f>SUM(C14:C23)</f>
        <v>18193.39</v>
      </c>
      <c r="C2" s="2865"/>
      <c r="D2" s="2865"/>
      <c r="E2" s="2865"/>
      <c r="F2" s="2865"/>
      <c r="G2" s="2866"/>
      <c r="H2" s="2867"/>
      <c r="I2" s="2867"/>
      <c r="J2" s="2867"/>
      <c r="K2" s="2867"/>
    </row>
    <row r="3" spans="1:11" ht="16.5">
      <c r="A3" s="2688" t="s">
        <v>1087</v>
      </c>
      <c r="B3" s="2690">
        <f>项目基本情况!D3</f>
        <v>44768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23513</v>
      </c>
      <c r="C5" s="2688">
        <f ca="1">ROUND(B5*10000/$B$1,0)</f>
        <v>6235</v>
      </c>
      <c r="D5" s="2688">
        <f ca="1">ROUND(B5*10000/$B$2,0)</f>
        <v>12924</v>
      </c>
      <c r="E5" s="2865"/>
      <c r="F5" s="2866"/>
      <c r="G5" s="2866"/>
      <c r="H5" s="2867"/>
      <c r="I5" s="2867"/>
      <c r="J5" s="2867"/>
      <c r="K5" s="2867"/>
    </row>
    <row r="6" spans="1:11" ht="16.5">
      <c r="A6" s="2688" t="s">
        <v>1081</v>
      </c>
      <c r="B6" s="2688">
        <f ca="1">SUM(G14:G23)</f>
        <v>23513</v>
      </c>
      <c r="C6" s="2688">
        <f ca="1">ROUND(B6*10000/$B$1,0)</f>
        <v>6235</v>
      </c>
      <c r="D6" s="2688">
        <f ca="1">ROUND(B6*10000/$B$2,0)</f>
        <v>12924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37711.240000000005</v>
      </c>
      <c r="C14" s="2694">
        <f>结果表!C118</f>
        <v>18193.39</v>
      </c>
      <c r="D14" s="2694">
        <f ca="1">结果表!H118</f>
        <v>23513</v>
      </c>
      <c r="E14" s="2694">
        <f ca="1">ROUND(D14*10000/B14,0)</f>
        <v>6235</v>
      </c>
      <c r="F14" s="2694">
        <f ca="1">ROUND(D14*10000/C14,0)</f>
        <v>12924</v>
      </c>
      <c r="G14" s="2694">
        <f ca="1">结果表!D122</f>
        <v>23513</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L113" sqref="L1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1708</v>
      </c>
      <c r="B1" s="1884"/>
      <c r="C1" s="1885"/>
      <c r="D1" s="1884"/>
      <c r="E1" s="1884"/>
      <c r="F1" s="1886" t="s">
        <v>1709</v>
      </c>
      <c r="G1" s="1697"/>
      <c r="H1" s="1887" t="str">
        <f>IF(G1="现房","——","估价对象范围")</f>
        <v>估价对象范围</v>
      </c>
      <c r="I1" s="1888"/>
    </row>
    <row r="2" spans="1:12" ht="21.75" customHeight="1" thickBot="1">
      <c r="A2" s="3395" t="str">
        <f>项目基本情况!S2</f>
        <v>北京市房地产</v>
      </c>
      <c r="B2" s="3396"/>
      <c r="C2" s="3396"/>
      <c r="D2" s="3396"/>
      <c r="E2" s="3396"/>
      <c r="F2" s="3396"/>
      <c r="G2" s="3396"/>
      <c r="H2" s="3396"/>
      <c r="I2" s="3397"/>
    </row>
    <row r="3" spans="1:12" ht="12.75">
      <c r="A3" s="3399" t="s">
        <v>1710</v>
      </c>
      <c r="B3" s="3400"/>
      <c r="C3" s="3400"/>
      <c r="D3" s="3400"/>
      <c r="E3" s="3400"/>
      <c r="F3" s="3400"/>
      <c r="G3" s="3400"/>
      <c r="H3" s="3400"/>
      <c r="I3" s="3400"/>
    </row>
    <row r="4" spans="1:12" ht="14.25">
      <c r="A4" s="1891" t="s">
        <v>1711</v>
      </c>
      <c r="B4" s="1892" t="s">
        <v>1712</v>
      </c>
      <c r="C4" s="1893" t="s">
        <v>3210</v>
      </c>
      <c r="D4" s="1893" t="s">
        <v>3211</v>
      </c>
      <c r="E4" s="3404" t="s">
        <v>1713</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40" t="s">
        <v>1714</v>
      </c>
      <c r="B5" s="3398">
        <v>25</v>
      </c>
      <c r="C5" s="3401"/>
      <c r="D5" s="3389"/>
      <c r="E5" s="136" t="s">
        <v>1715</v>
      </c>
      <c r="F5" s="1894"/>
      <c r="G5" s="1894"/>
      <c r="H5" s="1894"/>
      <c r="I5" s="1508"/>
    </row>
    <row r="6" spans="1:12" ht="12.75">
      <c r="A6" s="3340"/>
      <c r="B6" s="3398"/>
      <c r="C6" s="3403"/>
      <c r="D6" s="3389"/>
      <c r="E6" s="136" t="s">
        <v>1716</v>
      </c>
      <c r="F6" s="1894"/>
      <c r="G6" s="1894"/>
      <c r="H6" s="1894"/>
      <c r="I6" s="1508"/>
    </row>
    <row r="7" spans="1:12" ht="12.75">
      <c r="A7" s="3340"/>
      <c r="B7" s="3398"/>
      <c r="C7" s="3402"/>
      <c r="D7" s="3389"/>
      <c r="E7" s="136" t="s">
        <v>1717</v>
      </c>
      <c r="F7" s="1894"/>
      <c r="G7" s="1894"/>
      <c r="H7" s="1894"/>
      <c r="I7" s="1508"/>
    </row>
    <row r="8" spans="1:12" ht="12.75">
      <c r="A8" s="3340" t="s">
        <v>1718</v>
      </c>
      <c r="B8" s="3398">
        <v>15</v>
      </c>
      <c r="C8" s="3401"/>
      <c r="D8" s="3389"/>
      <c r="E8" s="136" t="s">
        <v>1719</v>
      </c>
      <c r="F8" s="1894"/>
      <c r="G8" s="1894"/>
      <c r="H8" s="1894"/>
      <c r="I8" s="1508"/>
    </row>
    <row r="9" spans="1:12" ht="12.75">
      <c r="A9" s="3340"/>
      <c r="B9" s="3398"/>
      <c r="C9" s="3402"/>
      <c r="D9" s="3389"/>
      <c r="E9" s="136" t="s">
        <v>1720</v>
      </c>
      <c r="F9" s="1894"/>
      <c r="G9" s="1894"/>
      <c r="H9" s="1894"/>
      <c r="I9" s="1508"/>
    </row>
    <row r="10" spans="1:12" ht="12.75">
      <c r="A10" s="3340" t="s">
        <v>1721</v>
      </c>
      <c r="B10" s="3398">
        <v>15</v>
      </c>
      <c r="C10" s="3401"/>
      <c r="D10" s="3389"/>
      <c r="E10" s="136" t="s">
        <v>1722</v>
      </c>
      <c r="F10" s="1894"/>
      <c r="G10" s="1894"/>
      <c r="H10" s="1894"/>
      <c r="I10" s="1508"/>
    </row>
    <row r="11" spans="1:12" ht="12.75">
      <c r="A11" s="3340"/>
      <c r="B11" s="3398"/>
      <c r="C11" s="3402"/>
      <c r="D11" s="3389"/>
      <c r="E11" s="136" t="s">
        <v>1723</v>
      </c>
      <c r="F11" s="1894"/>
      <c r="G11" s="1894"/>
      <c r="H11" s="1894"/>
      <c r="I11" s="1508"/>
    </row>
    <row r="12" spans="1:12" ht="12.75">
      <c r="A12" s="3340" t="s">
        <v>1724</v>
      </c>
      <c r="B12" s="3398">
        <v>15</v>
      </c>
      <c r="C12" s="3401"/>
      <c r="D12" s="3389"/>
      <c r="E12" s="136" t="s">
        <v>1725</v>
      </c>
      <c r="F12" s="1894"/>
      <c r="G12" s="1894"/>
      <c r="H12" s="1894"/>
      <c r="I12" s="1508"/>
    </row>
    <row r="13" spans="1:12" ht="12.75">
      <c r="A13" s="3340"/>
      <c r="B13" s="3398"/>
      <c r="C13" s="3402"/>
      <c r="D13" s="3389"/>
      <c r="E13" s="136" t="s">
        <v>1726</v>
      </c>
      <c r="F13" s="1894"/>
      <c r="G13" s="1894"/>
      <c r="H13" s="1894"/>
      <c r="I13" s="1508"/>
    </row>
    <row r="14" spans="1:12" ht="12.75">
      <c r="A14" s="3340" t="s">
        <v>1727</v>
      </c>
      <c r="B14" s="3398">
        <v>30</v>
      </c>
      <c r="C14" s="3401">
        <v>3</v>
      </c>
      <c r="D14" s="3389">
        <v>7</v>
      </c>
      <c r="E14" s="136" t="s">
        <v>1728</v>
      </c>
      <c r="F14" s="1894"/>
      <c r="G14" s="1894"/>
      <c r="H14" s="1894"/>
      <c r="I14" s="1508"/>
    </row>
    <row r="15" spans="1:12" ht="12.75">
      <c r="A15" s="3340"/>
      <c r="B15" s="3398"/>
      <c r="C15" s="3403"/>
      <c r="D15" s="3389"/>
      <c r="E15" s="136" t="s">
        <v>1729</v>
      </c>
      <c r="F15" s="1894"/>
      <c r="G15" s="1894"/>
      <c r="H15" s="1894"/>
      <c r="I15" s="1508"/>
    </row>
    <row r="16" spans="1:12" ht="12.75">
      <c r="A16" s="3340"/>
      <c r="B16" s="3398"/>
      <c r="C16" s="3402"/>
      <c r="D16" s="3389"/>
      <c r="E16" s="136" t="s">
        <v>1730</v>
      </c>
      <c r="F16" s="1894"/>
      <c r="G16" s="1894"/>
      <c r="H16" s="1894"/>
      <c r="I16" s="1508"/>
    </row>
    <row r="17" spans="1:36" ht="15">
      <c r="A17" s="1895" t="s">
        <v>1731</v>
      </c>
      <c r="B17" s="60"/>
      <c r="C17" s="137">
        <f>SUM(C5:C16)</f>
        <v>3</v>
      </c>
      <c r="D17" s="137">
        <f>SUM(D5:D16)</f>
        <v>7</v>
      </c>
      <c r="E17" s="134"/>
      <c r="F17" s="134"/>
      <c r="G17" s="134"/>
      <c r="H17" s="134"/>
      <c r="I17" s="134"/>
      <c r="K17" s="308"/>
      <c r="L17" s="308" t="s">
        <v>1732</v>
      </c>
      <c r="M17" s="308" t="s">
        <v>1733</v>
      </c>
    </row>
    <row r="18" spans="1:36" ht="31.9" customHeight="1" thickBot="1">
      <c r="A18" s="1896" t="s">
        <v>1734</v>
      </c>
      <c r="B18" s="1897"/>
      <c r="C18" s="138">
        <f>ROUND(C17/SUM(C17:D17),2)</f>
        <v>0.3</v>
      </c>
      <c r="D18" s="138">
        <f>1-C18</f>
        <v>0.7</v>
      </c>
      <c r="E18" s="3420" t="s">
        <v>2630</v>
      </c>
      <c r="F18" s="3421"/>
      <c r="G18" s="3421"/>
      <c r="H18" s="3421"/>
      <c r="I18" s="3421"/>
      <c r="K18" s="308" t="s">
        <v>1735</v>
      </c>
      <c r="L18" s="308">
        <f>IF(C1="",'数据-汇总表'!E3,SUMIF(项目类型,C1,'数据-汇总表'!E17:E26)+SUMIF(项目类型,C1,'数据-汇总表'!I17:I26))</f>
        <v>37711.240000000005</v>
      </c>
      <c r="M18" s="308">
        <f>IF(C1="",'数据-汇总表'!E3,SUMIF(项目类型,C1,'数据-汇总表'!E17:E26))</f>
        <v>37711.240000000005</v>
      </c>
    </row>
    <row r="19" spans="1:36" ht="15">
      <c r="A19" s="1898" t="s">
        <v>1736</v>
      </c>
      <c r="B19" s="1899" t="s">
        <v>1737</v>
      </c>
      <c r="C19" s="139">
        <f ca="1">SUMIF(INDIRECT("'"&amp;C4&amp;"'"&amp;"!A:A"),结果表!B19,INDIRECT("'"&amp;C4&amp;"'"&amp;"!B:B"))</f>
        <v>18749</v>
      </c>
      <c r="D19" s="140">
        <f ca="1">SUMIF(INDIRECT("'"&amp;D4&amp;"'"&amp;"!A:A"),结果表!B19,INDIRECT("'"&amp;D4&amp;"'"&amp;"!B:B"))</f>
        <v>25555</v>
      </c>
      <c r="E19" s="1898" t="s">
        <v>1738</v>
      </c>
      <c r="F19" s="1899" t="s">
        <v>1737</v>
      </c>
      <c r="G19" s="141">
        <f ca="1">ROUND(C19*$C$18+D19*$D$18,0)</f>
        <v>23513</v>
      </c>
      <c r="H19" s="1900" t="s">
        <v>1739</v>
      </c>
      <c r="I19" s="134"/>
      <c r="K19" s="308" t="s">
        <v>1740</v>
      </c>
      <c r="L19" s="308">
        <f>IF(C1="",'数据-汇总表'!D3,SUMIF(项目类型,C1,'数据-汇总表'!D17:D26)+SUMIF(项目类型,C1,'数据-汇总表'!H17:H27))</f>
        <v>18193.39</v>
      </c>
      <c r="M19" s="308">
        <f>IF(C1="",'数据-汇总表'!D3,SUMIF(项目类型,C1,'数据-汇总表'!D17:D26))</f>
        <v>18193.39</v>
      </c>
    </row>
    <row r="20" spans="1:36" ht="15">
      <c r="A20" s="1901"/>
      <c r="B20" s="1138" t="s">
        <v>1741</v>
      </c>
      <c r="C20" s="142">
        <f ca="1">SUMIF(INDIRECT("'"&amp;C4&amp;"'"&amp;"!A:A"),结果表!B20,INDIRECT("'"&amp;C4&amp;"'"&amp;"!B:B"))</f>
        <v>4972</v>
      </c>
      <c r="D20" s="143">
        <f ca="1">SUMIF(INDIRECT("'"&amp;D4&amp;"'"&amp;"!A:A"),结果表!B20,INDIRECT("'"&amp;D4&amp;"'"&amp;"!B:B"))</f>
        <v>6776</v>
      </c>
      <c r="E20" s="1901"/>
      <c r="F20" s="1138" t="s">
        <v>1741</v>
      </c>
      <c r="G20" s="144">
        <f ca="1">ROUND(C20*$C$18+D20*$D$18,0)</f>
        <v>6235</v>
      </c>
      <c r="H20" s="898" t="s">
        <v>1742</v>
      </c>
      <c r="I20" s="134"/>
    </row>
    <row r="21" spans="1:36" ht="15" customHeight="1" thickBot="1">
      <c r="A21" s="918"/>
      <c r="B21" s="1902" t="s">
        <v>1743</v>
      </c>
      <c r="C21" s="728">
        <f ca="1">ROUND(C19*10000/L19,0)</f>
        <v>10305</v>
      </c>
      <c r="D21" s="729">
        <f ca="1">ROUND(D19*10000/L19,0)</f>
        <v>14046</v>
      </c>
      <c r="E21" s="918"/>
      <c r="F21" s="1902" t="s">
        <v>1743</v>
      </c>
      <c r="G21" s="145">
        <f ca="1">ROUND(G19*10000/L19,0)</f>
        <v>12924</v>
      </c>
      <c r="H21" s="1903" t="s">
        <v>1742</v>
      </c>
      <c r="I21" s="134"/>
    </row>
    <row r="22" spans="1:36" ht="15" thickBot="1">
      <c r="A22" s="1825" t="s">
        <v>1744</v>
      </c>
      <c r="B22" s="1904"/>
      <c r="C22" s="1905"/>
      <c r="D22" s="730">
        <f ca="1">IF(C19&lt;D19,D19/C19-1,C19/D19-1)</f>
        <v>0.36300602698810613</v>
      </c>
      <c r="E22" s="134"/>
      <c r="F22" s="134"/>
      <c r="G22" s="134"/>
      <c r="H22" s="134"/>
      <c r="I22" s="134"/>
    </row>
    <row r="23" spans="1:36" ht="13.5" thickBot="1">
      <c r="A23" s="1884"/>
      <c r="B23" s="1884"/>
      <c r="C23" s="1884"/>
      <c r="D23" s="1884"/>
      <c r="E23" s="134"/>
      <c r="F23" s="134"/>
      <c r="G23" s="134"/>
      <c r="H23" s="134"/>
      <c r="I23" s="134"/>
    </row>
    <row r="24" spans="1:36" ht="14.25">
      <c r="A24" s="3413" t="s">
        <v>1745</v>
      </c>
      <c r="B24" s="1899" t="s">
        <v>1737</v>
      </c>
      <c r="C24" s="141">
        <f>IF(B30=0,0,D30)</f>
        <v>0</v>
      </c>
      <c r="D24" s="1906"/>
      <c r="E24" s="134"/>
      <c r="F24" s="134"/>
      <c r="G24" s="134"/>
      <c r="H24" s="134"/>
      <c r="I24" s="134"/>
    </row>
    <row r="25" spans="1:36" ht="14.25">
      <c r="A25" s="3414"/>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1750</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1751</v>
      </c>
      <c r="B32" s="1911"/>
      <c r="C32" s="149">
        <f ca="1">IF(D32="总价",G19-C24,G20-C25)</f>
        <v>23513</v>
      </c>
      <c r="D32" s="1912" t="s">
        <v>3213</v>
      </c>
      <c r="E32" s="134"/>
      <c r="F32" s="134"/>
      <c r="G32" s="134"/>
      <c r="H32" s="134"/>
      <c r="I32" s="134"/>
    </row>
    <row r="33" spans="1:15" ht="15">
      <c r="A33" s="875" t="s">
        <v>1752</v>
      </c>
      <c r="B33" s="1913"/>
      <c r="C33" s="1914" t="s">
        <v>3212</v>
      </c>
      <c r="D33" s="1915" t="s">
        <v>3210</v>
      </c>
      <c r="E33" s="1916" t="s">
        <v>1753</v>
      </c>
      <c r="F33" s="1917" t="str">
        <f>IF(D32="楼面单价","取值（单价）","取值（总价）")</f>
        <v>取值（总价）</v>
      </c>
      <c r="G33" s="134"/>
      <c r="H33" s="134"/>
      <c r="I33" s="134"/>
    </row>
    <row r="34" spans="1:15" ht="15">
      <c r="A34" s="1918"/>
      <c r="B34" s="1919" t="s">
        <v>1754</v>
      </c>
      <c r="C34" s="153">
        <f ca="1">IF(C33="自定义",F34,C32-C35)</f>
        <v>4867</v>
      </c>
      <c r="D34" s="951">
        <f ca="1">IF(C33="自定义",ROUND(C34/C32,3),IF(C33="收益比率",SUMIF(INDIRECT("'"&amp;D33&amp;"'"&amp;"!b:b"),"土地收益比率",INDIRECT("'"&amp;D33&amp;"'"&amp;"!c:c")),SUMIF(INDIRECT("'"&amp;D33&amp;"'"&amp;"!b:b"),"土地成本比率",INDIRECT("'"&amp;D33&amp;"'"&amp;"!c:c"))))</f>
        <v>0.20699999999999996</v>
      </c>
      <c r="E34" s="1920" t="s">
        <v>1755</v>
      </c>
      <c r="F34" s="1451"/>
      <c r="G34" s="134"/>
      <c r="H34" s="134"/>
      <c r="I34" s="134"/>
    </row>
    <row r="35" spans="1:15" ht="15.75" thickBot="1">
      <c r="A35" s="1921"/>
      <c r="B35" s="1922" t="s">
        <v>1756</v>
      </c>
      <c r="C35" s="1285">
        <f ca="1">IF(C33="自定义",F35,ROUND(C32*D35,0))</f>
        <v>18646</v>
      </c>
      <c r="D35" s="1286">
        <f ca="1">IF(C33="自定义",ROUND(C35/C32,3),IF(C33="收益比率",SUMIF(INDIRECT("'"&amp;D33&amp;"'"&amp;"!b:b"),"建筑物收益比率",INDIRECT("'"&amp;D33&amp;"'"&amp;"!c:c")),SUMIF(INDIRECT("'"&amp;D33&amp;"'"&amp;"!b:b"),"建筑物成本比率",INDIRECT("'"&amp;D33&amp;"'"&amp;"!c:c"))))</f>
        <v>0.79300000000000004</v>
      </c>
      <c r="E35" s="1923" t="s">
        <v>1757</v>
      </c>
      <c r="F35" s="159"/>
      <c r="G35" s="134"/>
      <c r="H35" s="134"/>
      <c r="I35" s="134"/>
    </row>
    <row r="36" spans="1:15" ht="15.75" thickBot="1">
      <c r="A36" s="3390" t="s">
        <v>1758</v>
      </c>
      <c r="B36" s="1924" t="s">
        <v>1759</v>
      </c>
      <c r="C36" s="150"/>
      <c r="D36" s="1925"/>
      <c r="E36" s="1926"/>
      <c r="F36" s="1927"/>
      <c r="G36" s="134"/>
      <c r="H36" s="134"/>
      <c r="I36" s="134"/>
    </row>
    <row r="37" spans="1:15" ht="15.75" thickBot="1">
      <c r="A37" s="3391"/>
      <c r="B37" s="1811" t="s">
        <v>1760</v>
      </c>
      <c r="C37" s="152"/>
      <c r="D37" s="1254"/>
      <c r="E37" s="1254"/>
      <c r="F37" s="1927"/>
      <c r="G37" s="134"/>
      <c r="H37" s="134"/>
      <c r="I37" s="134"/>
    </row>
    <row r="38" spans="1:15" ht="15.75" thickBot="1">
      <c r="A38" s="3392"/>
      <c r="B38" s="1928" t="s">
        <v>1761</v>
      </c>
      <c r="C38" s="683"/>
      <c r="D38" s="1929" t="s">
        <v>1762</v>
      </c>
      <c r="E38" s="1254"/>
      <c r="F38" s="1927"/>
      <c r="G38" s="134"/>
      <c r="H38" s="134"/>
      <c r="I38" s="134"/>
    </row>
    <row r="39" spans="1:15" ht="15">
      <c r="A39" s="1901" t="s">
        <v>1763</v>
      </c>
      <c r="B39" s="1930" t="s">
        <v>1764</v>
      </c>
      <c r="C39" s="1931" t="s">
        <v>1765</v>
      </c>
      <c r="D39" s="1931" t="s">
        <v>1766</v>
      </c>
      <c r="E39" s="1932" t="s">
        <v>1767</v>
      </c>
      <c r="F39" s="1927"/>
      <c r="G39" s="134"/>
      <c r="H39" s="134"/>
      <c r="I39" s="134"/>
    </row>
    <row r="40" spans="1:15" ht="14.25">
      <c r="A40" s="1933" t="s">
        <v>1768</v>
      </c>
      <c r="B40" s="154"/>
      <c r="C40" s="155"/>
      <c r="D40" s="155"/>
      <c r="E40" s="156"/>
      <c r="F40" s="1927"/>
      <c r="G40" s="134"/>
      <c r="H40" s="134"/>
      <c r="I40" s="134"/>
    </row>
    <row r="41" spans="1:15" ht="14.25">
      <c r="A41" s="1933" t="s">
        <v>1769</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1770</v>
      </c>
      <c r="B44" s="1938"/>
      <c r="C44" s="1938"/>
      <c r="D44" s="1939"/>
      <c r="E44" s="1939"/>
      <c r="F44" s="1940"/>
      <c r="G44" s="1940"/>
      <c r="H44" s="1940"/>
      <c r="I44" s="1940"/>
      <c r="J44" s="1941" t="s">
        <v>1771</v>
      </c>
      <c r="K44" s="1942"/>
      <c r="L44" s="1942"/>
      <c r="M44" s="1942"/>
      <c r="N44" s="1942"/>
      <c r="O44" s="1942"/>
    </row>
    <row r="45" spans="1:15" ht="14.25" customHeight="1" thickBot="1">
      <c r="A45" s="3410" t="s">
        <v>1772</v>
      </c>
      <c r="B45" s="3411"/>
      <c r="C45" s="3412"/>
      <c r="D45" s="160">
        <f ca="1">ROUND(H101*F45,0)</f>
        <v>23513</v>
      </c>
      <c r="E45" s="161" t="s">
        <v>1773</v>
      </c>
      <c r="F45" s="162">
        <v>1</v>
      </c>
      <c r="G45" s="163" t="s">
        <v>1774</v>
      </c>
      <c r="H45" s="134"/>
      <c r="I45" s="134"/>
      <c r="J45" s="3327" t="s">
        <v>1775</v>
      </c>
      <c r="K45" s="3327"/>
      <c r="L45" s="3327"/>
      <c r="M45" s="3327"/>
      <c r="N45" s="3327"/>
      <c r="O45" s="3327"/>
    </row>
    <row r="46" spans="1:15" ht="14.25" customHeight="1">
      <c r="A46" s="3407" t="s">
        <v>1776</v>
      </c>
      <c r="B46" s="3408"/>
      <c r="C46" s="3408"/>
      <c r="D46" s="3408"/>
      <c r="E46" s="3408"/>
      <c r="F46" s="3408"/>
      <c r="G46" s="3409"/>
      <c r="H46" s="1943"/>
      <c r="I46" s="164"/>
      <c r="J46" s="2699">
        <v>1</v>
      </c>
      <c r="K46" s="3328" t="s">
        <v>1777</v>
      </c>
      <c r="L46" s="3328"/>
      <c r="M46" s="3329"/>
      <c r="N46" s="3329"/>
      <c r="O46" s="3329"/>
    </row>
    <row r="47" spans="1:15" ht="12" customHeight="1">
      <c r="A47" s="165" t="s">
        <v>1778</v>
      </c>
      <c r="B47" s="166"/>
      <c r="C47" s="167"/>
      <c r="D47" s="1200" t="s">
        <v>1779</v>
      </c>
      <c r="E47" s="308" t="s">
        <v>1780</v>
      </c>
      <c r="F47" s="168" t="s">
        <v>1781</v>
      </c>
      <c r="G47" s="2722" t="s">
        <v>1782</v>
      </c>
      <c r="H47" s="2723"/>
      <c r="I47" s="164"/>
      <c r="J47" s="2699">
        <v>2</v>
      </c>
      <c r="K47" s="3328" t="s">
        <v>1783</v>
      </c>
      <c r="L47" s="3328"/>
      <c r="M47" s="3330">
        <f>'数据-取费表'!B2</f>
        <v>44768</v>
      </c>
      <c r="N47" s="3330"/>
      <c r="O47" s="3330"/>
    </row>
    <row r="48" spans="1:15" ht="25.5">
      <c r="A48" s="3393" t="s">
        <v>1784</v>
      </c>
      <c r="B48" s="3394"/>
      <c r="C48" s="3394"/>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1785</v>
      </c>
      <c r="H48" s="2726"/>
      <c r="I48" s="1943"/>
      <c r="J48" s="2699">
        <v>3</v>
      </c>
      <c r="K48" s="3328" t="s">
        <v>1786</v>
      </c>
      <c r="L48" s="3328"/>
      <c r="M48" s="3331">
        <f ca="1">H101</f>
        <v>23513</v>
      </c>
      <c r="N48" s="3331"/>
      <c r="O48" s="3331"/>
    </row>
    <row r="49" spans="1:35" ht="25.5" customHeight="1">
      <c r="A49" s="2507" t="s">
        <v>1787</v>
      </c>
      <c r="B49" s="3376" t="s">
        <v>1788</v>
      </c>
      <c r="C49" s="3376"/>
      <c r="D49" s="1726">
        <v>0</v>
      </c>
      <c r="E49" s="330" t="s">
        <v>1789</v>
      </c>
      <c r="F49" s="2600" t="s">
        <v>34</v>
      </c>
      <c r="G49" s="3359"/>
      <c r="H49" s="2479" t="s">
        <v>2633</v>
      </c>
      <c r="I49" s="2480"/>
      <c r="J49" s="2699">
        <v>4</v>
      </c>
      <c r="K49" s="3328" t="str">
        <f>IF(项目基本情况!E8="房地产抵押价值","房地产抵押价值","抵押担保权已注销时的房地产抵押价值")</f>
        <v>房地产抵押价值</v>
      </c>
      <c r="L49" s="3328"/>
      <c r="M49" s="3331">
        <f ca="1">IF(项目基本情况!E8="房地产抵押价值",H107,H109)</f>
        <v>23513</v>
      </c>
      <c r="N49" s="3331"/>
      <c r="O49" s="3331"/>
    </row>
    <row r="50" spans="1:35" ht="25.5" customHeight="1">
      <c r="A50" s="2727"/>
      <c r="B50" s="3376" t="s">
        <v>1790</v>
      </c>
      <c r="C50" s="3376"/>
      <c r="D50" s="2728"/>
      <c r="E50" s="338"/>
      <c r="F50" s="2600"/>
      <c r="G50" s="3360"/>
      <c r="H50" s="2481" t="s">
        <v>2634</v>
      </c>
      <c r="I50" s="2480"/>
      <c r="J50" s="3327" t="s">
        <v>1791</v>
      </c>
      <c r="K50" s="3327"/>
      <c r="L50" s="3327"/>
      <c r="M50" s="3327"/>
      <c r="N50" s="3327"/>
      <c r="O50" s="3327"/>
    </row>
    <row r="51" spans="1:35" ht="20.45" customHeight="1">
      <c r="A51" s="2729"/>
      <c r="B51" s="3376" t="s">
        <v>1792</v>
      </c>
      <c r="C51" s="3376"/>
      <c r="D51" s="1200"/>
      <c r="E51" s="333"/>
      <c r="F51" s="2600"/>
      <c r="G51" s="3361"/>
      <c r="H51" s="2481" t="s">
        <v>2635</v>
      </c>
      <c r="I51" s="2480"/>
      <c r="J51" s="2700" t="s">
        <v>1793</v>
      </c>
      <c r="K51" s="3328" t="s">
        <v>1794</v>
      </c>
      <c r="L51" s="3328"/>
      <c r="M51" s="2700" t="s">
        <v>1795</v>
      </c>
      <c r="N51" s="2700" t="s">
        <v>1796</v>
      </c>
      <c r="O51" s="2700" t="s">
        <v>1797</v>
      </c>
    </row>
    <row r="52" spans="1:35" ht="24" customHeight="1">
      <c r="A52" s="2509" t="s">
        <v>1798</v>
      </c>
      <c r="B52" s="3376" t="s">
        <v>1799</v>
      </c>
      <c r="C52" s="3376"/>
      <c r="D52" s="1200">
        <f ca="1">ROUND(D45*'数据-取费表'!B41/(1+'数据-取费表'!C42),0)</f>
        <v>1232</v>
      </c>
      <c r="E52" s="2508" t="s">
        <v>1800</v>
      </c>
      <c r="F52" s="2730">
        <f>'数据-取费表'!B41</f>
        <v>5.5000000000000007E-2</v>
      </c>
      <c r="G52" s="2731"/>
      <c r="H52" s="2720"/>
      <c r="I52" s="1944"/>
      <c r="J52" s="2699">
        <v>1</v>
      </c>
      <c r="K52" s="3353" t="s">
        <v>1801</v>
      </c>
      <c r="L52" s="3353"/>
      <c r="M52" s="2701" t="b">
        <f>D48</f>
        <v>0</v>
      </c>
      <c r="N52" s="2699" t="str">
        <f>E48</f>
        <v>销售额×税（费）率</v>
      </c>
      <c r="O52" s="2702">
        <f>F48</f>
        <v>5.5000000000000007E-2</v>
      </c>
    </row>
    <row r="53" spans="1:35" ht="12" customHeight="1">
      <c r="A53" s="2509" t="s">
        <v>1802</v>
      </c>
      <c r="B53" s="3377" t="s">
        <v>2790</v>
      </c>
      <c r="C53" s="3378"/>
      <c r="D53" s="1200">
        <f ca="1">ROUND(D45*'数据-取费表'!B41/(1+'数据-取费表'!C42),0)</f>
        <v>1232</v>
      </c>
      <c r="E53" s="2508" t="s">
        <v>1800</v>
      </c>
      <c r="F53" s="2730">
        <f>'数据-取费表'!B41</f>
        <v>5.5000000000000007E-2</v>
      </c>
      <c r="G53" s="2731"/>
      <c r="H53" s="2720"/>
      <c r="I53" s="1944"/>
      <c r="J53" s="2699">
        <v>2</v>
      </c>
      <c r="K53" s="3353" t="s">
        <v>1803</v>
      </c>
      <c r="L53" s="3353"/>
      <c r="M53" s="2701">
        <f t="shared" ref="M53:O54" ca="1" si="0">D55</f>
        <v>12</v>
      </c>
      <c r="N53" s="2699" t="str">
        <f t="shared" si="0"/>
        <v>销售额×税（费）率</v>
      </c>
      <c r="O53" s="2702" t="str">
        <f t="shared" si="0"/>
        <v>免征</v>
      </c>
    </row>
    <row r="54" spans="1:35" ht="12" customHeight="1">
      <c r="A54" s="2509" t="s">
        <v>1804</v>
      </c>
      <c r="B54" s="3377" t="s">
        <v>2791</v>
      </c>
      <c r="C54" s="3378"/>
      <c r="D54" s="1200">
        <f ca="1">C68</f>
        <v>1232</v>
      </c>
      <c r="E54" s="333" t="s">
        <v>1805</v>
      </c>
      <c r="F54" s="2730">
        <f>'数据-取费表'!B41</f>
        <v>5.5000000000000007E-2</v>
      </c>
      <c r="G54" s="2731"/>
      <c r="H54" s="2732"/>
      <c r="I54" s="1944"/>
      <c r="J54" s="2699">
        <v>3</v>
      </c>
      <c r="K54" s="3353" t="s">
        <v>1806</v>
      </c>
      <c r="L54" s="3353"/>
      <c r="M54" s="2701">
        <f t="shared" ca="1" si="0"/>
        <v>13329</v>
      </c>
      <c r="N54" s="2699" t="str">
        <f t="shared" si="0"/>
        <v>增值额×税（费）率</v>
      </c>
      <c r="O54" s="2703" t="str">
        <f t="shared" si="0"/>
        <v>免征</v>
      </c>
    </row>
    <row r="55" spans="1:35" ht="24" customHeight="1">
      <c r="A55" s="3416" t="s">
        <v>1807</v>
      </c>
      <c r="B55" s="3394"/>
      <c r="C55" s="3394"/>
      <c r="D55" s="2498">
        <f ca="1">IF(H55="个人住宅",0,ROUND(D45*I55,0))</f>
        <v>12</v>
      </c>
      <c r="E55" s="2508" t="s">
        <v>1808</v>
      </c>
      <c r="F55" s="2730" t="str">
        <f>IF(H55="正常",I55,"免征")</f>
        <v>免征</v>
      </c>
      <c r="G55" s="2731"/>
      <c r="H55" s="2726"/>
      <c r="I55" s="170">
        <f>'数据-取费表'!B49</f>
        <v>5.0000000000000001E-4</v>
      </c>
      <c r="J55" s="2699">
        <f>IF(H59="非个人房产","",4)</f>
        <v>4</v>
      </c>
      <c r="K55" s="3353" t="str">
        <f>IF(H59="非个人房产","——","个人所得税")</f>
        <v>个人所得税</v>
      </c>
      <c r="L55" s="3353"/>
      <c r="M55" s="2704">
        <f ca="1">D59</f>
        <v>224</v>
      </c>
      <c r="N55" s="2179" t="str">
        <f>E59</f>
        <v>差额计税</v>
      </c>
      <c r="O55" s="2705">
        <f>F59</f>
        <v>0.01</v>
      </c>
    </row>
    <row r="56" spans="1:35" ht="24.75">
      <c r="A56" s="3416" t="s">
        <v>1809</v>
      </c>
      <c r="B56" s="3394"/>
      <c r="C56" s="3394"/>
      <c r="D56" s="2498">
        <f ca="1">IF(H56="个人住宅",D57,D58)</f>
        <v>13329</v>
      </c>
      <c r="E56" s="2508" t="s">
        <v>1810</v>
      </c>
      <c r="F56" s="2730" t="str">
        <f>IF(H56="正常",F58,"免征")</f>
        <v>免征</v>
      </c>
      <c r="G56" s="2733" t="s">
        <v>1811</v>
      </c>
      <c r="H56" s="2734"/>
      <c r="I56" s="1945"/>
      <c r="J56" s="2699" t="str">
        <f>IF(项目基本情况!K6="上海银行",IF(J55="",4,J55+1),"")</f>
        <v/>
      </c>
      <c r="K56" s="3334" t="str">
        <f>IF(项目基本情况!K6="上海银行","其他处置费用","")</f>
        <v/>
      </c>
      <c r="L56" s="3335"/>
      <c r="M56" s="2701" t="str">
        <f>IF(项目基本情况!K6="上海银行",M69,"")</f>
        <v/>
      </c>
      <c r="N56" s="3334" t="str">
        <f>IF(项目基本情况!K6="上海银行","包含处置中涉及的律师、诉讼、拍卖、评估等费用","")</f>
        <v/>
      </c>
      <c r="O56" s="3337"/>
    </row>
    <row r="57" spans="1:35" ht="12.75">
      <c r="A57" s="2509" t="s">
        <v>1787</v>
      </c>
      <c r="B57" s="3377" t="s">
        <v>1812</v>
      </c>
      <c r="C57" s="3378"/>
      <c r="D57" s="1726">
        <v>0</v>
      </c>
      <c r="E57" s="330" t="s">
        <v>1789</v>
      </c>
      <c r="F57" s="308"/>
      <c r="G57" s="2731"/>
      <c r="H57" s="2735"/>
      <c r="I57" s="1945"/>
      <c r="J57" s="3353">
        <f>IF(AND(J55="",J56=""),4,IF(项目基本情况!K6="上海银行",结果表!J56+1,结果表!J55+1))</f>
        <v>5</v>
      </c>
      <c r="K57" s="3353" t="s">
        <v>1813</v>
      </c>
      <c r="L57" s="2706" t="s">
        <v>1814</v>
      </c>
      <c r="M57" s="2707"/>
      <c r="N57" s="2708">
        <f ca="1">SUMIF(M52:M56,"&lt;9e307")</f>
        <v>13565</v>
      </c>
      <c r="O57" s="2709"/>
      <c r="P57" s="2869">
        <f ca="1">N57/M49</f>
        <v>0.57691489814145369</v>
      </c>
    </row>
    <row r="58" spans="1:35" ht="24.75">
      <c r="A58" s="2509" t="s">
        <v>1798</v>
      </c>
      <c r="B58" s="3377" t="s">
        <v>1815</v>
      </c>
      <c r="C58" s="3376"/>
      <c r="D58" s="2498">
        <f ca="1">IF(H58="转让取得",C81,C97)</f>
        <v>13329</v>
      </c>
      <c r="E58" s="2508" t="s">
        <v>1810</v>
      </c>
      <c r="F58" s="308" t="s">
        <v>34</v>
      </c>
      <c r="G58" s="2731"/>
      <c r="H58" s="2734"/>
      <c r="I58" s="1945"/>
      <c r="J58" s="3353"/>
      <c r="K58" s="3353"/>
      <c r="L58" s="2706" t="s">
        <v>1816</v>
      </c>
      <c r="M58" s="2710"/>
      <c r="N58" s="2711" t="str">
        <f ca="1">NUMBERSTRING(INT(N57*10000),2)&amp;"元整"</f>
        <v>壹亿叁仟伍佰陆拾伍万元整</v>
      </c>
      <c r="O58" s="2712"/>
    </row>
    <row r="59" spans="1:35" ht="24.75" thickBot="1">
      <c r="A59" s="3357" t="s">
        <v>1817</v>
      </c>
      <c r="B59" s="3358"/>
      <c r="C59" s="3358"/>
      <c r="D59" s="2736">
        <f ca="1">IF(H59="非个人房产","——",IF(H59="个人住宅（满五唯一有凭证）",0,IF(H59="个人其他（无凭证）",ROUND(D45*F59,0),ROUND(C67*F59,0))))</f>
        <v>224</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1811</v>
      </c>
      <c r="H59" s="2483"/>
      <c r="I59" s="2482" t="s">
        <v>2636</v>
      </c>
      <c r="J59" s="3355">
        <f>J57+1</f>
        <v>6</v>
      </c>
      <c r="K59" s="3353" t="s">
        <v>1818</v>
      </c>
      <c r="L59" s="2699" t="s">
        <v>1814</v>
      </c>
      <c r="M59" s="2713"/>
      <c r="N59" s="2714">
        <f ca="1">M49-N57</f>
        <v>9948</v>
      </c>
      <c r="O59" s="2715"/>
    </row>
    <row r="60" spans="1:35" ht="12" customHeight="1">
      <c r="A60" s="1946"/>
      <c r="B60" s="1884"/>
      <c r="C60" s="1884"/>
      <c r="D60" s="1884"/>
      <c r="E60" s="1714"/>
      <c r="F60" s="1945"/>
      <c r="G60" s="1945"/>
      <c r="H60" s="1947"/>
      <c r="I60" s="134"/>
      <c r="J60" s="3356"/>
      <c r="K60" s="3353"/>
      <c r="L60" s="2706" t="s">
        <v>1816</v>
      </c>
      <c r="M60" s="2710"/>
      <c r="N60" s="2711" t="str">
        <f ca="1">NUMBERSTRING(INT(N59*10000),2)&amp;"元整"</f>
        <v>玖仟玖佰肆拾捌万元整</v>
      </c>
      <c r="O60" s="2712"/>
    </row>
    <row r="61" spans="1:35" ht="13.5" thickBot="1">
      <c r="A61" s="3415" t="s">
        <v>1819</v>
      </c>
      <c r="B61" s="3415"/>
      <c r="C61" s="3415"/>
      <c r="D61" s="3415"/>
      <c r="E61" s="3415"/>
      <c r="F61" s="1945"/>
      <c r="G61" s="1945"/>
      <c r="H61" s="1947"/>
      <c r="I61" s="134"/>
      <c r="J61" s="2699">
        <f>J59+1</f>
        <v>7</v>
      </c>
      <c r="K61" s="3353" t="s">
        <v>1820</v>
      </c>
      <c r="L61" s="3353"/>
      <c r="M61" s="2716"/>
      <c r="N61" s="2717">
        <f ca="1">ROUND(N59*10000/'数据-汇总表'!E3,0)</f>
        <v>2638</v>
      </c>
      <c r="O61" s="2718"/>
    </row>
    <row r="62" spans="1:35" ht="12.75">
      <c r="A62" s="3372" t="s">
        <v>1821</v>
      </c>
      <c r="B62" s="3373"/>
      <c r="C62" s="2160"/>
      <c r="D62" s="2160" t="s">
        <v>1822</v>
      </c>
      <c r="E62" s="171" t="s">
        <v>1823</v>
      </c>
      <c r="F62" s="1945"/>
      <c r="G62" s="1945"/>
      <c r="H62" s="1947"/>
      <c r="I62" s="134"/>
    </row>
    <row r="63" spans="1:35" ht="12.75">
      <c r="A63" s="178" t="s">
        <v>594</v>
      </c>
      <c r="B63" s="172" t="s">
        <v>1824</v>
      </c>
      <c r="C63" s="2740">
        <f ca="1">ROUND((C64+C65)/(1+'数据-取费表'!C42),0)</f>
        <v>22393</v>
      </c>
      <c r="D63" s="172"/>
      <c r="E63" s="173"/>
      <c r="F63" s="1945"/>
      <c r="G63" s="1945"/>
      <c r="H63" s="1947"/>
      <c r="I63" s="134"/>
      <c r="J63" s="3336" t="s">
        <v>1825</v>
      </c>
      <c r="K63" s="1453" t="s">
        <v>1826</v>
      </c>
      <c r="L63" s="1453">
        <f ca="1">IF(M49&gt;10000,M49*0.5%,IF(AND(M49&gt;1000,M49&lt;=10000),M49*1%,IF(AND(M49&gt;100,M49&lt;=1000),M49*3%,IF(AND(M49&gt;10,M49&lt;=100),M49*5%,M49*8%))))</f>
        <v>117.565</v>
      </c>
      <c r="M63" s="308">
        <f ca="1">ROUND(L63,1)</f>
        <v>117.6</v>
      </c>
      <c r="N63" s="2719"/>
      <c r="Z63" s="1889"/>
      <c r="AI63" s="1890"/>
    </row>
    <row r="64" spans="1:35" ht="14.25" customHeight="1">
      <c r="A64" s="174" t="s">
        <v>589</v>
      </c>
      <c r="B64" s="175" t="s">
        <v>1827</v>
      </c>
      <c r="C64" s="2741">
        <f ca="1">D45</f>
        <v>23513</v>
      </c>
      <c r="D64" s="175" t="s">
        <v>32</v>
      </c>
      <c r="E64" s="177"/>
      <c r="F64" s="1945"/>
      <c r="G64" s="1945"/>
      <c r="H64" s="1947"/>
      <c r="I64" s="134"/>
      <c r="J64" s="3336"/>
      <c r="K64" s="1453" t="s">
        <v>1828</v>
      </c>
      <c r="L64" s="1453">
        <f ca="1">IF(M49&gt;2000,M49*0.5%,IF(AND(M49&gt;1000,M49&lt;=2000),M49*0.6%,IF(AND(M49&gt;500,M49&lt;=1000),M49*0.7%,IF(AND(M49&gt;200,M49&lt;=500),M49*0.8%,IF(AND(M49&gt;100,M49&lt;=200),M49*0.9%,IF(AND(M49&gt;50,M49&lt;=100),M49*1%,IF(AND(M49&gt;20,M49&lt;=50),M49*1.5%,IF(AND(M49&gt;10,M49&lt;=20),M49*2%,IF(AND(M49&gt;1,M49&lt;=10),M49*2.5%)))))))))</f>
        <v>117.565</v>
      </c>
      <c r="M64" s="308">
        <f t="shared" ref="M64:M65" ca="1" si="1">ROUND(L64,1)</f>
        <v>117.6</v>
      </c>
      <c r="N64" s="2720" t="s">
        <v>1829</v>
      </c>
      <c r="Z64" s="1889"/>
      <c r="AI64" s="1890"/>
    </row>
    <row r="65" spans="1:35" ht="14.25" customHeight="1">
      <c r="A65" s="174" t="s">
        <v>590</v>
      </c>
      <c r="B65" s="175" t="s">
        <v>1830</v>
      </c>
      <c r="C65" s="2742"/>
      <c r="D65" s="175"/>
      <c r="E65" s="177"/>
      <c r="F65" s="1945"/>
      <c r="G65" s="1945"/>
      <c r="H65" s="1947"/>
      <c r="I65" s="134"/>
      <c r="J65" s="3336"/>
      <c r="K65" s="1453" t="s">
        <v>1831</v>
      </c>
      <c r="L65" s="1453">
        <f ca="1">IF(M49&gt;1000,M49*0.1%,IF(AND(M49&gt;500,M49&lt;=1000),M49*0.5%,IF(AND(M49&gt;50,M49&lt;=500),M49*1%,IF(AND(M49&gt;1,M49&lt;=50),M49*1.5%))))</f>
        <v>23.513000000000002</v>
      </c>
      <c r="M65" s="308">
        <f t="shared" ca="1" si="1"/>
        <v>23.5</v>
      </c>
      <c r="N65" s="2720" t="s">
        <v>1829</v>
      </c>
      <c r="Z65" s="1889"/>
      <c r="AI65" s="1890"/>
    </row>
    <row r="66" spans="1:35" ht="14.25" customHeight="1">
      <c r="A66" s="178" t="s">
        <v>591</v>
      </c>
      <c r="B66" s="179" t="s">
        <v>1832</v>
      </c>
      <c r="C66" s="2743"/>
      <c r="D66" s="179" t="s">
        <v>32</v>
      </c>
      <c r="E66" s="1460" t="s">
        <v>1096</v>
      </c>
      <c r="F66" s="1945"/>
      <c r="G66" s="1945"/>
      <c r="H66" s="1947"/>
      <c r="I66" s="134"/>
      <c r="J66" s="3336"/>
      <c r="K66" s="1453" t="s">
        <v>1833</v>
      </c>
      <c r="L66" s="1453">
        <f ca="1">M49*0.5%</f>
        <v>117.565</v>
      </c>
      <c r="M66" s="308">
        <f ca="1">IF(L66&gt;0.5,0.5,ROUND(L66,0))</f>
        <v>0.5</v>
      </c>
      <c r="N66" s="2720" t="s">
        <v>1834</v>
      </c>
      <c r="Z66" s="1889"/>
      <c r="AI66" s="1890"/>
    </row>
    <row r="67" spans="1:35" ht="14.25" customHeight="1">
      <c r="A67" s="178" t="s">
        <v>592</v>
      </c>
      <c r="B67" s="179" t="s">
        <v>1835</v>
      </c>
      <c r="C67" s="2744">
        <f ca="1">C63-C66</f>
        <v>22393</v>
      </c>
      <c r="D67" s="175" t="s">
        <v>32</v>
      </c>
      <c r="E67" s="177"/>
      <c r="F67" s="1945"/>
      <c r="G67" s="1945"/>
      <c r="H67" s="1947"/>
      <c r="I67" s="134"/>
      <c r="J67" s="3336"/>
      <c r="K67" s="1453" t="s">
        <v>1836</v>
      </c>
      <c r="L67" s="1453">
        <f ca="1">IF(M49&gt;=10000,(8.25+(M49-10000)*0.01%),IF(AND(M49&gt;=8000,M49&lt;10000),(7.85+(M49-8000)*0.02%),IF(AND(M49&gt;=5000,M49&lt;8000),(6.65+(M49-5000)*0.04%),IF(AND(M49&gt;=2000,M49&lt;5000),(4.25+(PM49-2000)*0.08%),IF(AND(M49&gt;=1000,M49&lt;2000),(2.75+(M49-1000)*0.15%),IF(AND(M49&gt;=100,M49&lt;1000),(0.5+(M49-100)*0.25%),IF(AND(M49&gt;0,M49&lt;100),M49*0.5%)))))))</f>
        <v>9.6013000000000002</v>
      </c>
      <c r="M67" s="308">
        <f ca="1">ROUND(L67*0.9,1)</f>
        <v>8.6</v>
      </c>
      <c r="N67" s="2719"/>
      <c r="Z67" s="1889"/>
      <c r="AI67" s="1890"/>
    </row>
    <row r="68" spans="1:35" ht="14.25" customHeight="1" thickBot="1">
      <c r="A68" s="181" t="s">
        <v>593</v>
      </c>
      <c r="B68" s="182" t="s">
        <v>1837</v>
      </c>
      <c r="C68" s="2745">
        <f ca="1">IF(C67&lt;=0,0,ROUND(C67*D68,0))</f>
        <v>1232</v>
      </c>
      <c r="D68" s="2746">
        <f>'数据-取费表'!B41</f>
        <v>5.5000000000000007E-2</v>
      </c>
      <c r="E68" s="184"/>
      <c r="F68" s="1945"/>
      <c r="G68" s="1945"/>
      <c r="H68" s="1947"/>
      <c r="I68" s="134"/>
      <c r="J68" s="3336"/>
      <c r="K68" s="1453" t="s">
        <v>1838</v>
      </c>
      <c r="L68" s="1453">
        <f ca="1">IF(M49&gt;10000,M49*0.5%,IF(AND(M49&gt;5000,M49&lt;=10000),M49*1%,IF(AND(M49&gt;1000,M49&lt;=5000),M49*2%,IF(AND(M49&gt;200,M49&lt;=1000),M49*3%,M49*5%))))</f>
        <v>117.565</v>
      </c>
      <c r="M68" s="308">
        <f ca="1">ROUND(L68,1)</f>
        <v>117.6</v>
      </c>
      <c r="N68" s="2719"/>
      <c r="Z68" s="1889"/>
      <c r="AI68" s="1890"/>
    </row>
    <row r="69" spans="1:35" s="1909" customFormat="1" ht="16.5" customHeight="1">
      <c r="A69" s="1948"/>
      <c r="B69" s="1949"/>
      <c r="C69" s="1950"/>
      <c r="D69" s="1951"/>
      <c r="E69" s="1952"/>
      <c r="F69" s="1714"/>
      <c r="G69" s="1714"/>
      <c r="H69" s="1713"/>
      <c r="I69" s="1884"/>
      <c r="J69" s="3336"/>
      <c r="K69" s="1453" t="s">
        <v>1839</v>
      </c>
      <c r="L69" s="1453"/>
      <c r="M69" s="308">
        <f ca="1">ROUND(SUM(M63:M68),0)</f>
        <v>385</v>
      </c>
      <c r="N69" s="2721">
        <f ca="1">M69/M49</f>
        <v>1.6373920809764811E-2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1840</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2" t="s">
        <v>1821</v>
      </c>
      <c r="B71" s="3373"/>
      <c r="C71" s="2160"/>
      <c r="D71" s="2160" t="s">
        <v>1822</v>
      </c>
      <c r="E71" s="185" t="s">
        <v>1823</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1841</v>
      </c>
      <c r="C72" s="2744">
        <f ca="1">ROUND(D45/(1+'数据-取费表'!C42),0)</f>
        <v>22393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1842</v>
      </c>
      <c r="C73" s="2744">
        <f ca="1">C74+C78</f>
        <v>112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1843</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1844</v>
      </c>
      <c r="C75" s="2747"/>
      <c r="D75" s="175" t="s">
        <v>32</v>
      </c>
      <c r="E75" s="190" t="s">
        <v>1845</v>
      </c>
      <c r="F75" s="2748"/>
      <c r="G75" s="190" t="s">
        <v>1846</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1847</v>
      </c>
      <c r="C76" s="175">
        <f>IF(F75="购房发票",ROUND(C75*H75*D76,0),0)</f>
        <v>0</v>
      </c>
      <c r="D76" s="2750">
        <v>0.05</v>
      </c>
      <c r="E76" s="3377" t="s">
        <v>1848</v>
      </c>
      <c r="F76" s="3376"/>
      <c r="G76" s="3376"/>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1849</v>
      </c>
      <c r="C77" s="175">
        <f>ROUND(IF(G77="个人住宅",0,IF(G77="2016年5月1日前购买",C75*D77,C75*D77/(1+'数据-取费表'!C42))),0)</f>
        <v>0</v>
      </c>
      <c r="D77" s="2751">
        <f>'数据-取费表'!B48+'数据-取费表'!B49</f>
        <v>3.0499999999999999E-2</v>
      </c>
      <c r="E77" s="2498" t="s">
        <v>1850</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1851</v>
      </c>
      <c r="C78" s="2752">
        <f ca="1">ROUND(D45*D78/(1+'数据-取费表'!C42),0)</f>
        <v>112</v>
      </c>
      <c r="D78" s="2753">
        <f>'数据-取费表'!B43</f>
        <v>5.000000000000001E-3</v>
      </c>
      <c r="E78" s="3369" t="s">
        <v>1852</v>
      </c>
      <c r="F78" s="3370"/>
      <c r="G78" s="3370"/>
      <c r="H78" s="337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1853</v>
      </c>
      <c r="C79" s="2744">
        <f ca="1">C72-C73</f>
        <v>22281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1854</v>
      </c>
      <c r="C80" s="2754">
        <f ca="1">IF(C79&lt;=0,0,C79/C73)</f>
        <v>198.9375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1855</v>
      </c>
      <c r="C81" s="2755">
        <f ca="1">ROUND(IF(C79&lt;=0,0,IF(C80&gt;=200%,C79*60%-C73*35%,IF(C80&gt;=100%,C79*50%-C73*15%,IF(C80&gt;=50%,C79*40%-C73*5%,IF(C80&lt;50%,C79*30%,0))))),0)</f>
        <v>13329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1856</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2" t="s">
        <v>1821</v>
      </c>
      <c r="B84" s="3373"/>
      <c r="C84" s="2160"/>
      <c r="D84" s="2160" t="s">
        <v>1822</v>
      </c>
      <c r="E84" s="185" t="s">
        <v>1823</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1841</v>
      </c>
      <c r="C85" s="2744">
        <f ca="1">ROUND(D45/(1+'数据-取费表'!C42),0)</f>
        <v>22393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1842</v>
      </c>
      <c r="C86" s="2744">
        <f ca="1">IF(H88="仅含出让金",C87+C90+C91+C92+C93+C94,C87+C91+C92+C93+C94)</f>
        <v>112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1857</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1858</v>
      </c>
      <c r="C88" s="2758"/>
      <c r="D88" s="2753"/>
      <c r="E88" s="199" t="s">
        <v>1859</v>
      </c>
      <c r="F88" s="2501"/>
      <c r="G88" s="200" t="s">
        <v>1860</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1849</v>
      </c>
      <c r="C89" s="2752">
        <f>ROUND(C88*D89,0)</f>
        <v>0</v>
      </c>
      <c r="D89" s="2753">
        <f>'数据-取费表'!B48+'数据-取费表'!B49</f>
        <v>3.0499999999999999E-2</v>
      </c>
      <c r="E89" s="199" t="s">
        <v>1861</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1862</v>
      </c>
      <c r="C90" s="2758"/>
      <c r="D90" s="2753"/>
      <c r="E90" s="199" t="str">
        <f>IF(H88="-","土地取得成本中已包含该笔费用"," ")</f>
        <v xml:space="preserve"> </v>
      </c>
      <c r="F90" s="2501"/>
      <c r="G90" s="3338" t="s">
        <v>2628</v>
      </c>
      <c r="H90" s="3339"/>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1863</v>
      </c>
      <c r="B91" s="175" t="s">
        <v>1864</v>
      </c>
      <c r="C91" s="2752">
        <f>IF(H91="——",成本法!C33,I91)</f>
        <v>0</v>
      </c>
      <c r="D91" s="2753"/>
      <c r="E91" s="3369" t="s">
        <v>1865</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1866</v>
      </c>
      <c r="B92" s="175" t="s">
        <v>1867</v>
      </c>
      <c r="C92" s="2752">
        <f>ROUND((C87+C90+C91)*D92,0)</f>
        <v>0</v>
      </c>
      <c r="D92" s="2759"/>
      <c r="E92" s="3369" t="s">
        <v>1868</v>
      </c>
      <c r="F92" s="3370"/>
      <c r="G92" s="3370"/>
      <c r="H92" s="3371"/>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1869</v>
      </c>
      <c r="B93" s="175" t="s">
        <v>1851</v>
      </c>
      <c r="C93" s="2752">
        <f ca="1">ROUND(D45*D93/(1+'数据-取费表'!C42),0)</f>
        <v>112</v>
      </c>
      <c r="D93" s="2753">
        <f>'数据-取费表'!B43</f>
        <v>5.000000000000001E-3</v>
      </c>
      <c r="E93" s="3369" t="s">
        <v>1852</v>
      </c>
      <c r="F93" s="3370"/>
      <c r="G93" s="3370"/>
      <c r="H93" s="337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1870</v>
      </c>
      <c r="B94" s="175" t="s">
        <v>1871</v>
      </c>
      <c r="C94" s="2758">
        <f>ROUND((C87+C90+C91)*D94,0)</f>
        <v>0</v>
      </c>
      <c r="D94" s="2753">
        <v>0.2</v>
      </c>
      <c r="E94" s="3417" t="s">
        <v>1872</v>
      </c>
      <c r="F94" s="3418"/>
      <c r="G94" s="3418"/>
      <c r="H94" s="341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1853</v>
      </c>
      <c r="C95" s="2744">
        <f ca="1">ROUND(C85-C86,0)</f>
        <v>22281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1854</v>
      </c>
      <c r="C96" s="2754">
        <f ca="1">IF(C95&lt;=0,0,C95/C86)</f>
        <v>198.9375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1855</v>
      </c>
      <c r="C97" s="2755">
        <f ca="1">ROUND(IF(C95&lt;=0,0,IF(C96&gt;=200%,C95*60%-C86*35%,IF(C96&gt;=100%,C95*50%-C86*15%,IF(C96&gt;=50%,C95*40%-C86*5%,IF(C96&lt;50%,C95*30%,0))))),0)</f>
        <v>13329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1873</v>
      </c>
      <c r="B99" s="1884"/>
      <c r="C99" s="1884"/>
      <c r="D99" s="1884"/>
      <c r="E99" s="1714"/>
      <c r="F99" s="1714"/>
      <c r="G99" s="1714"/>
      <c r="H99" s="1713"/>
      <c r="I99" s="134"/>
    </row>
    <row r="100" spans="1:35" ht="18.75" customHeight="1">
      <c r="A100" s="3319" t="s">
        <v>1874</v>
      </c>
      <c r="B100" s="3320"/>
      <c r="C100" s="3320"/>
      <c r="D100" s="3354"/>
      <c r="E100" s="3320" t="s">
        <v>1875</v>
      </c>
      <c r="F100" s="3320"/>
      <c r="G100" s="3320"/>
      <c r="H100" s="3354"/>
      <c r="I100" s="134"/>
    </row>
    <row r="101" spans="1:35" ht="18.75" customHeight="1">
      <c r="A101" s="3362" t="s">
        <v>1876</v>
      </c>
      <c r="B101" s="3363"/>
      <c r="C101" s="2761" t="str">
        <f>C4</f>
        <v>成本法</v>
      </c>
      <c r="D101" s="2762" t="str">
        <f>D4</f>
        <v>假设开发法</v>
      </c>
      <c r="E101" s="3332" t="s">
        <v>1877</v>
      </c>
      <c r="F101" s="3333"/>
      <c r="G101" s="1964" t="s">
        <v>1878</v>
      </c>
      <c r="H101" s="2771">
        <f ca="1">H118</f>
        <v>23513</v>
      </c>
      <c r="I101" s="134"/>
    </row>
    <row r="102" spans="1:35" ht="18.75" customHeight="1">
      <c r="A102" s="3364" t="s">
        <v>1879</v>
      </c>
      <c r="B102" s="2760" t="s">
        <v>1878</v>
      </c>
      <c r="C102" s="2761">
        <f ca="1">C19</f>
        <v>18749</v>
      </c>
      <c r="D102" s="2762">
        <f ca="1">D19</f>
        <v>25555</v>
      </c>
      <c r="E102" s="3332"/>
      <c r="F102" s="3333"/>
      <c r="G102" s="1964" t="s">
        <v>1880</v>
      </c>
      <c r="H102" s="2731">
        <f ca="1">I118</f>
        <v>6235</v>
      </c>
      <c r="I102" s="134"/>
    </row>
    <row r="103" spans="1:35" ht="42.75" customHeight="1">
      <c r="A103" s="3364"/>
      <c r="B103" s="2760" t="s">
        <v>1880</v>
      </c>
      <c r="C103" s="2763">
        <f ca="1">C20</f>
        <v>4972</v>
      </c>
      <c r="D103" s="2764">
        <f ca="1">D20</f>
        <v>6776</v>
      </c>
      <c r="E103" s="3325" t="s">
        <v>1881</v>
      </c>
      <c r="F103" s="3326"/>
      <c r="G103" s="1965" t="s">
        <v>1882</v>
      </c>
      <c r="H103" s="2771">
        <f>IF(D36="正常操作",H104+H105+H106,H105+H106)</f>
        <v>0</v>
      </c>
      <c r="I103" s="134"/>
    </row>
    <row r="104" spans="1:35" ht="18.75" customHeight="1">
      <c r="A104" s="3364" t="s">
        <v>1883</v>
      </c>
      <c r="B104" s="2765" t="s">
        <v>1878</v>
      </c>
      <c r="C104" s="2766">
        <f ca="1">H118</f>
        <v>23513</v>
      </c>
      <c r="D104" s="2767"/>
      <c r="E104" s="1811" t="s">
        <v>1884</v>
      </c>
      <c r="F104" s="1802"/>
      <c r="G104" s="1965" t="s">
        <v>1882</v>
      </c>
      <c r="H104" s="2772">
        <f>IF(D36="同一抵押权人同一抵押物续贷",C36&amp;"（续贷，未扣减，详见特别提示）",C36)</f>
        <v>0</v>
      </c>
      <c r="I104" s="134"/>
    </row>
    <row r="105" spans="1:35" ht="18.75" customHeight="1" thickBot="1">
      <c r="A105" s="3374"/>
      <c r="B105" s="2768" t="s">
        <v>1880</v>
      </c>
      <c r="C105" s="2769">
        <f ca="1">I118</f>
        <v>6235</v>
      </c>
      <c r="D105" s="2770"/>
      <c r="E105" s="1811" t="s">
        <v>1885</v>
      </c>
      <c r="F105" s="1802"/>
      <c r="G105" s="1965" t="s">
        <v>1882</v>
      </c>
      <c r="H105" s="2773">
        <f>C37</f>
        <v>0</v>
      </c>
      <c r="I105" s="134"/>
    </row>
    <row r="106" spans="1:35" ht="18.75" customHeight="1">
      <c r="A106" s="1884" t="s">
        <v>1886</v>
      </c>
      <c r="B106" s="1884"/>
      <c r="C106" s="1884"/>
      <c r="D106" s="1884"/>
      <c r="E106" s="1966" t="s">
        <v>1887</v>
      </c>
      <c r="F106" s="1802"/>
      <c r="G106" s="1965" t="s">
        <v>1882</v>
      </c>
      <c r="H106" s="2773">
        <f>C38</f>
        <v>0</v>
      </c>
      <c r="I106" s="134"/>
    </row>
    <row r="107" spans="1:35" ht="18.75" customHeight="1">
      <c r="A107" s="134"/>
      <c r="B107" s="134"/>
      <c r="C107" s="134"/>
      <c r="D107" s="134"/>
      <c r="E107" s="3365" t="str">
        <f>IF(项目基本情况!E8="已注销","——","3.房地产抵押价值")</f>
        <v>3.房地产抵押价值</v>
      </c>
      <c r="F107" s="3333"/>
      <c r="G107" s="1964" t="s">
        <v>1878</v>
      </c>
      <c r="H107" s="2771">
        <f ca="1">IF(E107="——","——",H101-H103)</f>
        <v>23513</v>
      </c>
      <c r="I107" s="134"/>
    </row>
    <row r="108" spans="1:35" ht="18.75" customHeight="1">
      <c r="A108" s="134"/>
      <c r="B108" s="134"/>
      <c r="C108" s="134"/>
      <c r="D108" s="134"/>
      <c r="E108" s="3365"/>
      <c r="F108" s="3333"/>
      <c r="G108" s="1964" t="s">
        <v>1880</v>
      </c>
      <c r="H108" s="2731">
        <f ca="1">ROUND(H107*10000/'数据-汇总表'!E3,0)</f>
        <v>6235</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64" t="s">
        <v>1878</v>
      </c>
      <c r="H109" s="2774" t="str">
        <f>IF(E109="——","——",H101-H105-H106)</f>
        <v>——</v>
      </c>
      <c r="I109" s="134"/>
    </row>
    <row r="110" spans="1:35" ht="18.75" customHeight="1">
      <c r="A110" s="134"/>
      <c r="B110" s="134"/>
      <c r="C110" s="134"/>
      <c r="D110" s="134"/>
      <c r="E110" s="3365"/>
      <c r="F110" s="3333"/>
      <c r="G110" s="1964" t="s">
        <v>1880</v>
      </c>
      <c r="H110" s="2731"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64" t="s">
        <v>1878</v>
      </c>
      <c r="H111" s="2771" t="str">
        <f>IF(E111="——","——",N59)</f>
        <v>——</v>
      </c>
      <c r="I111" s="134"/>
    </row>
    <row r="112" spans="1:35" ht="18.75" customHeight="1" thickBot="1">
      <c r="A112" s="134"/>
      <c r="B112" s="134"/>
      <c r="C112" s="134"/>
      <c r="D112" s="134"/>
      <c r="E112" s="3367"/>
      <c r="F112" s="3368"/>
      <c r="G112" s="1967" t="s">
        <v>1880</v>
      </c>
      <c r="H112" s="2775" t="str">
        <f>IF(E111="——","——",N61)</f>
        <v>——</v>
      </c>
      <c r="I112" s="134"/>
    </row>
    <row r="113" spans="1:27" ht="18.75" customHeight="1">
      <c r="A113" s="134"/>
      <c r="B113" s="134"/>
      <c r="C113" s="134"/>
      <c r="D113" s="134"/>
      <c r="E113" s="3375" t="s">
        <v>1886</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6" t="s">
        <v>1888</v>
      </c>
      <c r="B115" s="3387"/>
      <c r="C115" s="3387"/>
      <c r="D115" s="3387"/>
      <c r="E115" s="3387"/>
      <c r="F115" s="3387"/>
      <c r="G115" s="3387"/>
      <c r="H115" s="3387"/>
      <c r="I115" s="3388"/>
    </row>
    <row r="116" spans="1:27" ht="27" customHeight="1">
      <c r="A116" s="3340" t="s">
        <v>1889</v>
      </c>
      <c r="B116" s="3344" t="s">
        <v>1890</v>
      </c>
      <c r="C116" s="3344" t="s">
        <v>1891</v>
      </c>
      <c r="D116" s="3350" t="s">
        <v>1892</v>
      </c>
      <c r="E116" s="3351"/>
      <c r="F116" s="3382" t="s">
        <v>1893</v>
      </c>
      <c r="G116" s="3382"/>
      <c r="H116" s="3340" t="s">
        <v>1894</v>
      </c>
      <c r="I116" s="3340"/>
    </row>
    <row r="117" spans="1:27" ht="18.75" customHeight="1">
      <c r="A117" s="3340"/>
      <c r="B117" s="3345"/>
      <c r="C117" s="3345"/>
      <c r="D117" s="2503" t="s">
        <v>1895</v>
      </c>
      <c r="E117" s="2503" t="s">
        <v>1896</v>
      </c>
      <c r="F117" s="2503" t="s">
        <v>1895</v>
      </c>
      <c r="G117" s="2503" t="s">
        <v>1897</v>
      </c>
      <c r="H117" s="2503" t="s">
        <v>1895</v>
      </c>
      <c r="I117" s="2503" t="s">
        <v>1897</v>
      </c>
    </row>
    <row r="118" spans="1:27" ht="24.75" customHeight="1">
      <c r="A118" s="2776" t="str">
        <f>项目基本情况!S2</f>
        <v>北京市房地产</v>
      </c>
      <c r="B118" s="2503">
        <f>M18</f>
        <v>37711.240000000005</v>
      </c>
      <c r="C118" s="2503">
        <f>M19</f>
        <v>18193.39</v>
      </c>
      <c r="D118" s="2503">
        <f ca="1">ROUND(IF(D32="总价",C34,E118*B118/10000),0)</f>
        <v>4867</v>
      </c>
      <c r="E118" s="2503">
        <f ca="1">ROUND(IF(C33="自定义",IF(D32="楼面单价",C34,D118*10000/B118),I118-G118),0)</f>
        <v>1291</v>
      </c>
      <c r="F118" s="2503">
        <f ca="1">ROUND(IF(D32="总价",C35,G118*B118/10000),0)</f>
        <v>18646</v>
      </c>
      <c r="G118" s="2503">
        <f ca="1">ROUND(IF(D32="楼面单价",C35,F118*10000/B118),0)</f>
        <v>4944</v>
      </c>
      <c r="H118" s="2503">
        <f ca="1">ROUND(IF(D32="总价",C32,I118*B118/10000),0)</f>
        <v>23513</v>
      </c>
      <c r="I118" s="2503">
        <f ca="1">ROUND(IF(D32="楼面单价",C32,H118*10000/B118),0)</f>
        <v>6235</v>
      </c>
    </row>
    <row r="119" spans="1:27" ht="18.75" customHeight="1">
      <c r="A119" s="3340" t="s">
        <v>1898</v>
      </c>
      <c r="B119" s="3340"/>
      <c r="C119" s="3340"/>
      <c r="D119" s="3346" t="str">
        <f ca="1">NUMBERSTRING(INT(D118*10000),2)&amp;"元整"</f>
        <v>肆仟捌佰陆拾柒万元整</v>
      </c>
      <c r="E119" s="3347"/>
      <c r="F119" s="3346" t="str">
        <f ca="1">NUMBERSTRING(INT(F118*10000),2)&amp;"元整"</f>
        <v>壹亿捌仟陆佰肆拾陆万元整</v>
      </c>
      <c r="G119" s="3347"/>
      <c r="H119" s="3346" t="str">
        <f ca="1">NUMBERSTRING(INT(H118*10000),2)&amp;"元整"</f>
        <v>贰亿叁仟伍佰壹拾叁万元整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1898</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23513</v>
      </c>
      <c r="E122" s="3342"/>
      <c r="F122" s="3342"/>
      <c r="G122" s="3342"/>
      <c r="H122" s="3342"/>
      <c r="I122" s="3343"/>
      <c r="AA122" s="734"/>
    </row>
    <row r="123" spans="1:27" ht="18.75" customHeight="1">
      <c r="A123" s="3340" t="s">
        <v>1898</v>
      </c>
      <c r="B123" s="3340"/>
      <c r="C123" s="3340"/>
      <c r="D123" s="3346" t="str">
        <f ca="1">NUMBERSTRING(INT(D122*10000),2)&amp;"元整"</f>
        <v>贰亿叁仟伍佰壹拾叁万元整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1898</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1898</v>
      </c>
      <c r="B127" s="3340"/>
      <c r="C127" s="3340"/>
      <c r="D127" s="3346" t="e">
        <f>NUMBERSTRING(INT(D126*10000),2)&amp;"元整"</f>
        <v>#VALUE!</v>
      </c>
      <c r="E127" s="3348"/>
      <c r="F127" s="3348"/>
      <c r="G127" s="3348"/>
      <c r="H127" s="3348"/>
      <c r="I127" s="3347"/>
      <c r="AA127" s="734"/>
    </row>
    <row r="128" spans="1:27" ht="21.75" customHeight="1">
      <c r="A128" s="3349" t="s">
        <v>1899</v>
      </c>
      <c r="B128" s="3349"/>
      <c r="C128" s="3349"/>
      <c r="D128" s="3349"/>
      <c r="E128" s="3349"/>
      <c r="F128" s="3349"/>
      <c r="G128" s="3349"/>
      <c r="H128" s="3349"/>
      <c r="I128" s="3349"/>
      <c r="AA128" s="734"/>
    </row>
    <row r="129" spans="1:35" ht="21.75" customHeight="1">
      <c r="A129" s="1968" t="s">
        <v>1900</v>
      </c>
      <c r="B129" s="1969"/>
      <c r="C129" s="1970" t="s">
        <v>1901</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1902</v>
      </c>
      <c r="G135" s="1985"/>
      <c r="H135" s="1985"/>
      <c r="I135" s="1986" t="s">
        <v>1903</v>
      </c>
    </row>
    <row r="136" spans="1:35" ht="21.75" customHeight="1">
      <c r="A136" s="734"/>
      <c r="B136" s="1987"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1905</v>
      </c>
    </row>
    <row r="139" spans="1:35" ht="21.75" customHeight="1">
      <c r="A139" s="734"/>
      <c r="B139" s="1987" t="s">
        <v>1906</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1905</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L37" sqref="L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5"/>
      <c r="C1" s="204"/>
      <c r="D1" s="204"/>
      <c r="E1" s="204"/>
      <c r="F1" s="204"/>
      <c r="G1" s="1241">
        <f>MATCH(B1,'数据-取费表'!A6:A16,0)+5</f>
        <v>7</v>
      </c>
    </row>
    <row r="2" spans="1:9" s="206" customFormat="1" ht="18" customHeight="1">
      <c r="A2" s="207" t="s">
        <v>1908</v>
      </c>
      <c r="B2" s="208">
        <f ca="1">IF(D2="——",C52,C52-E2)</f>
        <v>18749</v>
      </c>
      <c r="C2" s="205" t="s">
        <v>1909</v>
      </c>
      <c r="D2" s="1990" t="s">
        <v>70</v>
      </c>
      <c r="E2" s="1284" t="e">
        <f ca="1">SUMIF(INDIRECT("'"&amp;G2&amp;"'"&amp;"!A:A"),"承租人权益价值",INDIRECT("'"&amp;G2&amp;"'"&amp;"!c:c"))</f>
        <v>#REF!</v>
      </c>
      <c r="F2" s="1991" t="s">
        <v>1909</v>
      </c>
      <c r="G2" s="1992"/>
    </row>
    <row r="3" spans="1:9" s="206" customFormat="1" ht="18" customHeight="1" thickBot="1">
      <c r="A3" s="209" t="s">
        <v>1910</v>
      </c>
      <c r="B3" s="210">
        <f ca="1">ROUND(B2*10000/(IF(B1="",'数据-汇总表'!E3,INDIRECT("'数据-取费表'!k"&amp;$G$1))),0)</f>
        <v>4972</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C6+C7+C8</f>
        <v>3137</v>
      </c>
      <c r="D5" s="217" t="s">
        <v>1915</v>
      </c>
      <c r="E5" s="218" t="s">
        <v>1916</v>
      </c>
      <c r="F5" s="218" t="s">
        <v>1917</v>
      </c>
      <c r="G5" s="219"/>
    </row>
    <row r="6" spans="1:9" s="220" customFormat="1" ht="13.5" customHeight="1">
      <c r="A6" s="867" t="s">
        <v>1918</v>
      </c>
      <c r="B6" s="221" t="s">
        <v>1919</v>
      </c>
      <c r="C6" s="222">
        <f>[2]基准地价修正!$E$33</f>
        <v>2348</v>
      </c>
      <c r="D6" s="223"/>
      <c r="E6" s="224"/>
      <c r="F6" s="224"/>
      <c r="G6" s="225"/>
    </row>
    <row r="7" spans="1:9" s="220" customFormat="1" ht="13.5" customHeight="1">
      <c r="A7" s="867" t="s">
        <v>1920</v>
      </c>
      <c r="B7" s="221" t="s">
        <v>1921</v>
      </c>
      <c r="C7" s="226">
        <f>ROUND(C6*F7,0)</f>
        <v>72</v>
      </c>
      <c r="D7" s="226"/>
      <c r="E7" s="224"/>
      <c r="F7" s="227">
        <f>IF(项目基本情况!B8="出让",0,'数据-取费表'!B48+'数据-取费表'!B49)</f>
        <v>3.0499999999999999E-2</v>
      </c>
      <c r="G7" s="225"/>
    </row>
    <row r="8" spans="1:9" s="229" customFormat="1">
      <c r="A8" s="867" t="s">
        <v>1922</v>
      </c>
      <c r="B8" s="221" t="s">
        <v>1923</v>
      </c>
      <c r="C8" s="226">
        <f>IF(G8="已包含在土地购买价格中","0",IF(B1="",'数据-取费表'!B29,IF(G9="全部缴纳",C9+C10,H9)))</f>
        <v>717</v>
      </c>
      <c r="D8" s="228"/>
      <c r="E8" s="226"/>
      <c r="F8" s="227"/>
      <c r="G8" s="1993" t="s">
        <v>3207</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0</v>
      </c>
      <c r="F9" s="227"/>
      <c r="G9" s="1994" t="s">
        <v>3208</v>
      </c>
      <c r="H9" s="1252"/>
      <c r="I9" s="1995" t="s">
        <v>1925</v>
      </c>
    </row>
    <row r="10" spans="1:9" s="220" customFormat="1" ht="13.5" customHeight="1">
      <c r="A10" s="868" t="s">
        <v>620</v>
      </c>
      <c r="B10" s="230" t="s">
        <v>1926</v>
      </c>
      <c r="C10" s="231">
        <f ca="1">ROUND(D10*E10/10000,0)</f>
        <v>717</v>
      </c>
      <c r="D10" s="935">
        <f ca="1">IF(B1="",'数据-汇总表'!E6,IF(INDIRECT("'数据-取费表'!c"&amp;$G$1)="住宅",INDIRECT("'数据-取费表'!s"&amp;$G$1),INDIRECT("'数据-取费表'!k"&amp;$G$1)+INDIRECT("'数据-取费表'!s"&amp;$G$1)))</f>
        <v>37711.240000000005</v>
      </c>
      <c r="E10" s="231">
        <f>'数据-取费表'!B28</f>
        <v>190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37711.240000000005</v>
      </c>
      <c r="E19" s="217">
        <f>'数据-取费表'!B31</f>
        <v>150</v>
      </c>
      <c r="F19" s="237"/>
      <c r="G19" s="1993" t="s">
        <v>3209</v>
      </c>
    </row>
    <row r="20" spans="1:7" s="220" customFormat="1" ht="13.5" customHeight="1">
      <c r="A20" s="261" t="s">
        <v>1939</v>
      </c>
      <c r="B20" s="216" t="s">
        <v>1940</v>
      </c>
      <c r="C20" s="238">
        <f>ROUND((C5+C19)*F20,0)</f>
        <v>63</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131</v>
      </c>
      <c r="D22" s="241">
        <f ca="1">C26</f>
        <v>4.0000000000000002E-4</v>
      </c>
      <c r="E22" s="242" t="s">
        <v>1944</v>
      </c>
      <c r="F22" s="243">
        <f ca="1">'数据-取费表'!B40</f>
        <v>4.2000000000000003E-2</v>
      </c>
      <c r="G22" s="240" t="str">
        <f>IF('数据-取费表'!B22&lt;=1,"单利计息","复利计息")</f>
        <v>单利计息</v>
      </c>
    </row>
    <row r="23" spans="1:7" s="220" customFormat="1" ht="13.5" customHeight="1">
      <c r="A23" s="869" t="s">
        <v>1948</v>
      </c>
      <c r="B23" s="221" t="s">
        <v>1949</v>
      </c>
      <c r="C23" s="1218">
        <f ca="1">ROUND(IF('数据-取费表'!B22&lt;=1,C5*F22*'数据-取费表'!B23,C5*(POWER((1+F22),'数据-取费表'!B23)-1)),0)</f>
        <v>130</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1</v>
      </c>
      <c r="D25" s="244"/>
      <c r="E25" s="247"/>
      <c r="F25" s="245"/>
      <c r="G25" s="248" t="s">
        <v>1956</v>
      </c>
    </row>
    <row r="26" spans="1:7" s="220" customFormat="1">
      <c r="A26" s="869" t="s">
        <v>614</v>
      </c>
      <c r="B26" s="221" t="s">
        <v>1957</v>
      </c>
      <c r="C26" s="244">
        <f ca="1">ROUND(IF('数据-取费表'!B22&lt;=1,F21*F22*'数据-取费表'!B23/2,F21*(POWER((1+F22),'数据-取费表'!B23/2)-1)),4)</f>
        <v>4.0000000000000002E-4</v>
      </c>
      <c r="D26" s="244"/>
      <c r="E26" s="247"/>
      <c r="F26" s="245"/>
      <c r="G26" s="249"/>
    </row>
    <row r="27" spans="1:7" s="220" customFormat="1" ht="24.75">
      <c r="A27" s="261" t="s">
        <v>1958</v>
      </c>
      <c r="B27" s="250" t="s">
        <v>1959</v>
      </c>
      <c r="C27" s="251">
        <f ca="1">C28</f>
        <v>253</v>
      </c>
      <c r="D27" s="241">
        <f ca="1">C29</f>
        <v>1.6000000000000001E-3</v>
      </c>
      <c r="E27" s="242" t="s">
        <v>1960</v>
      </c>
      <c r="F27" s="252">
        <f ca="1">IF(B1="",'数据-取费表'!Q16,INDIRECT("'数据-取费表'!q"&amp;$G$1))</f>
        <v>0.08</v>
      </c>
      <c r="G27" s="253" t="s">
        <v>1961</v>
      </c>
    </row>
    <row r="28" spans="1:7" s="220" customFormat="1" ht="13.5" customHeight="1">
      <c r="A28" s="869" t="s">
        <v>610</v>
      </c>
      <c r="B28" s="254" t="s">
        <v>1962</v>
      </c>
      <c r="C28" s="255">
        <f ca="1">ROUND((C5+C19+C20)*F27*'数据-取费表'!B21/'数据-取费表'!B20,0)</f>
        <v>253</v>
      </c>
      <c r="D28" s="241"/>
      <c r="E28" s="242"/>
      <c r="F28" s="252"/>
      <c r="G28" s="253"/>
    </row>
    <row r="29" spans="1:7" s="220" customFormat="1" ht="13.5" customHeight="1">
      <c r="A29" s="869" t="s">
        <v>611</v>
      </c>
      <c r="B29" s="254" t="s">
        <v>1963</v>
      </c>
      <c r="C29" s="244">
        <f ca="1">ROUND(C21*F27*'数据-取费表'!B21/'数据-取费表'!B20,4)</f>
        <v>1.6000000000000001E-3</v>
      </c>
      <c r="D29" s="241"/>
      <c r="E29" s="242"/>
      <c r="F29" s="252"/>
      <c r="G29" s="253"/>
    </row>
    <row r="30" spans="1:7" s="220" customFormat="1" ht="13.5" customHeight="1">
      <c r="A30" s="261" t="s">
        <v>1964</v>
      </c>
      <c r="B30" s="216" t="s">
        <v>1965</v>
      </c>
      <c r="C30" s="241">
        <f>ROUND(F30/(1+'数据-取费表'!C42),4)</f>
        <v>5.2400000000000002E-2</v>
      </c>
      <c r="D30" s="242" t="s">
        <v>1960</v>
      </c>
      <c r="E30" s="247"/>
      <c r="F30" s="243">
        <f>'数据-取费表'!B41</f>
        <v>5.5000000000000007E-2</v>
      </c>
      <c r="G30" s="240" t="s">
        <v>1966</v>
      </c>
    </row>
    <row r="31" spans="1:7" ht="16.5" customHeight="1">
      <c r="A31" s="215">
        <v>1</v>
      </c>
      <c r="B31" s="216" t="s">
        <v>1967</v>
      </c>
      <c r="C31" s="217">
        <f ca="1">ROUND((C5+C19+C20+C22+C27)/(1-C21-D22-D27-C30),0)</f>
        <v>3872</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12264</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11200</v>
      </c>
      <c r="D34" s="223"/>
      <c r="E34" s="226"/>
      <c r="F34" s="263">
        <f ca="1">IF('数据-取费表'!B24=0,1,IF(B1="",'数据-取费表'!N16,INDIRECT("'数据-取费表'!n"&amp;$G$1)))</f>
        <v>0.99</v>
      </c>
      <c r="G34" s="225" t="s">
        <v>1972</v>
      </c>
    </row>
    <row r="35" spans="1:7" ht="13.5" customHeight="1">
      <c r="A35" s="869" t="s">
        <v>615</v>
      </c>
      <c r="B35" s="221" t="s">
        <v>1973</v>
      </c>
      <c r="C35" s="226">
        <f ca="1">ROUND(C34*F35,0)</f>
        <v>336</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560</v>
      </c>
      <c r="D37" s="223">
        <f ca="1">D19</f>
        <v>37711.240000000005</v>
      </c>
      <c r="E37" s="255">
        <f>'数据-取费表'!B35</f>
        <v>150</v>
      </c>
      <c r="F37" s="265"/>
      <c r="G37" s="267" t="s">
        <v>1978</v>
      </c>
    </row>
    <row r="38" spans="1:7" ht="13.5" customHeight="1">
      <c r="A38" s="869" t="s">
        <v>618</v>
      </c>
      <c r="B38" s="221" t="s">
        <v>1979</v>
      </c>
      <c r="C38" s="226">
        <f ca="1">ROUND(C34*F38,0)</f>
        <v>168</v>
      </c>
      <c r="D38" s="226"/>
      <c r="E38" s="226"/>
      <c r="F38" s="265">
        <f>'数据-取费表'!B36</f>
        <v>1.4999999999999999E-2</v>
      </c>
      <c r="G38" s="225" t="s">
        <v>1974</v>
      </c>
    </row>
    <row r="39" spans="1:7" s="220" customFormat="1" ht="13.5" customHeight="1">
      <c r="A39" s="261" t="s">
        <v>1980</v>
      </c>
      <c r="B39" s="216" t="s">
        <v>1981</v>
      </c>
      <c r="C39" s="238">
        <f ca="1">ROUND(C33*F20,0)</f>
        <v>245</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260</v>
      </c>
      <c r="D41" s="241">
        <f ca="1">C44</f>
        <v>4.0000000000000002E-4</v>
      </c>
      <c r="E41" s="242" t="s">
        <v>1985</v>
      </c>
      <c r="F41" s="2487">
        <f ca="1">F22</f>
        <v>4.2000000000000003E-2</v>
      </c>
      <c r="G41" s="240" t="str">
        <f>IF('数据-取费表'!B22&lt;=1,"单利计息","复利计息")</f>
        <v>单利计息</v>
      </c>
    </row>
    <row r="42" spans="1:7" ht="13.5" customHeight="1">
      <c r="A42" s="869" t="s">
        <v>610</v>
      </c>
      <c r="B42" s="221" t="s">
        <v>1989</v>
      </c>
      <c r="C42" s="244">
        <f ca="1">ROUND(IF('数据-取费表'!B22&lt;=1,C33*F22*'数据-取费表'!B21/2,C33*(POWER((1+F22),'数据-取费表'!B21/2)-1)),0)</f>
        <v>255</v>
      </c>
      <c r="D42" s="244"/>
      <c r="E42" s="244"/>
      <c r="F42" s="245"/>
      <c r="G42" s="3422" t="s">
        <v>1990</v>
      </c>
    </row>
    <row r="43" spans="1:7" ht="13.5" customHeight="1">
      <c r="A43" s="869" t="s">
        <v>611</v>
      </c>
      <c r="B43" s="221" t="s">
        <v>1991</v>
      </c>
      <c r="C43" s="244">
        <f ca="1">ROUND(IF('数据-取费表'!B22&lt;=1,C39*F22*'数据-取费表'!B21/2,C39*(POWER((1+F22),'数据-取费表'!B21/2)-1)),0)</f>
        <v>5</v>
      </c>
      <c r="D43" s="244"/>
      <c r="E43" s="244"/>
      <c r="F43" s="245"/>
      <c r="G43" s="3423"/>
    </row>
    <row r="44" spans="1:7" ht="13.5" customHeight="1">
      <c r="A44" s="869" t="s">
        <v>612</v>
      </c>
      <c r="B44" s="221" t="s">
        <v>1992</v>
      </c>
      <c r="C44" s="244">
        <f ca="1">ROUND(IF('数据-取费表'!B22&lt;=1,C40*F22*'数据-取费表'!B21/2,C40*(POWER((1+F22),'数据-取费表'!B21/2)-1)),4)</f>
        <v>4.0000000000000002E-4</v>
      </c>
      <c r="D44" s="244"/>
      <c r="E44" s="244"/>
      <c r="F44" s="245"/>
      <c r="G44" s="3424"/>
    </row>
    <row r="45" spans="1:7" s="220" customFormat="1" ht="13.5" customHeight="1">
      <c r="A45" s="261" t="s">
        <v>1993</v>
      </c>
      <c r="B45" s="250" t="s">
        <v>1959</v>
      </c>
      <c r="C45" s="251">
        <f ca="1">C46</f>
        <v>1001</v>
      </c>
      <c r="D45" s="241">
        <f ca="1">C47</f>
        <v>1.6000000000000001E-3</v>
      </c>
      <c r="E45" s="242" t="s">
        <v>1985</v>
      </c>
      <c r="F45" s="2488">
        <f ca="1">F27</f>
        <v>0.08</v>
      </c>
      <c r="G45" s="253" t="s">
        <v>1994</v>
      </c>
    </row>
    <row r="46" spans="1:7" s="220" customFormat="1" ht="13.5" customHeight="1">
      <c r="A46" s="869" t="s">
        <v>610</v>
      </c>
      <c r="B46" s="254" t="s">
        <v>1995</v>
      </c>
      <c r="C46" s="255">
        <f ca="1">ROUND((C33+C39)*F27,0)</f>
        <v>1001</v>
      </c>
      <c r="D46" s="269"/>
      <c r="E46" s="242"/>
      <c r="F46" s="252"/>
      <c r="G46" s="253"/>
    </row>
    <row r="47" spans="1:7" s="220" customFormat="1" ht="13.5" customHeight="1">
      <c r="A47" s="869" t="s">
        <v>611</v>
      </c>
      <c r="B47" s="254" t="s">
        <v>1996</v>
      </c>
      <c r="C47" s="244">
        <f ca="1">ROUND(C40*F27,4)</f>
        <v>1.6000000000000001E-3</v>
      </c>
      <c r="D47" s="269"/>
      <c r="E47" s="242"/>
      <c r="F47" s="252"/>
      <c r="G47" s="253"/>
    </row>
    <row r="48" spans="1:7" s="220" customFormat="1" ht="13.5" customHeight="1">
      <c r="A48" s="261" t="s">
        <v>1958</v>
      </c>
      <c r="B48" s="216" t="s">
        <v>1997</v>
      </c>
      <c r="C48" s="1448">
        <f>ROUND(F30/(1+'数据-取费表'!C42),4)</f>
        <v>5.2400000000000002E-2</v>
      </c>
      <c r="D48" s="242" t="s">
        <v>1985</v>
      </c>
      <c r="E48" s="238"/>
      <c r="F48" s="2487">
        <f>F30</f>
        <v>5.5000000000000007E-2</v>
      </c>
      <c r="G48" s="240" t="s">
        <v>1998</v>
      </c>
    </row>
    <row r="49" spans="1:7" ht="16.5" customHeight="1">
      <c r="A49" s="261" t="s">
        <v>1964</v>
      </c>
      <c r="B49" s="216" t="s">
        <v>1999</v>
      </c>
      <c r="C49" s="238">
        <f ca="1">ROUND((C33+C39+C41+C45)/(1-C40-D41-D45-C48),0)</f>
        <v>14877</v>
      </c>
      <c r="D49" s="238"/>
      <c r="E49" s="238"/>
      <c r="F49" s="270"/>
      <c r="G49" s="240" t="s">
        <v>2000</v>
      </c>
    </row>
    <row r="50" spans="1:7" s="264" customFormat="1" ht="24">
      <c r="A50" s="261" t="s">
        <v>2001</v>
      </c>
      <c r="B50" s="216" t="s">
        <v>2002</v>
      </c>
      <c r="C50" s="238"/>
      <c r="D50" s="238"/>
      <c r="E50" s="238"/>
      <c r="F50" s="270">
        <f>IF('数据-取费表'!B24=0,'数据-取费表'!N16,1)</f>
        <v>1</v>
      </c>
      <c r="G50" s="253" t="s">
        <v>2003</v>
      </c>
    </row>
    <row r="51" spans="1:7" ht="16.5" customHeight="1">
      <c r="A51" s="261" t="s">
        <v>2004</v>
      </c>
      <c r="B51" s="216" t="s">
        <v>2005</v>
      </c>
      <c r="C51" s="238">
        <f ca="1">ROUND(C49*F50,0)</f>
        <v>14877</v>
      </c>
      <c r="D51" s="238"/>
      <c r="E51" s="238"/>
      <c r="F51" s="270"/>
      <c r="G51" s="240" t="s">
        <v>2006</v>
      </c>
    </row>
    <row r="52" spans="1:7" s="214" customFormat="1" ht="16.5" thickBot="1">
      <c r="A52" s="271" t="s">
        <v>2007</v>
      </c>
      <c r="B52" s="272"/>
      <c r="C52" s="273">
        <f ca="1">C31+C51</f>
        <v>18749</v>
      </c>
      <c r="D52" s="272"/>
      <c r="E52" s="272"/>
      <c r="F52" s="272"/>
      <c r="G52" s="274"/>
    </row>
    <row r="55" spans="1:7" ht="15">
      <c r="B55" s="276" t="s">
        <v>2008</v>
      </c>
      <c r="C55" s="277"/>
    </row>
    <row r="56" spans="1:7">
      <c r="B56" s="279" t="s">
        <v>1237</v>
      </c>
      <c r="C56" s="281">
        <f ca="1">1-C57</f>
        <v>0.20699999999999996</v>
      </c>
    </row>
    <row r="57" spans="1:7">
      <c r="B57" s="279" t="s">
        <v>1238</v>
      </c>
      <c r="C57" s="280">
        <f ca="1">ROUND(C51/C52,3)</f>
        <v>0.79300000000000004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5"/>
      <c r="C1" s="1996" t="s">
        <v>2009</v>
      </c>
      <c r="D1" s="204"/>
      <c r="E1" s="204"/>
      <c r="F1" s="204"/>
      <c r="G1" s="1241">
        <f>MATCH(B1,'数据-取费表'!A6:A16,0)+5</f>
        <v>7</v>
      </c>
      <c r="H1" s="1173" t="str">
        <f>IF(ISERROR(FIND("住宅",B1)),"非住宅","住宅")</f>
        <v>非住宅</v>
      </c>
    </row>
    <row r="2" spans="1:8" s="206" customFormat="1" ht="18" customHeight="1">
      <c r="A2" s="207" t="s">
        <v>1908</v>
      </c>
      <c r="B2" s="208">
        <f ca="1">ROUND(IF(D2="——",C52/10000,C52/10000-E2),0)</f>
        <v>16615</v>
      </c>
      <c r="C2" s="205" t="s">
        <v>1909</v>
      </c>
      <c r="D2" s="1990" t="s">
        <v>70</v>
      </c>
      <c r="E2" s="1284" t="e">
        <f ca="1">SUMIF(INDIRECT("'"&amp;G2&amp;"'"&amp;"!A:A"),"承租人权益价值",INDIRECT("'"&amp;G2&amp;"'"&amp;"!c:c"))</f>
        <v>#REF!</v>
      </c>
      <c r="F2" s="1991" t="s">
        <v>1909</v>
      </c>
      <c r="G2" s="1992"/>
    </row>
    <row r="3" spans="1:8" s="206" customFormat="1" ht="18" customHeight="1" thickBot="1">
      <c r="A3" s="209" t="s">
        <v>1910</v>
      </c>
      <c r="B3" s="210">
        <f ca="1">ROUND(B2*10000/(IF(B1="",'数据-汇总表'!E3,INDIRECT("'数据-取费表'!k"&amp;$G$1))),0)</f>
        <v>4406</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7165136</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7165136</v>
      </c>
      <c r="D8" s="228"/>
      <c r="E8" s="226"/>
      <c r="F8" s="227"/>
      <c r="G8" s="1993"/>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1926</v>
      </c>
      <c r="C10" s="231">
        <f ca="1">ROUND(D10*E10,0)</f>
        <v>7165136</v>
      </c>
      <c r="D10" s="935">
        <f ca="1">IF(B1="",'数据-汇总表'!E6,IF(INDIRECT("'数据-取费表'!c"&amp;$G$1)="住宅",INDIRECT("'数据-取费表'!s"&amp;$G$1),INDIRECT("'数据-取费表'!k"&amp;$G$1)+INDIRECT("'数据-取费表'!s"&amp;$G$1)))</f>
        <v>37711.240000000005</v>
      </c>
      <c r="E10" s="231">
        <f>'数据-取费表'!B28</f>
        <v>190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5656686</v>
      </c>
      <c r="D19" s="939">
        <f ca="1">D9+D10</f>
        <v>37711.240000000005</v>
      </c>
      <c r="E19" s="217">
        <f>'数据-取费表'!B31</f>
        <v>150</v>
      </c>
      <c r="F19" s="237"/>
      <c r="G19" s="1993"/>
    </row>
    <row r="20" spans="1:7" s="220" customFormat="1" ht="13.5" customHeight="1">
      <c r="A20" s="261" t="s">
        <v>2020</v>
      </c>
      <c r="B20" s="216" t="s">
        <v>2021</v>
      </c>
      <c r="C20" s="238">
        <f ca="1">ROUND((C5+C19)*F20,0)</f>
        <v>256436</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543902</v>
      </c>
      <c r="D22" s="241">
        <f ca="1">C26</f>
        <v>4.0000000000000002E-4</v>
      </c>
      <c r="E22" s="242" t="s">
        <v>2025</v>
      </c>
      <c r="F22" s="243">
        <f ca="1">'数据-取费表'!B40</f>
        <v>4.2000000000000003E-2</v>
      </c>
      <c r="G22" s="240" t="str">
        <f>IF('数据-取费表'!B22&lt;=1,"单利计息","复利计息")</f>
        <v>单利计息</v>
      </c>
    </row>
    <row r="23" spans="1:7" s="220" customFormat="1" ht="13.5" customHeight="1">
      <c r="A23" s="869" t="s">
        <v>1918</v>
      </c>
      <c r="B23" s="221" t="s">
        <v>2029</v>
      </c>
      <c r="C23" s="1243">
        <f ca="1">ROUND(IF('数据-取费表'!B22&lt;=1,C5*F22*'数据-取费表'!B22,C5*(POWER((1+F22),'数据-取费表'!B22)-1)),0)</f>
        <v>300936</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237581</v>
      </c>
      <c r="D24" s="244"/>
      <c r="E24" s="244"/>
      <c r="F24" s="245"/>
      <c r="G24" s="246" t="s">
        <v>2032</v>
      </c>
    </row>
    <row r="25" spans="1:7" s="220" customFormat="1" ht="24">
      <c r="A25" s="869" t="s">
        <v>1922</v>
      </c>
      <c r="B25" s="221" t="s">
        <v>2033</v>
      </c>
      <c r="C25" s="1243">
        <f ca="1">ROUND(IF('数据-取费表'!B22&lt;=1,C20*F22*'数据-取费表'!B22/2,C20*(POWER((1+F22),'数据-取费表'!B22/2)-1)),0)</f>
        <v>5385</v>
      </c>
      <c r="D25" s="244"/>
      <c r="E25" s="247"/>
      <c r="F25" s="245"/>
      <c r="G25" s="248" t="s">
        <v>2034</v>
      </c>
    </row>
    <row r="26" spans="1:7" s="220" customFormat="1">
      <c r="A26" s="869" t="s">
        <v>614</v>
      </c>
      <c r="B26" s="221" t="s">
        <v>1957</v>
      </c>
      <c r="C26" s="244">
        <f ca="1">ROUND(IF('数据-取费表'!B22&lt;=1,F21*F22*'数据-取费表'!B22/2,F21*(POWER((1+F22),'数据-取费表'!B22/2)-1)),4)</f>
        <v>4.0000000000000002E-4</v>
      </c>
      <c r="D26" s="244"/>
      <c r="E26" s="247"/>
      <c r="F26" s="245"/>
      <c r="G26" s="249"/>
    </row>
    <row r="27" spans="1:7" s="220" customFormat="1" ht="24.75">
      <c r="A27" s="261" t="s">
        <v>1958</v>
      </c>
      <c r="B27" s="250" t="s">
        <v>1959</v>
      </c>
      <c r="C27" s="251">
        <f ca="1">C28</f>
        <v>1046261</v>
      </c>
      <c r="D27" s="241">
        <f ca="1">C29</f>
        <v>1.6000000000000001E-3</v>
      </c>
      <c r="E27" s="242" t="s">
        <v>1960</v>
      </c>
      <c r="F27" s="252">
        <f ca="1">IF(B1="",'数据-取费表'!Q16,INDIRECT("'数据-取费表'!q"&amp;$G$1))</f>
        <v>0.08</v>
      </c>
      <c r="G27" s="253" t="s">
        <v>1961</v>
      </c>
    </row>
    <row r="28" spans="1:7" s="220" customFormat="1" ht="13.5" customHeight="1">
      <c r="A28" s="869" t="s">
        <v>610</v>
      </c>
      <c r="B28" s="254" t="s">
        <v>1962</v>
      </c>
      <c r="C28" s="255">
        <f ca="1">ROUND((C5+C19+C20)*F27,0)</f>
        <v>1046261</v>
      </c>
      <c r="D28" s="241"/>
      <c r="E28" s="242"/>
      <c r="F28" s="252"/>
      <c r="G28" s="253"/>
    </row>
    <row r="29" spans="1:7" s="220" customFormat="1" ht="13.5" customHeight="1">
      <c r="A29" s="869" t="s">
        <v>611</v>
      </c>
      <c r="B29" s="254" t="s">
        <v>1963</v>
      </c>
      <c r="C29" s="244">
        <f ca="1">ROUND(C21*F27,4)</f>
        <v>1.6000000000000001E-3</v>
      </c>
      <c r="D29" s="241"/>
      <c r="E29" s="242"/>
      <c r="F29" s="252"/>
      <c r="G29" s="253"/>
    </row>
    <row r="30" spans="1:7" s="220" customFormat="1" ht="13.5" customHeight="1">
      <c r="A30" s="261" t="s">
        <v>1964</v>
      </c>
      <c r="B30" s="216" t="s">
        <v>1965</v>
      </c>
      <c r="C30" s="241">
        <f>ROUND(F30/(1+'数据-取费表'!C42),4)</f>
        <v>5.2400000000000002E-2</v>
      </c>
      <c r="D30" s="242" t="s">
        <v>1960</v>
      </c>
      <c r="E30" s="247"/>
      <c r="F30" s="243">
        <f>'数据-取费表'!B41</f>
        <v>5.5000000000000007E-2</v>
      </c>
      <c r="G30" s="240" t="s">
        <v>1966</v>
      </c>
    </row>
    <row r="31" spans="1:7" ht="16.5" customHeight="1">
      <c r="A31" s="215">
        <v>1</v>
      </c>
      <c r="B31" s="216" t="s">
        <v>1967</v>
      </c>
      <c r="C31" s="217">
        <f ca="1">ROUND((C5+C19+C20+C22+C27)/(1-C21-D22-D27-C30),0)</f>
        <v>15847473</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123881424</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113133720</v>
      </c>
      <c r="D34" s="223"/>
      <c r="E34" s="226"/>
      <c r="F34" s="263"/>
      <c r="G34" s="225"/>
    </row>
    <row r="35" spans="1:7" ht="13.5" customHeight="1">
      <c r="A35" s="869" t="s">
        <v>615</v>
      </c>
      <c r="B35" s="221" t="s">
        <v>1973</v>
      </c>
      <c r="C35" s="226">
        <f ca="1">ROUND(C34*F35,0)</f>
        <v>3394012</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5656686</v>
      </c>
      <c r="D37" s="223">
        <f ca="1">D19</f>
        <v>37711.240000000005</v>
      </c>
      <c r="E37" s="255">
        <f>'数据-取费表'!B35</f>
        <v>150</v>
      </c>
      <c r="F37" s="265"/>
      <c r="G37" s="267"/>
    </row>
    <row r="38" spans="1:7" ht="13.5" customHeight="1">
      <c r="A38" s="869" t="s">
        <v>618</v>
      </c>
      <c r="B38" s="221" t="s">
        <v>1979</v>
      </c>
      <c r="C38" s="226">
        <f ca="1">ROUND(C34*F38,0)</f>
        <v>1697006</v>
      </c>
      <c r="D38" s="226"/>
      <c r="E38" s="226"/>
      <c r="F38" s="265">
        <f>'数据-取费表'!B36</f>
        <v>1.4999999999999999E-2</v>
      </c>
      <c r="G38" s="225" t="s">
        <v>1974</v>
      </c>
    </row>
    <row r="39" spans="1:7" s="220" customFormat="1" ht="13.5" customHeight="1">
      <c r="A39" s="261" t="s">
        <v>1980</v>
      </c>
      <c r="B39" s="216" t="s">
        <v>1981</v>
      </c>
      <c r="C39" s="238">
        <f ca="1">ROUND(C33*F20,0)</f>
        <v>2477628</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2653540</v>
      </c>
      <c r="D41" s="241">
        <f ca="1">C44</f>
        <v>4.0000000000000002E-4</v>
      </c>
      <c r="E41" s="242" t="s">
        <v>1985</v>
      </c>
      <c r="F41" s="2487">
        <f ca="1">F22</f>
        <v>4.2000000000000003E-2</v>
      </c>
      <c r="G41" s="240" t="str">
        <f>IF('数据-取费表'!B22&lt;=1,"单利计息","复利计息")</f>
        <v>单利计息</v>
      </c>
    </row>
    <row r="42" spans="1:7" ht="13.5" customHeight="1">
      <c r="A42" s="869" t="s">
        <v>610</v>
      </c>
      <c r="B42" s="221" t="s">
        <v>1989</v>
      </c>
      <c r="C42" s="244">
        <f ca="1">ROUND(IF('数据-取费表'!B22&lt;=1,C33*F22*'数据-取费表'!B20/2,C33*(POWER((1+F22),'数据-取费表'!B20/2)-1)),0)</f>
        <v>2601510</v>
      </c>
      <c r="D42" s="244"/>
      <c r="E42" s="244"/>
      <c r="F42" s="245"/>
      <c r="G42" s="3422" t="s">
        <v>2037</v>
      </c>
    </row>
    <row r="43" spans="1:7" ht="13.5" customHeight="1">
      <c r="A43" s="869" t="s">
        <v>611</v>
      </c>
      <c r="B43" s="221" t="s">
        <v>1991</v>
      </c>
      <c r="C43" s="244">
        <f ca="1">ROUND(IF('数据-取费表'!B22&lt;=1,C39*F22*'数据-取费表'!B20/2,C39*(POWER((1+F22),'数据-取费表'!B20/2)-1)),0)</f>
        <v>52030</v>
      </c>
      <c r="D43" s="244"/>
      <c r="E43" s="244"/>
      <c r="F43" s="245"/>
      <c r="G43" s="3423"/>
    </row>
    <row r="44" spans="1:7" ht="13.5" customHeight="1">
      <c r="A44" s="869" t="s">
        <v>612</v>
      </c>
      <c r="B44" s="221" t="s">
        <v>1992</v>
      </c>
      <c r="C44" s="244">
        <f ca="1">ROUND(IF('数据-取费表'!B22&lt;=1,C40*F22*'数据-取费表'!B20/2,C40*(POWER((1+F22),'数据-取费表'!B20/2)-1)),4)</f>
        <v>4.0000000000000002E-4</v>
      </c>
      <c r="D44" s="244"/>
      <c r="E44" s="244"/>
      <c r="F44" s="245"/>
      <c r="G44" s="3424"/>
    </row>
    <row r="45" spans="1:7" s="220" customFormat="1" ht="13.5" customHeight="1">
      <c r="A45" s="261" t="s">
        <v>1993</v>
      </c>
      <c r="B45" s="250" t="s">
        <v>1959</v>
      </c>
      <c r="C45" s="251">
        <f ca="1">C46</f>
        <v>10108724</v>
      </c>
      <c r="D45" s="241">
        <f ca="1">C47</f>
        <v>1.6000000000000001E-3</v>
      </c>
      <c r="E45" s="242" t="s">
        <v>1985</v>
      </c>
      <c r="F45" s="2488">
        <f ca="1">F27</f>
        <v>0.08</v>
      </c>
      <c r="G45" s="253" t="s">
        <v>1994</v>
      </c>
    </row>
    <row r="46" spans="1:7" s="220" customFormat="1" ht="13.5" customHeight="1">
      <c r="A46" s="869" t="s">
        <v>610</v>
      </c>
      <c r="B46" s="254" t="s">
        <v>1995</v>
      </c>
      <c r="C46" s="255">
        <f ca="1">ROUND((C33+C39)*F27,0)</f>
        <v>10108724</v>
      </c>
      <c r="D46" s="269"/>
      <c r="E46" s="242"/>
      <c r="F46" s="252"/>
      <c r="G46" s="253"/>
    </row>
    <row r="47" spans="1:7" s="220" customFormat="1" ht="13.5" customHeight="1">
      <c r="A47" s="869" t="s">
        <v>611</v>
      </c>
      <c r="B47" s="254" t="s">
        <v>1996</v>
      </c>
      <c r="C47" s="244">
        <f ca="1">ROUND(C40*F27,4)</f>
        <v>1.6000000000000001E-3</v>
      </c>
      <c r="D47" s="269"/>
      <c r="E47" s="242"/>
      <c r="F47" s="252"/>
      <c r="G47" s="253"/>
    </row>
    <row r="48" spans="1:7" s="220" customFormat="1" ht="13.5" customHeight="1">
      <c r="A48" s="261" t="s">
        <v>1958</v>
      </c>
      <c r="B48" s="216" t="s">
        <v>1997</v>
      </c>
      <c r="C48" s="268">
        <f>ROUND(F30/(1+'数据-取费表'!C42),4)</f>
        <v>5.2400000000000002E-2</v>
      </c>
      <c r="D48" s="242" t="s">
        <v>1985</v>
      </c>
      <c r="E48" s="238"/>
      <c r="F48" s="2487">
        <f>F30</f>
        <v>5.5000000000000007E-2</v>
      </c>
      <c r="G48" s="240" t="s">
        <v>1998</v>
      </c>
    </row>
    <row r="49" spans="1:7" ht="16.5" customHeight="1">
      <c r="A49" s="261" t="s">
        <v>1964</v>
      </c>
      <c r="B49" s="216" t="s">
        <v>2038</v>
      </c>
      <c r="C49" s="238">
        <f ca="1">ROUND((C33+C39+C41+C45)/(1-C40-D41-D45-C48),0)</f>
        <v>150303928</v>
      </c>
      <c r="D49" s="238"/>
      <c r="E49" s="238"/>
      <c r="F49" s="270"/>
      <c r="G49" s="240" t="s">
        <v>2000</v>
      </c>
    </row>
    <row r="50" spans="1:7" s="264" customFormat="1">
      <c r="A50" s="261" t="s">
        <v>2001</v>
      </c>
      <c r="B50" s="216" t="s">
        <v>2002</v>
      </c>
      <c r="C50" s="238"/>
      <c r="D50" s="238"/>
      <c r="E50" s="238"/>
      <c r="F50" s="270">
        <f>IF('数据-取费表'!B24=0,'数据-取费表'!N16,1)</f>
        <v>1</v>
      </c>
      <c r="G50" s="253"/>
    </row>
    <row r="51" spans="1:7" ht="16.5" customHeight="1">
      <c r="A51" s="261" t="s">
        <v>2004</v>
      </c>
      <c r="B51" s="216" t="s">
        <v>2039</v>
      </c>
      <c r="C51" s="238">
        <f ca="1">ROUND(C49*F50,0)</f>
        <v>150303928</v>
      </c>
      <c r="D51" s="238"/>
      <c r="E51" s="238"/>
      <c r="F51" s="270"/>
      <c r="G51" s="240" t="s">
        <v>2006</v>
      </c>
    </row>
    <row r="52" spans="1:7" s="214" customFormat="1" ht="16.5" thickBot="1">
      <c r="A52" s="271" t="s">
        <v>2007</v>
      </c>
      <c r="B52" s="272"/>
      <c r="C52" s="273">
        <f ca="1">C31+C51</f>
        <v>166151401</v>
      </c>
      <c r="D52" s="272"/>
      <c r="E52" s="272"/>
      <c r="F52" s="272"/>
      <c r="G52" s="274"/>
    </row>
    <row r="55" spans="1:7" ht="15">
      <c r="B55" s="276" t="s">
        <v>2008</v>
      </c>
      <c r="C55" s="277"/>
    </row>
    <row r="56" spans="1:7">
      <c r="B56" s="279" t="s">
        <v>1237</v>
      </c>
      <c r="C56" s="281">
        <f ca="1">1-C57</f>
        <v>9.4999999999999973E-2</v>
      </c>
    </row>
    <row r="57" spans="1:7">
      <c r="B57" s="279" t="s">
        <v>1238</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43" sqref="G4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6"/>
      <c r="C1" s="1307"/>
      <c r="D1" s="1305"/>
      <c r="E1" s="2987"/>
      <c r="F1" s="2987"/>
      <c r="G1" s="2850"/>
      <c r="H1" s="2987"/>
      <c r="I1" s="2987"/>
      <c r="J1" s="2987"/>
      <c r="K1" s="2988">
        <f>MATCH(C1,'数据-取费表'!A6:A16,0)+5</f>
        <v>7</v>
      </c>
    </row>
    <row r="2" spans="1:33" ht="18" customHeight="1">
      <c r="A2" s="207" t="s">
        <v>1908</v>
      </c>
      <c r="B2" s="210">
        <f ca="1">C32</f>
        <v>25555</v>
      </c>
      <c r="C2" s="282" t="s">
        <v>2041</v>
      </c>
      <c r="D2" s="282"/>
      <c r="E2" s="2987"/>
      <c r="F2" s="2987"/>
      <c r="G2" s="2987"/>
      <c r="H2" s="2987"/>
      <c r="I2" s="2987"/>
      <c r="J2" s="2987"/>
      <c r="K2" s="2987"/>
    </row>
    <row r="3" spans="1:33" ht="18" customHeight="1" thickBot="1">
      <c r="A3" s="209" t="s">
        <v>1910</v>
      </c>
      <c r="B3" s="210">
        <f ca="1">ROUND(B2*10000/IF(C1="",'数据-汇总表'!E3,INDIRECT("'数据-取费表'!K"&amp;$K$1)),0)</f>
        <v>6776</v>
      </c>
      <c r="C3" s="282" t="s">
        <v>2042</v>
      </c>
      <c r="D3" s="282"/>
      <c r="E3" s="2987"/>
      <c r="F3" s="2987"/>
      <c r="G3" s="2987"/>
      <c r="H3" s="2987"/>
      <c r="I3" s="2987"/>
      <c r="J3" s="2987"/>
      <c r="K3" s="2987"/>
    </row>
    <row r="4" spans="1:33" s="874" customFormat="1" ht="16.5" customHeight="1">
      <c r="A4" s="871" t="s">
        <v>2043</v>
      </c>
      <c r="B4" s="872"/>
      <c r="C4" s="914">
        <f ca="1">SUM(C8:K8)</f>
        <v>27933</v>
      </c>
      <c r="D4" s="872"/>
      <c r="E4" s="872"/>
      <c r="F4" s="872"/>
      <c r="G4" s="872"/>
      <c r="H4" s="872"/>
      <c r="I4" s="872"/>
      <c r="J4" s="872"/>
      <c r="K4" s="873"/>
    </row>
    <row r="5" spans="1:33" s="878" customFormat="1" ht="15">
      <c r="A5" s="875" t="s">
        <v>2044</v>
      </c>
      <c r="B5" s="876" t="s">
        <v>2045</v>
      </c>
      <c r="C5" s="1997" t="s">
        <v>6</v>
      </c>
      <c r="D5" s="1997"/>
      <c r="E5" s="1997"/>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f ca="1">收益法!B3</f>
        <v>7733</v>
      </c>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36123.300000000003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2049</v>
      </c>
      <c r="B8" s="169" t="s">
        <v>2050</v>
      </c>
      <c r="C8" s="915">
        <f ca="1">收益法!B2</f>
        <v>27933</v>
      </c>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113</v>
      </c>
      <c r="D11" s="891"/>
      <c r="E11" s="335"/>
      <c r="F11" s="892">
        <f ca="1">1-IF('数据-取费表'!B24=0,1,IF(C1="",'数据-取费表'!N16,INDIRECT("'数据-取费表'!n"&amp;$K$1)))</f>
        <v>1.0000000000000009E-2</v>
      </c>
      <c r="G11" s="8"/>
      <c r="H11" s="886"/>
      <c r="I11" s="886"/>
      <c r="J11" s="886"/>
      <c r="K11" s="887"/>
    </row>
    <row r="12" spans="1:33" s="893" customFormat="1" ht="13.5" customHeight="1">
      <c r="A12" s="889" t="s">
        <v>1061</v>
      </c>
      <c r="B12" s="890" t="s">
        <v>2059</v>
      </c>
      <c r="C12" s="24">
        <f ca="1">ROUND(C11*F12,0)</f>
        <v>3</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6</v>
      </c>
      <c r="D14" s="936">
        <f ca="1">IF(C1="",'数据-汇总表'!E3,INDIRECT("'数据-取费表'!K"&amp;$K$1)+INDIRECT("'数据-取费表'!S"&amp;$K$1))</f>
        <v>37711.240000000005</v>
      </c>
      <c r="E14" s="24">
        <f>'数据-取费表'!B35</f>
        <v>150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2</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124</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37711.240000000005</v>
      </c>
      <c r="E17" s="24">
        <f>'数据-取费表'!B32</f>
        <v>0</v>
      </c>
      <c r="F17" s="896"/>
      <c r="G17" s="136" t="s">
        <v>2069</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9" t="s">
        <v>3206</v>
      </c>
      <c r="H18" s="1302"/>
      <c r="I18" s="2000"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2073</v>
      </c>
      <c r="C20" s="24">
        <f ca="1">ROUND(D20*E20/10000,0)</f>
        <v>717</v>
      </c>
      <c r="D20" s="936">
        <f ca="1">IF(C1="",'数据-汇总表'!E6,IF(INDIRECT("'数据-取费表'!c"&amp;$K$1)="住宅",INDIRECT("'数据-取费表'!s"&amp;$K$1),INDIRECT("'数据-取费表'!k"&amp;$K$1)+INDIRECT("'数据-取费表'!s"&amp;$K$1)))</f>
        <v>37711.240000000005</v>
      </c>
      <c r="E20" s="24">
        <f>'数据-取费表'!B28</f>
        <v>190</v>
      </c>
      <c r="F20" s="894"/>
      <c r="G20" s="15"/>
      <c r="H20" s="899"/>
      <c r="I20" s="899"/>
      <c r="J20" s="899"/>
      <c r="K20" s="900"/>
    </row>
    <row r="21" spans="1:33" s="893" customFormat="1" ht="13.5" customHeight="1">
      <c r="A21" s="879" t="s">
        <v>621</v>
      </c>
      <c r="B21" s="903" t="s">
        <v>2074</v>
      </c>
      <c r="C21" s="904">
        <f ca="1">C16+C17+C18</f>
        <v>124</v>
      </c>
      <c r="D21" s="905"/>
      <c r="E21" s="287"/>
      <c r="F21" s="287"/>
      <c r="G21" s="136" t="s">
        <v>2075</v>
      </c>
      <c r="H21" s="897"/>
      <c r="I21" s="897"/>
      <c r="J21" s="897"/>
      <c r="K21" s="898"/>
    </row>
    <row r="22" spans="1:33" s="893" customFormat="1" ht="13.5" customHeight="1">
      <c r="A22" s="879" t="s">
        <v>2047</v>
      </c>
      <c r="B22" s="903" t="s">
        <v>2076</v>
      </c>
      <c r="C22" s="904">
        <f ca="1">ROUND(C21*F22,0)</f>
        <v>2</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6</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4.0000000000000002E-4</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4.0000000000000002E-4</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2087</v>
      </c>
      <c r="B28" s="2002" t="s">
        <v>2088</v>
      </c>
      <c r="C28" s="293">
        <f ca="1">C30</f>
        <v>11</v>
      </c>
      <c r="D28" s="286">
        <f ca="1">C29</f>
        <v>8.0000000000000004E-4</v>
      </c>
      <c r="E28" s="288" t="s">
        <v>15</v>
      </c>
      <c r="F28" s="294">
        <f ca="1">IF(C1="",'数据-取费表'!Q16,INDIRECT("'数据-取费表'!q"&amp;$K$1))</f>
        <v>0.08</v>
      </c>
      <c r="G28" s="907"/>
      <c r="H28" s="908"/>
      <c r="I28" s="908"/>
      <c r="J28" s="908"/>
      <c r="K28" s="909"/>
    </row>
    <row r="29" spans="1:33" s="297" customFormat="1" ht="13.5" customHeight="1">
      <c r="A29" s="889" t="s">
        <v>622</v>
      </c>
      <c r="B29" s="912" t="s">
        <v>2089</v>
      </c>
      <c r="C29" s="290">
        <f ca="1">ROUND((1+C24)*F28*'数据-取费表'!B24/'数据-取费表'!B20,4)</f>
        <v>8.0000000000000004E-4</v>
      </c>
      <c r="D29" s="290"/>
      <c r="E29" s="291"/>
      <c r="F29" s="296"/>
      <c r="G29" s="136" t="s">
        <v>2090</v>
      </c>
      <c r="H29" s="897"/>
      <c r="I29" s="897"/>
      <c r="J29" s="897"/>
      <c r="K29" s="898"/>
    </row>
    <row r="30" spans="1:33" s="297" customFormat="1" ht="13.5" customHeight="1">
      <c r="A30" s="889" t="s">
        <v>623</v>
      </c>
      <c r="B30" s="912" t="s">
        <v>2091</v>
      </c>
      <c r="C30" s="298">
        <f ca="1">ROUND((C21+C22+C23)*F28,0)</f>
        <v>11</v>
      </c>
      <c r="D30" s="290"/>
      <c r="E30" s="291"/>
      <c r="F30" s="296"/>
      <c r="G30" s="136"/>
      <c r="H30" s="897"/>
      <c r="I30" s="897"/>
      <c r="J30" s="897"/>
      <c r="K30" s="898"/>
    </row>
    <row r="31" spans="1:33" s="893" customFormat="1" ht="13.5" customHeight="1" thickBot="1">
      <c r="A31" s="2003" t="s">
        <v>2092</v>
      </c>
      <c r="B31" s="923" t="s">
        <v>2093</v>
      </c>
      <c r="C31" s="924">
        <f ca="1">ROUND(C4*F31/(1+'数据-取费表'!C42),0)</f>
        <v>1463</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25555</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3202</v>
      </c>
      <c r="E1" s="1498" t="s">
        <v>1111</v>
      </c>
      <c r="F1" s="1174">
        <f ca="1">J53</f>
        <v>34.940000000000005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27933</v>
      </c>
      <c r="C2" s="1522" t="s">
        <v>1240</v>
      </c>
      <c r="D2" s="1522"/>
      <c r="E2" s="1523"/>
      <c r="F2" s="1524"/>
      <c r="G2" s="2885"/>
      <c r="H2" s="2874"/>
      <c r="I2" s="2874"/>
      <c r="J2" s="2874"/>
      <c r="K2" s="2875"/>
      <c r="L2" s="2874"/>
      <c r="M2" s="2874"/>
    </row>
    <row r="3" spans="1:37" ht="18" customHeight="1" thickBot="1">
      <c r="A3" s="1525" t="s">
        <v>1241</v>
      </c>
      <c r="B3" s="1526">
        <f ca="1">IF(ISERROR(B2*10000/F43),0,ROUND(B2*10000/F43,0))</f>
        <v>7733</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1795</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1793</v>
      </c>
      <c r="D6" s="160" t="s">
        <v>2607</v>
      </c>
      <c r="E6" s="308" t="s">
        <v>1129</v>
      </c>
      <c r="F6" s="309">
        <f ca="1">INDIRECT("'数据-取费表'!u"&amp;$G$1)</f>
        <v>1.7</v>
      </c>
      <c r="G6" s="1519"/>
      <c r="H6" s="1182" t="s">
        <v>822</v>
      </c>
      <c r="I6" s="3427" t="s">
        <v>1127</v>
      </c>
      <c r="J6" s="307">
        <f ca="1">ROUND(M6*M8*M7*(1-M9)/10000,0)</f>
        <v>0</v>
      </c>
      <c r="K6" s="160" t="s">
        <v>2606</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36123.300000000003</v>
      </c>
      <c r="G7" s="1519"/>
      <c r="H7" s="310"/>
      <c r="I7" s="3428"/>
      <c r="J7" s="312"/>
      <c r="K7" s="313"/>
      <c r="L7" s="308" t="s">
        <v>1130</v>
      </c>
      <c r="M7" s="309">
        <f ca="1">F7</f>
        <v>36123.300000000003</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0.2</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2615</v>
      </c>
      <c r="E10" s="319" t="s">
        <v>1134</v>
      </c>
      <c r="F10" s="1229" t="s">
        <v>3216</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15030</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11313</v>
      </c>
      <c r="D14" s="1480" t="s">
        <v>1142</v>
      </c>
      <c r="E14" s="1477"/>
      <c r="F14" s="325"/>
      <c r="G14" s="1519"/>
      <c r="H14" s="1094" t="s">
        <v>822</v>
      </c>
      <c r="I14" s="308" t="s">
        <v>1143</v>
      </c>
      <c r="J14" s="24">
        <f ca="1">C29</f>
        <v>15030</v>
      </c>
      <c r="K14" s="15"/>
      <c r="L14" s="897"/>
      <c r="M14" s="898"/>
    </row>
    <row r="15" spans="1:37" s="1532" customFormat="1" ht="18" customHeight="1" thickBot="1">
      <c r="A15" s="1094" t="s">
        <v>823</v>
      </c>
      <c r="B15" s="308" t="s">
        <v>1144</v>
      </c>
      <c r="C15" s="24">
        <f ca="1">ROUND(C14*F15,0)</f>
        <v>339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355</v>
      </c>
      <c r="K16" s="1200" t="s">
        <v>1149</v>
      </c>
      <c r="L16" s="1201"/>
      <c r="M16" s="1185"/>
    </row>
    <row r="17" spans="1:37" s="1532" customFormat="1" ht="18" customHeight="1">
      <c r="A17" s="1094" t="s">
        <v>1114</v>
      </c>
      <c r="B17" s="308" t="s">
        <v>1150</v>
      </c>
      <c r="C17" s="24">
        <f ca="1">ROUND(F17*(F43+INDIRECT("'数据-取费表'!S"&amp;$G$1))/10000,0)</f>
        <v>566</v>
      </c>
      <c r="D17" s="308" t="s">
        <v>1151</v>
      </c>
      <c r="E17" s="308" t="s">
        <v>1152</v>
      </c>
      <c r="F17" s="26">
        <f>'数据-取费表'!B35</f>
        <v>150</v>
      </c>
      <c r="G17" s="1531"/>
      <c r="H17" s="1094" t="s">
        <v>822</v>
      </c>
      <c r="I17" s="308" t="s">
        <v>1153</v>
      </c>
      <c r="J17" s="2485">
        <f ca="1">ROUND(IF(AND(项目基本情况!B11="自然人",项目基本情况!B10="北京市"),J6*M17/(1+'数据-取费表'!C42),J18+J19+J20),0)</f>
        <v>129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12388</v>
      </c>
      <c r="D19" s="136" t="s">
        <v>1160</v>
      </c>
      <c r="E19" s="1495"/>
      <c r="F19" s="26"/>
      <c r="G19" s="1519"/>
      <c r="H19" s="1094" t="s">
        <v>823</v>
      </c>
      <c r="I19" s="308" t="s">
        <v>1161</v>
      </c>
      <c r="J19" s="24">
        <f ca="1">IF(K19="按租金收入计税",ROUND(J6*M19/(1+'数据-取费表'!C42),2),ROUND(C29*M19*0.7,2))</f>
        <v>126.25</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248</v>
      </c>
      <c r="D20" s="329" t="s">
        <v>1164</v>
      </c>
      <c r="E20" s="308" t="s">
        <v>1146</v>
      </c>
      <c r="F20" s="328">
        <f>'数据-取费表'!B37</f>
        <v>0.02</v>
      </c>
      <c r="G20" s="1531"/>
      <c r="H20" s="1094" t="s">
        <v>1113</v>
      </c>
      <c r="I20" s="160" t="s">
        <v>1165</v>
      </c>
      <c r="J20" s="25">
        <f ca="1">ROUND(M20*M21/10000,2)</f>
        <v>2.73</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18193.390000000003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225.5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265</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-355</v>
      </c>
      <c r="K25" s="1208" t="s">
        <v>1188</v>
      </c>
      <c r="L25" s="1209"/>
      <c r="M25" s="1210"/>
    </row>
    <row r="26" spans="1:37">
      <c r="A26" s="1094" t="s">
        <v>821</v>
      </c>
      <c r="B26" s="308" t="s">
        <v>1189</v>
      </c>
      <c r="C26" s="24">
        <f ca="1">ROUND((C19+C20)*F26,0)</f>
        <v>1011</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1.6000000000000001E-3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15030</v>
      </c>
      <c r="D29" s="1205"/>
      <c r="E29" s="1203"/>
      <c r="F29" s="1206"/>
      <c r="G29" s="1531"/>
      <c r="H29" s="340" t="s">
        <v>820</v>
      </c>
      <c r="I29" s="341" t="s">
        <v>1203</v>
      </c>
      <c r="J29" s="342">
        <f ca="1">ROUND(J26/(1+F40)^F41,0)</f>
        <v>0</v>
      </c>
      <c r="K29" s="343" t="s">
        <v>1204</v>
      </c>
      <c r="L29" s="344"/>
      <c r="M29" s="345">
        <f ca="1">INDIRECT("'数据-取费表'!k"&amp;$G$1)</f>
        <v>36123.300000000003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568</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302</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93.92</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204.91</v>
      </c>
      <c r="D33" s="1505" t="s">
        <v>3205</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2.73</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18193.390000000003</v>
      </c>
      <c r="G35" s="1519"/>
      <c r="H35" s="2876"/>
      <c r="I35" s="1533"/>
      <c r="J35" s="1534"/>
      <c r="K35" s="2880"/>
      <c r="L35" s="2879"/>
      <c r="M35" s="2879"/>
    </row>
    <row r="36" spans="1:18" ht="18" customHeight="1">
      <c r="A36" s="1215" t="s">
        <v>826</v>
      </c>
      <c r="B36" s="308" t="s">
        <v>1173</v>
      </c>
      <c r="C36" s="24">
        <f ca="1">ROUND(C29*F36,1)</f>
        <v>225.5</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22.5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18</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1227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27933</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34.940000000000005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7733</v>
      </c>
      <c r="D43" s="343" t="s">
        <v>1212</v>
      </c>
      <c r="E43" s="344" t="s">
        <v>1213</v>
      </c>
      <c r="F43" s="345">
        <f ca="1">INDIRECT("'数据-取费表'!k"&amp;$G$1)</f>
        <v>36123.300000000003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-52691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3203</v>
      </c>
      <c r="K47" s="1551" t="s">
        <v>1251</v>
      </c>
      <c r="L47" s="1552">
        <f ca="1">INDIRECT("'数据-取费表'!d"&amp;$G$1)</f>
        <v>50</v>
      </c>
      <c r="M47" s="1515" t="str">
        <f>IF(ISNUMBER(FIND("住宅",C1)),"住宅","非住宅")</f>
        <v>非住宅</v>
      </c>
      <c r="O47" s="1553" t="s">
        <v>827</v>
      </c>
      <c r="P47" s="1554" t="s">
        <v>1252</v>
      </c>
      <c r="Q47" s="1555">
        <f ca="1">C40+J29</f>
        <v>27933</v>
      </c>
      <c r="R47" s="1555" t="s">
        <v>1253</v>
      </c>
    </row>
    <row r="48" spans="1:18" s="1519" customFormat="1" ht="28.5" thickBot="1">
      <c r="A48" s="1223" t="s">
        <v>863</v>
      </c>
      <c r="B48" s="306" t="s">
        <v>1125</v>
      </c>
      <c r="C48" s="1494">
        <f ca="1">C49+C53+C55</f>
        <v>0</v>
      </c>
      <c r="D48" s="1225"/>
      <c r="E48" s="1226"/>
      <c r="F48" s="1074"/>
      <c r="G48" s="731"/>
      <c r="H48" s="732"/>
      <c r="I48" s="1556" t="s">
        <v>1254</v>
      </c>
      <c r="J48" s="1557" t="s">
        <v>3204</v>
      </c>
      <c r="K48" s="1558" t="s">
        <v>1255</v>
      </c>
      <c r="L48" s="1559">
        <f ca="1">INDIRECT("'数据-取费表'!f"&amp;$G$1)</f>
        <v>34.950000000000003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c r="K49" s="1558" t="s">
        <v>1259</v>
      </c>
      <c r="L49" s="1562"/>
      <c r="O49" s="1563" t="s">
        <v>829</v>
      </c>
      <c r="P49" s="1554" t="s">
        <v>1260</v>
      </c>
      <c r="Q49" s="1555">
        <f ca="1">C29</f>
        <v>15030</v>
      </c>
      <c r="R49" s="1555" t="s">
        <v>1253</v>
      </c>
    </row>
    <row r="50" spans="1:18" s="1519" customFormat="1" ht="13.5" thickBot="1">
      <c r="A50" s="1088"/>
      <c r="B50" s="1091"/>
      <c r="C50" s="1231"/>
      <c r="D50" s="1065"/>
      <c r="E50" s="1168" t="s">
        <v>1130</v>
      </c>
      <c r="F50" s="1169">
        <f ca="1">F7</f>
        <v>36123.300000000003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508</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34.940000000000005</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34.940000000000005</v>
      </c>
      <c r="K53" s="3425" t="s">
        <v>1272</v>
      </c>
      <c r="L53" s="3426"/>
      <c r="O53" s="1553" t="s">
        <v>833</v>
      </c>
      <c r="P53" s="1554" t="s">
        <v>1273</v>
      </c>
      <c r="Q53" s="1555">
        <f ca="1">Q47+Q48</f>
        <v>27933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15030</v>
      </c>
      <c r="D56" s="1582"/>
      <c r="E56" s="1583"/>
      <c r="F56" s="1575"/>
      <c r="I56" s="1584" t="s">
        <v>1278</v>
      </c>
      <c r="J56" s="1585" t="s">
        <v>3185</v>
      </c>
      <c r="K56" s="1556" t="s">
        <v>1279</v>
      </c>
      <c r="L56" s="1559" t="str">
        <f ca="1">IF(L48&lt;J51,"——",L48-J53)</f>
        <v>——</v>
      </c>
      <c r="O56" s="1553" t="s">
        <v>827</v>
      </c>
      <c r="P56" s="1554" t="s">
        <v>1252</v>
      </c>
      <c r="Q56" s="1555">
        <f ca="1">C40+J29</f>
        <v>27933</v>
      </c>
      <c r="R56" s="1555" t="s">
        <v>1253</v>
      </c>
    </row>
    <row r="57" spans="1:18" s="1519" customFormat="1" ht="24.75" thickBot="1">
      <c r="A57" s="1586"/>
      <c r="B57" s="1062" t="s">
        <v>1202</v>
      </c>
      <c r="C57" s="244">
        <f ca="1">C29</f>
        <v>15030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1513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1265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1262.52</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2.73</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27933</v>
      </c>
      <c r="R62" s="1555" t="s">
        <v>834</v>
      </c>
    </row>
    <row r="63" spans="1:18" s="1519" customFormat="1" ht="13.5" thickBot="1">
      <c r="A63" s="332"/>
      <c r="B63" s="1068"/>
      <c r="C63" s="29"/>
      <c r="D63" s="1078"/>
      <c r="E63" s="1062" t="s">
        <v>1223</v>
      </c>
      <c r="F63" s="309">
        <f t="shared" ca="1" si="0"/>
        <v>18193.390000000003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225.5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22.5</v>
      </c>
      <c r="D65" s="1076" t="s">
        <v>1178</v>
      </c>
      <c r="E65" s="1062" t="s">
        <v>1179</v>
      </c>
      <c r="F65" s="336">
        <f t="shared" ca="1" si="0"/>
        <v>1.5E-3</v>
      </c>
      <c r="I65" s="1597" t="s">
        <v>1303</v>
      </c>
      <c r="J65" s="1598">
        <v>40</v>
      </c>
      <c r="K65" s="1598">
        <v>30</v>
      </c>
      <c r="L65" s="1598">
        <v>50</v>
      </c>
      <c r="M65" s="1600">
        <v>0.02</v>
      </c>
      <c r="O65" s="1553" t="s">
        <v>827</v>
      </c>
      <c r="P65" s="1554" t="s">
        <v>1304</v>
      </c>
      <c r="Q65" s="1555">
        <f ca="1">C40+J29</f>
        <v>27933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-1513</v>
      </c>
      <c r="D67" s="1075" t="s">
        <v>1188</v>
      </c>
      <c r="E67" s="1080"/>
      <c r="F67" s="1081"/>
      <c r="O67" s="1563" t="s">
        <v>829</v>
      </c>
      <c r="P67" s="1554" t="s">
        <v>1286</v>
      </c>
      <c r="Q67" s="1601">
        <f ca="1">L51</f>
        <v>508</v>
      </c>
      <c r="R67" s="1555" t="s">
        <v>1306</v>
      </c>
    </row>
    <row r="68" spans="1:18" s="1519" customFormat="1" ht="16.5" thickBot="1">
      <c r="A68" s="1059" t="s">
        <v>819</v>
      </c>
      <c r="B68" s="1060" t="s">
        <v>1209</v>
      </c>
      <c r="C68" s="307">
        <f ca="1">ROUND(C67*(1-((1+F70)/(1+F68))^F69)/(F68-F70),0)</f>
        <v>-24758</v>
      </c>
      <c r="D68" s="1077" t="s">
        <v>1193</v>
      </c>
      <c r="E68" s="1062" t="s">
        <v>1194</v>
      </c>
      <c r="F68" s="318">
        <f ca="1">F40</f>
        <v>0.05</v>
      </c>
      <c r="O68" s="1563" t="s">
        <v>830</v>
      </c>
      <c r="P68" s="1602" t="s">
        <v>1307</v>
      </c>
      <c r="Q68" s="1555">
        <f ca="1">ROUND(Q69-Q70*Q71,0)</f>
        <v>25</v>
      </c>
      <c r="R68" s="1555" t="s">
        <v>838</v>
      </c>
    </row>
    <row r="69" spans="1:18" s="1519" customFormat="1" ht="13.5" thickBot="1">
      <c r="A69" s="1063"/>
      <c r="B69" s="1064"/>
      <c r="C69" s="312"/>
      <c r="D69" s="1082" t="s">
        <v>1197</v>
      </c>
      <c r="E69" s="1062" t="s">
        <v>1198</v>
      </c>
      <c r="F69" s="339">
        <f ca="1">F41</f>
        <v>34.940000000000005</v>
      </c>
      <c r="O69" s="1563" t="s">
        <v>835</v>
      </c>
      <c r="P69" s="1602" t="s">
        <v>1308</v>
      </c>
      <c r="Q69" s="1555">
        <f ca="1">C39</f>
        <v>1227</v>
      </c>
      <c r="R69" s="1555" t="s">
        <v>1253</v>
      </c>
    </row>
    <row r="70" spans="1:18" s="1519" customFormat="1" ht="13.5" thickBot="1">
      <c r="A70" s="1066"/>
      <c r="B70" s="1067"/>
      <c r="C70" s="316"/>
      <c r="D70" s="1078"/>
      <c r="E70" s="1062" t="s">
        <v>1201</v>
      </c>
      <c r="F70" s="1166"/>
      <c r="O70" s="1563" t="s">
        <v>836</v>
      </c>
      <c r="P70" s="1602" t="s">
        <v>1309</v>
      </c>
      <c r="Q70" s="1555">
        <f ca="1">C13</f>
        <v>15030</v>
      </c>
      <c r="R70" s="1555" t="s">
        <v>1253</v>
      </c>
    </row>
    <row r="71" spans="1:18" s="1519" customFormat="1" ht="13.5" thickBot="1">
      <c r="A71" s="1083" t="s">
        <v>820</v>
      </c>
      <c r="B71" s="1084" t="s">
        <v>1211</v>
      </c>
      <c r="C71" s="342">
        <f ca="1">ROUND(C68*10000/F71,0)</f>
        <v>-6854</v>
      </c>
      <c r="D71" s="1085" t="s">
        <v>1212</v>
      </c>
      <c r="E71" s="1086" t="s">
        <v>1213</v>
      </c>
      <c r="F71" s="345">
        <f ca="1">F43</f>
        <v>36123.300000000003</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1202</v>
      </c>
      <c r="D75" s="1519"/>
      <c r="E75" s="1519"/>
      <c r="F75" s="1519"/>
      <c r="K75" s="1537"/>
      <c r="L75" s="1519"/>
      <c r="O75" s="1553" t="s">
        <v>833</v>
      </c>
      <c r="P75" s="1554" t="s">
        <v>1273</v>
      </c>
      <c r="Q75" s="1555">
        <f ca="1">Q65+Q66</f>
        <v>27933</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2.0000000000000018E-2</v>
      </c>
    </row>
    <row r="80" spans="1:18">
      <c r="B80" s="346" t="s">
        <v>1235</v>
      </c>
      <c r="C80" s="280">
        <f ca="1">ROUND(C75/C39,3)</f>
        <v>0.98</v>
      </c>
    </row>
    <row r="81" spans="2:3">
      <c r="B81" s="276" t="s">
        <v>1236</v>
      </c>
      <c r="C81" s="244"/>
    </row>
    <row r="82" spans="2:3">
      <c r="B82" s="279" t="s">
        <v>1237</v>
      </c>
      <c r="C82" s="281">
        <f ca="1">1-C83</f>
        <v>0.46199999999999997</v>
      </c>
    </row>
    <row r="83" spans="2:3">
      <c r="B83" s="279" t="s">
        <v>1238</v>
      </c>
      <c r="C83" s="280">
        <f ca="1">ROUND(C13/C40,3)</f>
        <v>0.53800000000000003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-1.0000000000000009E-2</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2604</v>
      </c>
      <c r="E6" s="308" t="s">
        <v>1129</v>
      </c>
      <c r="F6" s="309">
        <f ca="1">INDIRECT("'数据-取费表'!u"&amp;$G$1)</f>
        <v>0</v>
      </c>
      <c r="G6" s="1519"/>
      <c r="H6" s="1182" t="s">
        <v>822</v>
      </c>
      <c r="I6" s="3427" t="s">
        <v>1127</v>
      </c>
      <c r="J6" s="307">
        <f ca="1">ROUND(M6*M8*M7*(1-M9),0)</f>
        <v>0</v>
      </c>
      <c r="K6" s="1511" t="s">
        <v>2605</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150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-1.0000000000000009E-2</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-1.0000000000000009E-2</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430" t="s">
        <v>2820</v>
      </c>
      <c r="K2" s="3431"/>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432" t="s">
        <v>2830</v>
      </c>
      <c r="K3" s="3433"/>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432" t="s">
        <v>2832</v>
      </c>
      <c r="K4" s="3433"/>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434" t="s">
        <v>2836</v>
      </c>
      <c r="B6" s="3435"/>
      <c r="C6" s="3436"/>
      <c r="D6" s="3051"/>
      <c r="E6" s="3052"/>
      <c r="F6" s="3053"/>
      <c r="G6" s="3054"/>
      <c r="H6" s="3029"/>
      <c r="I6" s="3030"/>
      <c r="J6" s="3437">
        <v>1</v>
      </c>
      <c r="K6" s="3438"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437"/>
      <c r="K7" s="3439"/>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441" t="s">
        <v>2850</v>
      </c>
      <c r="C8" s="3442"/>
      <c r="D8" s="3070" t="s">
        <v>2851</v>
      </c>
      <c r="E8" s="3071" t="s">
        <v>2852</v>
      </c>
      <c r="F8" s="3072" t="s">
        <v>2853</v>
      </c>
      <c r="G8" s="3073"/>
      <c r="H8" s="3029"/>
      <c r="I8" s="3030"/>
      <c r="J8" s="3437"/>
      <c r="K8" s="3439"/>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441" t="s">
        <v>2856</v>
      </c>
      <c r="C9" s="3442"/>
      <c r="D9" s="3070">
        <f>ROUND(D6*E9,0)</f>
        <v>0</v>
      </c>
      <c r="E9" s="3074"/>
      <c r="F9" s="3075" t="s">
        <v>2857</v>
      </c>
      <c r="G9" s="3054"/>
      <c r="H9" s="3029"/>
      <c r="I9" s="3030"/>
      <c r="J9" s="3437"/>
      <c r="K9" s="3439"/>
      <c r="L9" s="3064" t="s">
        <v>2858</v>
      </c>
      <c r="M9" s="3065"/>
      <c r="N9" s="3041"/>
      <c r="O9" s="3066"/>
      <c r="P9" s="3066"/>
      <c r="Q9" s="3067">
        <v>365</v>
      </c>
      <c r="R9" s="3068">
        <f t="shared" si="0"/>
        <v>0</v>
      </c>
      <c r="S9" s="3022"/>
      <c r="T9" s="3022"/>
      <c r="U9" s="3022"/>
      <c r="V9" s="3030"/>
    </row>
    <row r="10" spans="1:22" s="3034" customFormat="1" ht="13.15" customHeight="1">
      <c r="A10" s="3069">
        <v>2</v>
      </c>
      <c r="B10" s="3441" t="s">
        <v>2859</v>
      </c>
      <c r="C10" s="3442"/>
      <c r="D10" s="3070">
        <f>ROUND(D6*E10,0)</f>
        <v>0</v>
      </c>
      <c r="E10" s="3074"/>
      <c r="F10" s="3075" t="s">
        <v>2860</v>
      </c>
      <c r="G10" s="3054"/>
      <c r="H10" s="3029"/>
      <c r="I10" s="3030"/>
      <c r="J10" s="3437"/>
      <c r="K10" s="3439"/>
      <c r="L10" s="3064" t="s">
        <v>2861</v>
      </c>
      <c r="M10" s="3065"/>
      <c r="N10" s="3041"/>
      <c r="O10" s="3066"/>
      <c r="P10" s="3066"/>
      <c r="Q10" s="3067">
        <v>365</v>
      </c>
      <c r="R10" s="3068">
        <f t="shared" si="0"/>
        <v>0</v>
      </c>
      <c r="S10" s="3022"/>
      <c r="T10" s="3022"/>
      <c r="U10" s="3022"/>
      <c r="V10" s="3030"/>
    </row>
    <row r="11" spans="1:22" s="3034" customFormat="1" ht="13.15" customHeight="1">
      <c r="A11" s="3069">
        <v>3</v>
      </c>
      <c r="B11" s="3441" t="s">
        <v>2862</v>
      </c>
      <c r="C11" s="3442"/>
      <c r="D11" s="3070">
        <f>D12+D14+D15+D16</f>
        <v>0</v>
      </c>
      <c r="E11" s="3076" t="e">
        <f>D11/D6</f>
        <v>#DIV/0!</v>
      </c>
      <c r="F11" s="3072"/>
      <c r="G11" s="3073"/>
      <c r="H11" s="3029"/>
      <c r="I11" s="3030"/>
      <c r="J11" s="3437"/>
      <c r="K11" s="3439"/>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443" t="s">
        <v>2865</v>
      </c>
      <c r="C12" s="3444"/>
      <c r="D12" s="3078">
        <f>ROUND(D13*1.2%*(1-30%),0)</f>
        <v>0</v>
      </c>
      <c r="E12" s="3079">
        <v>1.2E-2</v>
      </c>
      <c r="F12" s="3072" t="s">
        <v>2866</v>
      </c>
      <c r="G12" s="3073"/>
      <c r="H12" s="3029"/>
      <c r="I12" s="3030"/>
      <c r="J12" s="3437"/>
      <c r="K12" s="3439"/>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437"/>
      <c r="K13" s="3439"/>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443" t="s">
        <v>2871</v>
      </c>
      <c r="C14" s="3444"/>
      <c r="D14" s="3078">
        <f>ROUND(E14*B5/10000,0)</f>
        <v>0</v>
      </c>
      <c r="E14" s="3067"/>
      <c r="F14" s="3072" t="s">
        <v>2872</v>
      </c>
      <c r="G14" s="3073"/>
      <c r="H14" s="3029"/>
      <c r="I14" s="3030"/>
      <c r="J14" s="3437"/>
      <c r="K14" s="3440"/>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443" t="s">
        <v>2875</v>
      </c>
      <c r="C15" s="3444"/>
      <c r="D15" s="3078">
        <f>ROUND(D6*E15,0)</f>
        <v>0</v>
      </c>
      <c r="E15" s="3079">
        <v>5.5E-2</v>
      </c>
      <c r="F15" s="3072" t="s">
        <v>2876</v>
      </c>
      <c r="G15" s="3054"/>
      <c r="H15" s="3029"/>
      <c r="I15" s="3030"/>
      <c r="J15" s="3437">
        <v>2</v>
      </c>
      <c r="K15" s="3438"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443" t="s">
        <v>2884</v>
      </c>
      <c r="C16" s="3444"/>
      <c r="D16" s="3089">
        <f>D6*E16</f>
        <v>0</v>
      </c>
      <c r="E16" s="3090"/>
      <c r="F16" s="3075" t="s">
        <v>2885</v>
      </c>
      <c r="G16" s="3054"/>
      <c r="H16" s="3029"/>
      <c r="I16" s="3030"/>
      <c r="J16" s="3437"/>
      <c r="K16" s="3439"/>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445" t="s">
        <v>2887</v>
      </c>
      <c r="C17" s="3446"/>
      <c r="D17" s="3092">
        <f>ROUND(D6*E17,0)</f>
        <v>0</v>
      </c>
      <c r="E17" s="3093"/>
      <c r="F17" s="3094" t="s">
        <v>2888</v>
      </c>
      <c r="G17" s="3054"/>
      <c r="H17" s="3029"/>
      <c r="I17" s="3030"/>
      <c r="J17" s="3437"/>
      <c r="K17" s="3439"/>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437"/>
      <c r="K18" s="3439"/>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437"/>
      <c r="K19" s="3440"/>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7">
        <v>3</v>
      </c>
      <c r="K20" s="3438"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437"/>
      <c r="K21" s="3439"/>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437"/>
      <c r="K22" s="3439"/>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437"/>
      <c r="K23" s="3439"/>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437"/>
      <c r="K24" s="3440"/>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447">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448"/>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430" t="s">
        <v>2820</v>
      </c>
      <c r="K32" s="3431"/>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432" t="s">
        <v>2830</v>
      </c>
      <c r="K33" s="3433"/>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432" t="s">
        <v>2832</v>
      </c>
      <c r="K34" s="343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437">
        <v>1</v>
      </c>
      <c r="K36" s="3438"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437"/>
      <c r="K40" s="3440"/>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7">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448"/>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2104</v>
      </c>
      <c r="B1" s="2005"/>
      <c r="C1" s="2005"/>
      <c r="D1" s="2005"/>
      <c r="E1" s="2006"/>
      <c r="F1" s="2886"/>
      <c r="G1" s="1625"/>
      <c r="H1" s="1625"/>
      <c r="I1" s="1625"/>
      <c r="J1" s="1625"/>
      <c r="K1" s="1625"/>
      <c r="L1" s="1625"/>
      <c r="M1" s="1625"/>
      <c r="N1" s="1625"/>
      <c r="O1" s="1625"/>
      <c r="P1" s="1625"/>
      <c r="Q1" s="1625"/>
      <c r="R1" s="1625"/>
      <c r="S1" s="1625"/>
    </row>
    <row r="2" spans="1:22" ht="15.75">
      <c r="A2" s="2007" t="s">
        <v>1908</v>
      </c>
      <c r="B2" s="2008">
        <f ca="1">SUMIF(B6:B13,"&lt;&gt;#ref!",B6:B13)</f>
        <v>27933</v>
      </c>
      <c r="C2" s="2009" t="s">
        <v>2097</v>
      </c>
      <c r="D2" s="2010" t="s">
        <v>2098</v>
      </c>
      <c r="E2" s="2783">
        <f>SUM(E6:E13)</f>
        <v>37711.240000000005</v>
      </c>
      <c r="F2" s="2886"/>
      <c r="G2" s="1625"/>
      <c r="H2" s="1625"/>
      <c r="I2" s="1625"/>
      <c r="J2" s="1625"/>
      <c r="K2" s="1625"/>
      <c r="L2" s="1625"/>
      <c r="M2" s="1625"/>
      <c r="N2" s="1625"/>
      <c r="O2" s="1625"/>
      <c r="P2" s="1625"/>
      <c r="Q2" s="1625"/>
      <c r="R2" s="1625"/>
      <c r="S2" s="1625"/>
    </row>
    <row r="3" spans="1:22" ht="15.75">
      <c r="A3" s="2007" t="s">
        <v>1119</v>
      </c>
      <c r="B3" s="2777">
        <f ca="1">ROUND(B2*10000/E2,0)</f>
        <v>7407</v>
      </c>
      <c r="C3" s="2009" t="s">
        <v>2105</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2099</v>
      </c>
      <c r="B5" s="3449" t="s">
        <v>2100</v>
      </c>
      <c r="C5" s="3450"/>
      <c r="D5" s="2887"/>
      <c r="E5" s="2011" t="s">
        <v>2101</v>
      </c>
      <c r="F5" s="2012" t="s">
        <v>2102</v>
      </c>
      <c r="G5" s="1625"/>
      <c r="H5" s="1625"/>
      <c r="I5" s="1625"/>
      <c r="J5" s="1625"/>
      <c r="K5" s="1625"/>
      <c r="L5" s="1625"/>
      <c r="M5" s="1625"/>
      <c r="N5" s="1625"/>
      <c r="O5" s="1625"/>
      <c r="P5" s="1625"/>
      <c r="Q5" s="1625"/>
      <c r="R5" s="1625"/>
      <c r="S5" s="1625"/>
    </row>
    <row r="6" spans="1:22">
      <c r="A6" s="2780" t="str">
        <f>'数据-取费表'!AN6</f>
        <v>收益法</v>
      </c>
      <c r="B6" s="2778">
        <f ca="1">IF(F6="是",'数据-取费表'!AO6,0)</f>
        <v>27933</v>
      </c>
      <c r="C6" s="2009" t="s">
        <v>2097</v>
      </c>
      <c r="D6" s="2888"/>
      <c r="E6" s="2782">
        <f>IF(OR(A6=0,F6="否"),0,'数据-取费表'!K6+'数据-取费表'!S6)</f>
        <v>37711.240000000005</v>
      </c>
      <c r="F6" s="2013" t="s">
        <v>2103</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2097</v>
      </c>
      <c r="D7" s="2888"/>
      <c r="E7" s="2782">
        <f>IF(OR(A7=0,F7="否"),0,'数据-取费表'!K7+'数据-取费表'!S7)</f>
        <v>0</v>
      </c>
      <c r="F7" s="2013" t="s">
        <v>2103</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2097</v>
      </c>
      <c r="D8" s="2888"/>
      <c r="E8" s="2782">
        <f>IF(OR(A8=0,F8="否"),0,'数据-取费表'!K8+'数据-取费表'!S8)</f>
        <v>0</v>
      </c>
      <c r="F8" s="2013" t="s">
        <v>2103</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2097</v>
      </c>
      <c r="D9" s="2888"/>
      <c r="E9" s="2782">
        <f>IF(OR(A9=0,F9="否"),0,'数据-取费表'!K9+'数据-取费表'!S9)</f>
        <v>0</v>
      </c>
      <c r="F9" s="2013" t="s">
        <v>2103</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2097</v>
      </c>
      <c r="D10" s="2888"/>
      <c r="E10" s="2782">
        <f>IF(OR(A10=0,F10="否"),0,'数据-取费表'!K10+'数据-取费表'!S10)</f>
        <v>0</v>
      </c>
      <c r="F10" s="2013" t="s">
        <v>2103</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2097</v>
      </c>
      <c r="D11" s="2888"/>
      <c r="E11" s="2782">
        <f>IF(OR(A11=0,F11="否"),0,'数据-取费表'!K11+'数据-取费表'!S11)</f>
        <v>0</v>
      </c>
      <c r="F11" s="2013" t="s">
        <v>2103</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2097</v>
      </c>
      <c r="D12" s="2888"/>
      <c r="E12" s="2782">
        <f>IF(OR(A12=0,F12="否"),0,'数据-取费表'!K12+'数据-取费表'!S12)</f>
        <v>0</v>
      </c>
      <c r="F12" s="2013" t="s">
        <v>2103</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2097</v>
      </c>
      <c r="D13" s="2889"/>
      <c r="E13" s="2782">
        <f>IF(OR(A13=0,F13="否"),0,'数据-取费表'!K13+'数据-取费表'!S13)</f>
        <v>0</v>
      </c>
      <c r="F13" s="2013" t="s">
        <v>2103</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5" t="s">
        <v>2107</v>
      </c>
      <c r="C1" s="1359" t="s">
        <v>2108</v>
      </c>
      <c r="D1" s="1346"/>
      <c r="E1" s="2495"/>
      <c r="F1" s="2016" t="s">
        <v>2109</v>
      </c>
      <c r="G1" s="1356" t="s">
        <v>2110</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2111</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2112</v>
      </c>
      <c r="D3" s="359">
        <f>IF(D1="",'数据-汇总表'!E3,SUMIF('数据-汇总表'!$C19:$C33,D1,'数据-汇总表'!$E19:$E33))</f>
        <v>37711.240000000005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2113</v>
      </c>
      <c r="B4" s="362"/>
      <c r="C4" s="3469" t="s">
        <v>2114</v>
      </c>
      <c r="D4" s="3470"/>
      <c r="E4" s="3471" t="s">
        <v>2115</v>
      </c>
      <c r="F4" s="3472"/>
      <c r="G4" s="3469" t="s">
        <v>2116</v>
      </c>
      <c r="H4" s="3470"/>
      <c r="I4" s="3469" t="s">
        <v>2117</v>
      </c>
      <c r="J4" s="3470"/>
      <c r="K4" s="2026" t="s">
        <v>2118</v>
      </c>
      <c r="L4" s="2894"/>
      <c r="M4" s="2895"/>
      <c r="N4" s="2895"/>
      <c r="O4" s="2895"/>
      <c r="P4" s="3473" t="s">
        <v>2119</v>
      </c>
      <c r="Q4" s="3474"/>
      <c r="R4" s="3456" t="s">
        <v>2115</v>
      </c>
      <c r="S4" s="3457"/>
      <c r="T4" s="3456" t="s">
        <v>2116</v>
      </c>
      <c r="U4" s="3457"/>
      <c r="V4" s="3481" t="s">
        <v>2117</v>
      </c>
      <c r="W4" s="3481"/>
      <c r="X4" s="1490"/>
      <c r="Y4" s="3456" t="s">
        <v>2119</v>
      </c>
      <c r="Z4" s="3457"/>
      <c r="AA4" s="3451" t="s">
        <v>2115</v>
      </c>
      <c r="AB4" s="3451" t="s">
        <v>2116</v>
      </c>
      <c r="AC4" s="3451" t="s">
        <v>2117</v>
      </c>
    </row>
    <row r="5" spans="1:29" ht="15">
      <c r="A5" s="364"/>
      <c r="B5" s="365"/>
      <c r="C5" s="3462" t="s">
        <v>2120</v>
      </c>
      <c r="D5" s="3463"/>
      <c r="E5" s="3460" t="s">
        <v>2121</v>
      </c>
      <c r="F5" s="3461"/>
      <c r="G5" s="3462" t="s">
        <v>2122</v>
      </c>
      <c r="H5" s="3463"/>
      <c r="I5" s="3462" t="s">
        <v>2123</v>
      </c>
      <c r="J5" s="3463"/>
      <c r="K5" s="202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2124</v>
      </c>
      <c r="D6" s="3465"/>
      <c r="E6" s="3466" t="s">
        <v>2124</v>
      </c>
      <c r="F6" s="3467"/>
      <c r="G6" s="3464" t="s">
        <v>2124</v>
      </c>
      <c r="H6" s="3465"/>
      <c r="I6" s="3464" t="s">
        <v>2124</v>
      </c>
      <c r="J6" s="3465"/>
      <c r="K6" s="2027" t="s">
        <v>2125</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2126</v>
      </c>
      <c r="B7" s="369"/>
      <c r="C7" s="370">
        <f>'数据-取费表'!B2</f>
        <v>44768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4" t="s">
        <v>2127</v>
      </c>
      <c r="Q7" s="3482"/>
      <c r="R7" s="710" t="s">
        <v>23</v>
      </c>
      <c r="S7" s="711">
        <f t="shared" ref="S7:S15" si="0">F7</f>
        <v>0</v>
      </c>
      <c r="T7" s="710" t="s">
        <v>23</v>
      </c>
      <c r="U7" s="711">
        <f t="shared" ref="U7:U15" si="1">H7</f>
        <v>0</v>
      </c>
      <c r="V7" s="710" t="s">
        <v>23</v>
      </c>
      <c r="W7" s="711">
        <f t="shared" ref="W7:W15" si="2">J7</f>
        <v>0</v>
      </c>
      <c r="X7" s="712"/>
      <c r="Y7" s="3454" t="s">
        <v>2127</v>
      </c>
      <c r="Z7" s="3455"/>
      <c r="AA7" s="713" t="e">
        <f>D7/F7</f>
        <v>#DIV/0!</v>
      </c>
      <c r="AB7" s="713" t="e">
        <f>D7/H7</f>
        <v>#DIV/0!</v>
      </c>
      <c r="AC7" s="713" t="e">
        <f>D7/J7</f>
        <v>#DIV/0!</v>
      </c>
    </row>
    <row r="8" spans="1:29" s="113" customFormat="1" ht="15.75" thickBot="1">
      <c r="A8" s="368" t="s">
        <v>2128</v>
      </c>
      <c r="B8" s="369"/>
      <c r="C8" s="374" t="s">
        <v>2129</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4" t="s">
        <v>2130</v>
      </c>
      <c r="Q8" s="3455"/>
      <c r="R8" s="710" t="s">
        <v>23</v>
      </c>
      <c r="S8" s="711">
        <f t="shared" si="0"/>
        <v>0</v>
      </c>
      <c r="T8" s="710" t="s">
        <v>23</v>
      </c>
      <c r="U8" s="711">
        <f t="shared" si="1"/>
        <v>0</v>
      </c>
      <c r="V8" s="710" t="s">
        <v>23</v>
      </c>
      <c r="W8" s="711">
        <f t="shared" si="2"/>
        <v>0</v>
      </c>
      <c r="X8" s="712"/>
      <c r="Y8" s="3454" t="s">
        <v>2130</v>
      </c>
      <c r="Z8" s="3455"/>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9.75">
      <c r="A15" s="399" t="s">
        <v>2137</v>
      </c>
      <c r="B15" s="65" t="s">
        <v>1703</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5" t="s">
        <v>2138</v>
      </c>
      <c r="Q15" s="1487" t="str">
        <f t="shared" si="6"/>
        <v>居住社区成熟度</v>
      </c>
      <c r="R15" s="714" t="s">
        <v>21</v>
      </c>
      <c r="S15" s="715">
        <f t="shared" si="0"/>
        <v>100</v>
      </c>
      <c r="T15" s="714" t="s">
        <v>21</v>
      </c>
      <c r="U15" s="715">
        <f t="shared" si="1"/>
        <v>100</v>
      </c>
      <c r="V15" s="714" t="s">
        <v>21</v>
      </c>
      <c r="W15" s="715">
        <f t="shared" si="2"/>
        <v>100</v>
      </c>
      <c r="X15" s="1490"/>
      <c r="Y15" s="3488" t="s">
        <v>2138</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6"/>
      <c r="Q17" s="1487" t="str">
        <f>B17</f>
        <v>交通便捷度</v>
      </c>
      <c r="R17" s="714" t="s">
        <v>21</v>
      </c>
      <c r="S17" s="715">
        <f>F17</f>
        <v>100</v>
      </c>
      <c r="T17" s="714" t="s">
        <v>21</v>
      </c>
      <c r="U17" s="715">
        <f>H17</f>
        <v>100</v>
      </c>
      <c r="V17" s="714" t="s">
        <v>21</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1704</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6"/>
      <c r="Q19" s="1487" t="str">
        <f>B19</f>
        <v>公共配套设施</v>
      </c>
      <c r="R19" s="714" t="s">
        <v>21</v>
      </c>
      <c r="S19" s="715">
        <f>F19</f>
        <v>100</v>
      </c>
      <c r="T19" s="714" t="s">
        <v>21</v>
      </c>
      <c r="U19" s="715">
        <f>H19</f>
        <v>100</v>
      </c>
      <c r="V19" s="714" t="s">
        <v>21</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1706</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1707</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6"/>
      <c r="Q23" s="1487" t="str">
        <f>B23</f>
        <v>自然及人文环境</v>
      </c>
      <c r="R23" s="714" t="s">
        <v>21</v>
      </c>
      <c r="S23" s="715">
        <f>F23</f>
        <v>100</v>
      </c>
      <c r="T23" s="714" t="s">
        <v>21</v>
      </c>
      <c r="U23" s="715">
        <f>H23</f>
        <v>100</v>
      </c>
      <c r="V23" s="714" t="s">
        <v>21</v>
      </c>
      <c r="W23" s="715">
        <f>J23</f>
        <v>100</v>
      </c>
      <c r="X23" s="1490"/>
      <c r="Y23" s="348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2139</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9"/>
      <c r="Z25" s="1491" t="str">
        <f>Q25</f>
        <v>楼层-1</v>
      </c>
      <c r="AA25" s="1488">
        <f t="shared" ref="AA25:AA46" si="15">D25/F25</f>
        <v>1</v>
      </c>
      <c r="AB25" s="1488">
        <f t="shared" ref="AB25:AB46" si="16">D25/H25</f>
        <v>1</v>
      </c>
      <c r="AC25" s="1488">
        <f t="shared" ref="AC25:AC46" si="17">D25/J25</f>
        <v>1</v>
      </c>
    </row>
    <row r="26" spans="1:29" ht="15">
      <c r="A26" s="387"/>
      <c r="B26" s="381" t="s">
        <v>2140</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6"/>
      <c r="Q26" s="1487" t="str">
        <f t="shared" si="11"/>
        <v>朝向</v>
      </c>
      <c r="R26" s="714" t="s">
        <v>21</v>
      </c>
      <c r="S26" s="715">
        <f t="shared" si="12"/>
        <v>100</v>
      </c>
      <c r="T26" s="714" t="s">
        <v>21</v>
      </c>
      <c r="U26" s="715">
        <f t="shared" si="13"/>
        <v>100</v>
      </c>
      <c r="V26" s="714" t="s">
        <v>21</v>
      </c>
      <c r="W26" s="715">
        <f t="shared" si="14"/>
        <v>100</v>
      </c>
      <c r="X26" s="1490"/>
      <c r="Y26" s="348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6"/>
      <c r="Q27" s="1478">
        <f t="shared" si="11"/>
        <v>111</v>
      </c>
      <c r="R27" s="710" t="s">
        <v>21</v>
      </c>
      <c r="S27" s="711">
        <f t="shared" si="12"/>
        <v>100</v>
      </c>
      <c r="T27" s="710" t="s">
        <v>21</v>
      </c>
      <c r="U27" s="711">
        <f t="shared" si="13"/>
        <v>100</v>
      </c>
      <c r="V27" s="710" t="s">
        <v>21</v>
      </c>
      <c r="W27" s="711">
        <f t="shared" si="14"/>
        <v>100</v>
      </c>
      <c r="X27" s="712"/>
      <c r="Y27" s="348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6"/>
      <c r="Q28" s="1487">
        <f t="shared" si="11"/>
        <v>111</v>
      </c>
      <c r="R28" s="714" t="s">
        <v>21</v>
      </c>
      <c r="S28" s="715">
        <f t="shared" si="12"/>
        <v>100</v>
      </c>
      <c r="T28" s="714" t="s">
        <v>21</v>
      </c>
      <c r="U28" s="715">
        <f t="shared" si="13"/>
        <v>100</v>
      </c>
      <c r="V28" s="714" t="s">
        <v>21</v>
      </c>
      <c r="W28" s="715">
        <f t="shared" si="14"/>
        <v>100</v>
      </c>
      <c r="X28" s="1490"/>
      <c r="Y28" s="348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6"/>
      <c r="Q29" s="1487">
        <f t="shared" si="11"/>
        <v>111</v>
      </c>
      <c r="R29" s="714" t="s">
        <v>21</v>
      </c>
      <c r="S29" s="715">
        <f t="shared" si="12"/>
        <v>100</v>
      </c>
      <c r="T29" s="714" t="s">
        <v>21</v>
      </c>
      <c r="U29" s="715">
        <f t="shared" si="13"/>
        <v>100</v>
      </c>
      <c r="V29" s="714" t="s">
        <v>21</v>
      </c>
      <c r="W29" s="715">
        <f t="shared" si="14"/>
        <v>100</v>
      </c>
      <c r="X29" s="1490"/>
      <c r="Y29" s="348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6"/>
      <c r="Q30" s="1487">
        <f t="shared" si="11"/>
        <v>111</v>
      </c>
      <c r="R30" s="714" t="s">
        <v>21</v>
      </c>
      <c r="S30" s="715">
        <f t="shared" si="12"/>
        <v>100</v>
      </c>
      <c r="T30" s="714" t="s">
        <v>21</v>
      </c>
      <c r="U30" s="715">
        <f t="shared" si="13"/>
        <v>100</v>
      </c>
      <c r="V30" s="714" t="s">
        <v>21</v>
      </c>
      <c r="W30" s="715">
        <f t="shared" si="14"/>
        <v>100</v>
      </c>
      <c r="X30" s="1490"/>
      <c r="Y30" s="348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6"/>
      <c r="Q31" s="1487">
        <f t="shared" si="11"/>
        <v>111</v>
      </c>
      <c r="R31" s="714" t="s">
        <v>21</v>
      </c>
      <c r="S31" s="715">
        <f t="shared" si="12"/>
        <v>100</v>
      </c>
      <c r="T31" s="714" t="s">
        <v>21</v>
      </c>
      <c r="U31" s="715">
        <f t="shared" si="13"/>
        <v>100</v>
      </c>
      <c r="V31" s="714" t="s">
        <v>21</v>
      </c>
      <c r="W31" s="715">
        <f t="shared" si="14"/>
        <v>100</v>
      </c>
      <c r="X31" s="1490"/>
      <c r="Y31" s="3489"/>
      <c r="Z31" s="1491">
        <f t="shared" si="18"/>
        <v>111</v>
      </c>
      <c r="AA31" s="1488">
        <f t="shared" si="15"/>
        <v>1</v>
      </c>
      <c r="AB31" s="1488">
        <f t="shared" si="16"/>
        <v>1</v>
      </c>
      <c r="AC31" s="1488">
        <f t="shared" si="17"/>
        <v>1</v>
      </c>
    </row>
    <row r="32" spans="1:29" ht="15">
      <c r="A32" s="399" t="s">
        <v>2141</v>
      </c>
      <c r="B32" s="67" t="s">
        <v>2142</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0" t="s">
        <v>2143</v>
      </c>
      <c r="Q32" s="1487" t="str">
        <f t="shared" si="11"/>
        <v>建筑类型</v>
      </c>
      <c r="R32" s="714" t="s">
        <v>21</v>
      </c>
      <c r="S32" s="715">
        <f t="shared" si="12"/>
        <v>100</v>
      </c>
      <c r="T32" s="714" t="s">
        <v>21</v>
      </c>
      <c r="U32" s="715">
        <f t="shared" si="13"/>
        <v>100</v>
      </c>
      <c r="V32" s="714" t="s">
        <v>21</v>
      </c>
      <c r="W32" s="715">
        <f t="shared" si="14"/>
        <v>100</v>
      </c>
      <c r="X32" s="1490"/>
      <c r="Y32" s="3493" t="s">
        <v>2143</v>
      </c>
      <c r="Z32" s="1491" t="str">
        <f t="shared" si="18"/>
        <v>建筑类型</v>
      </c>
      <c r="AA32" s="1488">
        <f t="shared" si="15"/>
        <v>1</v>
      </c>
      <c r="AB32" s="1488">
        <f t="shared" si="16"/>
        <v>1</v>
      </c>
      <c r="AC32" s="1488">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488" t="e">
        <f t="shared" si="15"/>
        <v>#N/A</v>
      </c>
      <c r="AB33" s="1488" t="e">
        <f t="shared" si="16"/>
        <v>#N/A</v>
      </c>
      <c r="AC33" s="1488" t="e">
        <f t="shared" si="17"/>
        <v>#N/A</v>
      </c>
    </row>
    <row r="34" spans="1:29" ht="15">
      <c r="A34" s="431"/>
      <c r="B34" s="381" t="s">
        <v>2145</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1"/>
      <c r="Q34" s="1487" t="str">
        <f t="shared" si="11"/>
        <v>建筑结构</v>
      </c>
      <c r="R34" s="714" t="s">
        <v>21</v>
      </c>
      <c r="S34" s="715">
        <f t="shared" si="12"/>
        <v>100</v>
      </c>
      <c r="T34" s="714" t="s">
        <v>21</v>
      </c>
      <c r="U34" s="715">
        <f t="shared" si="13"/>
        <v>100</v>
      </c>
      <c r="V34" s="714" t="s">
        <v>21</v>
      </c>
      <c r="W34" s="715">
        <f t="shared" si="14"/>
        <v>100</v>
      </c>
      <c r="X34" s="1490"/>
      <c r="Y34" s="3493"/>
      <c r="Z34" s="1491" t="str">
        <f t="shared" si="18"/>
        <v>建筑结构</v>
      </c>
      <c r="AA34" s="1488">
        <f t="shared" si="15"/>
        <v>1</v>
      </c>
      <c r="AB34" s="1488">
        <f t="shared" si="16"/>
        <v>1</v>
      </c>
      <c r="AC34" s="1488">
        <f t="shared" si="17"/>
        <v>1</v>
      </c>
    </row>
    <row r="35" spans="1:29" ht="15">
      <c r="A35" s="431"/>
      <c r="B35" s="381" t="s">
        <v>2146</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1"/>
      <c r="Q35" s="1487" t="str">
        <f t="shared" si="11"/>
        <v>建筑品质</v>
      </c>
      <c r="R35" s="714" t="s">
        <v>21</v>
      </c>
      <c r="S35" s="715">
        <f t="shared" si="12"/>
        <v>100</v>
      </c>
      <c r="T35" s="714" t="s">
        <v>21</v>
      </c>
      <c r="U35" s="715">
        <f t="shared" si="13"/>
        <v>100</v>
      </c>
      <c r="V35" s="714" t="s">
        <v>21</v>
      </c>
      <c r="W35" s="715">
        <f t="shared" si="14"/>
        <v>100</v>
      </c>
      <c r="X35" s="1490"/>
      <c r="Y35" s="3493"/>
      <c r="Z35" s="1491" t="str">
        <f t="shared" si="18"/>
        <v>建筑品质</v>
      </c>
      <c r="AA35" s="1488">
        <f t="shared" si="15"/>
        <v>1</v>
      </c>
      <c r="AB35" s="1488">
        <f t="shared" si="16"/>
        <v>1</v>
      </c>
      <c r="AC35" s="1488">
        <f t="shared" si="17"/>
        <v>1</v>
      </c>
    </row>
    <row r="36" spans="1:29" ht="15">
      <c r="A36" s="431"/>
      <c r="B36" s="381" t="s">
        <v>2147</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1"/>
      <c r="Q36" s="1487" t="str">
        <f t="shared" si="11"/>
        <v>公共部分装修</v>
      </c>
      <c r="R36" s="714" t="s">
        <v>21</v>
      </c>
      <c r="S36" s="715">
        <f t="shared" si="12"/>
        <v>100</v>
      </c>
      <c r="T36" s="714" t="s">
        <v>21</v>
      </c>
      <c r="U36" s="715">
        <f t="shared" si="13"/>
        <v>100</v>
      </c>
      <c r="V36" s="714" t="s">
        <v>21</v>
      </c>
      <c r="W36" s="715">
        <f t="shared" si="14"/>
        <v>100</v>
      </c>
      <c r="X36" s="1490"/>
      <c r="Y36" s="3493"/>
      <c r="Z36" s="1491" t="str">
        <f t="shared" si="18"/>
        <v>公共部分装修</v>
      </c>
      <c r="AA36" s="1488">
        <f t="shared" si="15"/>
        <v>1</v>
      </c>
      <c r="AB36" s="1488">
        <f t="shared" si="16"/>
        <v>1</v>
      </c>
      <c r="AC36" s="1488">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1"/>
      <c r="Q37" s="1478"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
      <c r="A38" s="431"/>
      <c r="B38" s="381" t="s">
        <v>2149</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1" t="s">
        <v>2143</v>
      </c>
      <c r="Q38" s="1487" t="str">
        <f t="shared" si="11"/>
        <v>物业管理</v>
      </c>
      <c r="R38" s="714" t="s">
        <v>21</v>
      </c>
      <c r="S38" s="715">
        <f t="shared" si="12"/>
        <v>100</v>
      </c>
      <c r="T38" s="714" t="s">
        <v>21</v>
      </c>
      <c r="U38" s="715">
        <f t="shared" si="13"/>
        <v>100</v>
      </c>
      <c r="V38" s="714" t="s">
        <v>21</v>
      </c>
      <c r="W38" s="715">
        <f t="shared" si="14"/>
        <v>100</v>
      </c>
      <c r="X38" s="1490"/>
      <c r="Y38" s="3493" t="s">
        <v>2143</v>
      </c>
      <c r="Z38" s="1491" t="str">
        <f t="shared" si="18"/>
        <v>物业管理</v>
      </c>
      <c r="AA38" s="1488">
        <f t="shared" si="15"/>
        <v>1</v>
      </c>
      <c r="AB38" s="1488">
        <f t="shared" si="16"/>
        <v>1</v>
      </c>
      <c r="AC38" s="1488">
        <f t="shared" si="17"/>
        <v>1</v>
      </c>
    </row>
    <row r="39" spans="1:29" ht="15">
      <c r="A39" s="431"/>
      <c r="B39" s="381" t="s">
        <v>2150</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1"/>
      <c r="Q39" s="1487" t="str">
        <f t="shared" si="11"/>
        <v>市政基础设施</v>
      </c>
      <c r="R39" s="714" t="s">
        <v>21</v>
      </c>
      <c r="S39" s="715">
        <f t="shared" si="12"/>
        <v>100</v>
      </c>
      <c r="T39" s="714" t="s">
        <v>21</v>
      </c>
      <c r="U39" s="715">
        <f t="shared" si="13"/>
        <v>100</v>
      </c>
      <c r="V39" s="714" t="s">
        <v>21</v>
      </c>
      <c r="W39" s="715">
        <f t="shared" si="14"/>
        <v>100</v>
      </c>
      <c r="X39" s="1490"/>
      <c r="Y39" s="3493"/>
      <c r="Z39" s="1491" t="str">
        <f t="shared" si="18"/>
        <v>市政基础设施</v>
      </c>
      <c r="AA39" s="1488">
        <f t="shared" si="15"/>
        <v>1</v>
      </c>
      <c r="AB39" s="1488">
        <f t="shared" si="16"/>
        <v>1</v>
      </c>
      <c r="AC39" s="1488">
        <f t="shared" si="17"/>
        <v>1</v>
      </c>
    </row>
    <row r="40" spans="1:29" ht="15">
      <c r="A40" s="431"/>
      <c r="B40" s="381" t="s">
        <v>2151</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1"/>
      <c r="Q40" s="1487" t="str">
        <f t="shared" si="11"/>
        <v>房型</v>
      </c>
      <c r="R40" s="714" t="s">
        <v>21</v>
      </c>
      <c r="S40" s="715">
        <f t="shared" si="12"/>
        <v>100</v>
      </c>
      <c r="T40" s="714" t="s">
        <v>21</v>
      </c>
      <c r="U40" s="715">
        <f t="shared" si="13"/>
        <v>100</v>
      </c>
      <c r="V40" s="714" t="s">
        <v>21</v>
      </c>
      <c r="W40" s="715">
        <f t="shared" si="14"/>
        <v>100</v>
      </c>
      <c r="X40" s="1490"/>
      <c r="Y40" s="3493"/>
      <c r="Z40" s="1491" t="str">
        <f t="shared" si="18"/>
        <v>房型</v>
      </c>
      <c r="AA40" s="1488">
        <f t="shared" si="15"/>
        <v>1</v>
      </c>
      <c r="AB40" s="1488">
        <f t="shared" si="16"/>
        <v>1</v>
      </c>
      <c r="AC40" s="1488">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488">
        <f t="shared" si="15"/>
        <v>1</v>
      </c>
      <c r="AB41" s="1488">
        <f t="shared" si="16"/>
        <v>1</v>
      </c>
      <c r="AC41" s="1488">
        <f t="shared" si="17"/>
        <v>1</v>
      </c>
    </row>
    <row r="42" spans="1:29" ht="15">
      <c r="A42" s="431"/>
      <c r="B42" s="381" t="s">
        <v>2153</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1"/>
      <c r="Q42" s="1487" t="str">
        <f t="shared" si="11"/>
        <v>内部装修</v>
      </c>
      <c r="R42" s="714" t="s">
        <v>21</v>
      </c>
      <c r="S42" s="715">
        <f t="shared" si="12"/>
        <v>100</v>
      </c>
      <c r="T42" s="714" t="s">
        <v>21</v>
      </c>
      <c r="U42" s="715">
        <f t="shared" si="13"/>
        <v>100</v>
      </c>
      <c r="V42" s="714" t="s">
        <v>21</v>
      </c>
      <c r="W42" s="715">
        <f t="shared" si="14"/>
        <v>100</v>
      </c>
      <c r="X42" s="1490"/>
      <c r="Y42" s="3493"/>
      <c r="Z42" s="1491" t="str">
        <f t="shared" si="18"/>
        <v>内部装修</v>
      </c>
      <c r="AA42" s="1488">
        <f t="shared" si="15"/>
        <v>1</v>
      </c>
      <c r="AB42" s="1488">
        <f t="shared" si="16"/>
        <v>1</v>
      </c>
      <c r="AC42" s="1488">
        <f t="shared" si="17"/>
        <v>1</v>
      </c>
    </row>
    <row r="43" spans="1:29" ht="15">
      <c r="A43" s="431"/>
      <c r="B43" s="381" t="s">
        <v>2154</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1"/>
      <c r="Q43" s="1487" t="str">
        <f t="shared" si="11"/>
        <v>内部装修维护情况</v>
      </c>
      <c r="R43" s="714" t="s">
        <v>21</v>
      </c>
      <c r="S43" s="715">
        <f t="shared" si="12"/>
        <v>100</v>
      </c>
      <c r="T43" s="714" t="s">
        <v>21</v>
      </c>
      <c r="U43" s="715">
        <f t="shared" si="13"/>
        <v>100</v>
      </c>
      <c r="V43" s="714" t="s">
        <v>21</v>
      </c>
      <c r="W43" s="715">
        <f t="shared" si="14"/>
        <v>100</v>
      </c>
      <c r="X43" s="1490"/>
      <c r="Y43" s="349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1"/>
      <c r="Q44" s="1478">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1"/>
      <c r="Q45" s="1487">
        <f t="shared" si="11"/>
        <v>111</v>
      </c>
      <c r="R45" s="714" t="s">
        <v>21</v>
      </c>
      <c r="S45" s="715">
        <f t="shared" si="12"/>
        <v>100</v>
      </c>
      <c r="T45" s="714" t="s">
        <v>21</v>
      </c>
      <c r="U45" s="715">
        <f t="shared" si="13"/>
        <v>100</v>
      </c>
      <c r="V45" s="714" t="s">
        <v>21</v>
      </c>
      <c r="W45" s="715">
        <f t="shared" si="14"/>
        <v>100</v>
      </c>
      <c r="X45" s="1490"/>
      <c r="Y45" s="349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2"/>
      <c r="Q46" s="1487">
        <f t="shared" si="11"/>
        <v>111</v>
      </c>
      <c r="R46" s="714" t="s">
        <v>20</v>
      </c>
      <c r="S46" s="715">
        <f t="shared" si="12"/>
        <v>100</v>
      </c>
      <c r="T46" s="714" t="s">
        <v>20</v>
      </c>
      <c r="U46" s="715">
        <f t="shared" si="13"/>
        <v>100</v>
      </c>
      <c r="V46" s="714" t="s">
        <v>20</v>
      </c>
      <c r="W46" s="715">
        <f t="shared" si="14"/>
        <v>100</v>
      </c>
      <c r="X46" s="1490"/>
      <c r="Y46" s="3494"/>
      <c r="Z46" s="1491">
        <f t="shared" si="18"/>
        <v>111</v>
      </c>
      <c r="AA46" s="1488">
        <f t="shared" si="15"/>
        <v>1</v>
      </c>
      <c r="AB46" s="1488">
        <f t="shared" si="16"/>
        <v>1</v>
      </c>
      <c r="AC46" s="1488">
        <f t="shared" si="17"/>
        <v>1</v>
      </c>
    </row>
    <row r="47" spans="1:29" ht="15">
      <c r="A47" s="438" t="s">
        <v>2155</v>
      </c>
      <c r="B47" s="439"/>
      <c r="C47" s="1269" t="s">
        <v>19</v>
      </c>
      <c r="D47" s="1270"/>
      <c r="E47" s="1271"/>
      <c r="F47" s="1272"/>
      <c r="G47" s="1273"/>
      <c r="H47" s="1274"/>
      <c r="I47" s="1271"/>
      <c r="J47" s="1274"/>
      <c r="K47" s="2051"/>
      <c r="L47" s="2903"/>
      <c r="M47" s="2904"/>
      <c r="N47" s="2895"/>
      <c r="O47" s="2904"/>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5.75" thickBot="1">
      <c r="A48" s="445" t="s">
        <v>2156</v>
      </c>
      <c r="B48" s="446"/>
      <c r="C48" s="1275" t="e">
        <f>R49</f>
        <v>#DIV/0!</v>
      </c>
      <c r="D48" s="2489" t="s">
        <v>2637</v>
      </c>
      <c r="E48" s="1276" t="e">
        <f>R48</f>
        <v>#DIV/0!</v>
      </c>
      <c r="F48" s="2490"/>
      <c r="G48" s="1275" t="e">
        <f>T48</f>
        <v>#DIV/0!</v>
      </c>
      <c r="H48" s="2490"/>
      <c r="I48" s="1276" t="e">
        <f>V48</f>
        <v>#DIV/0!</v>
      </c>
      <c r="J48" s="2490"/>
      <c r="K48" s="2491">
        <f>F48+H48+J48</f>
        <v>0</v>
      </c>
      <c r="L48" s="2903"/>
      <c r="M48" s="2904"/>
      <c r="N48" s="2904"/>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2"/>
      <c r="L49" s="2903"/>
      <c r="M49" s="2904"/>
      <c r="N49" s="2904"/>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2161</v>
      </c>
      <c r="B57" s="699"/>
      <c r="C57" s="704"/>
      <c r="D57" s="704"/>
      <c r="E57" s="704"/>
      <c r="F57" s="705"/>
      <c r="G57" s="705"/>
      <c r="H57" s="704"/>
      <c r="I57" s="704"/>
      <c r="J57" s="704"/>
      <c r="K57" s="1053"/>
      <c r="L57" s="1054"/>
      <c r="M57" s="1052"/>
      <c r="N57" s="1052"/>
      <c r="O57" s="1052"/>
      <c r="P57" s="2055"/>
      <c r="Q57" s="461"/>
    </row>
    <row r="58" spans="1:29" s="465" customFormat="1" ht="15">
      <c r="A58" s="462" t="s">
        <v>2162</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2163</v>
      </c>
      <c r="B60" s="473"/>
      <c r="C60" s="474"/>
      <c r="D60" s="475"/>
      <c r="E60" s="475"/>
      <c r="F60" s="475"/>
      <c r="G60" s="475"/>
      <c r="H60" s="475"/>
      <c r="I60" s="475"/>
      <c r="J60" s="475"/>
      <c r="K60" s="475"/>
      <c r="L60" s="475"/>
      <c r="M60" s="476"/>
      <c r="N60" s="475"/>
      <c r="O60" s="476"/>
      <c r="P60" s="2057"/>
      <c r="Q60" s="461"/>
    </row>
    <row r="61" spans="1:29" s="113" customFormat="1" ht="15">
      <c r="A61" s="478" t="s">
        <v>2164</v>
      </c>
      <c r="B61" s="467"/>
      <c r="C61" s="479" t="s">
        <v>2165</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2166</v>
      </c>
      <c r="B63" s="485" t="s">
        <v>2132</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2188</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2189</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2141</v>
      </c>
      <c r="B100" s="485" t="s">
        <v>2190</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2192</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2193</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2194</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2195</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2196</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2197</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2198</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2200</v>
      </c>
    </row>
    <row r="137" spans="1:17" ht="15">
      <c r="B137" s="2067" t="s">
        <v>2201</v>
      </c>
      <c r="C137" s="2068"/>
      <c r="D137" s="2068"/>
      <c r="E137" s="2068"/>
      <c r="F137" s="2068"/>
      <c r="G137" s="2069"/>
      <c r="H137" s="2070"/>
      <c r="I137" s="2071" t="s">
        <v>2202</v>
      </c>
      <c r="J137" s="2068"/>
      <c r="K137" s="2072"/>
    </row>
    <row r="138" spans="1:17" ht="15">
      <c r="B138" s="2073"/>
      <c r="C138" s="142" t="s">
        <v>2203</v>
      </c>
      <c r="D138" s="142" t="s">
        <v>2204</v>
      </c>
      <c r="E138" s="2074" t="s">
        <v>2205</v>
      </c>
      <c r="F138" s="2075" t="s">
        <v>2206</v>
      </c>
      <c r="G138" s="142" t="s">
        <v>2204</v>
      </c>
      <c r="H138" s="143" t="s">
        <v>2205</v>
      </c>
      <c r="I138" s="2076"/>
      <c r="J138" s="142" t="s">
        <v>2207</v>
      </c>
      <c r="K138" s="143" t="s">
        <v>2208</v>
      </c>
    </row>
    <row r="139" spans="1:17" ht="15">
      <c r="B139" s="979">
        <v>6</v>
      </c>
      <c r="C139" s="980">
        <v>96</v>
      </c>
      <c r="D139" s="2077" t="s">
        <v>2209</v>
      </c>
      <c r="E139" s="981">
        <v>100</v>
      </c>
      <c r="F139" s="982">
        <v>102.5</v>
      </c>
      <c r="G139" s="2077" t="s">
        <v>2209</v>
      </c>
      <c r="H139" s="983">
        <v>105</v>
      </c>
      <c r="I139" s="2078" t="s">
        <v>2210</v>
      </c>
      <c r="J139" s="980">
        <v>20</v>
      </c>
      <c r="K139" s="984">
        <f>C145/(J139-2)</f>
        <v>4.0555555555555553E-3</v>
      </c>
    </row>
    <row r="140" spans="1:17" ht="15">
      <c r="B140" s="985">
        <v>5</v>
      </c>
      <c r="C140" s="986">
        <v>100</v>
      </c>
      <c r="D140" s="986"/>
      <c r="E140" s="987"/>
      <c r="F140" s="988">
        <v>102</v>
      </c>
      <c r="G140" s="986"/>
      <c r="H140" s="989"/>
      <c r="I140" s="2079" t="s">
        <v>2211</v>
      </c>
      <c r="J140" s="277">
        <f>ROUNDUP((J139-1)/2,0)</f>
        <v>10</v>
      </c>
      <c r="K140" s="990">
        <v>100</v>
      </c>
    </row>
    <row r="141" spans="1:17" ht="15">
      <c r="B141" s="985">
        <v>4</v>
      </c>
      <c r="C141" s="986">
        <v>102</v>
      </c>
      <c r="D141" s="986"/>
      <c r="E141" s="987"/>
      <c r="F141" s="988">
        <v>101.5</v>
      </c>
      <c r="G141" s="986"/>
      <c r="H141" s="989"/>
      <c r="I141" s="2079" t="s">
        <v>2212</v>
      </c>
      <c r="J141" s="277">
        <v>1</v>
      </c>
      <c r="K141" s="991">
        <f>ROUND(100+(J141-J140)*K139*100,1)</f>
        <v>96.4</v>
      </c>
    </row>
    <row r="142" spans="1:17" ht="15">
      <c r="B142" s="985">
        <v>3</v>
      </c>
      <c r="C142" s="986">
        <v>103</v>
      </c>
      <c r="D142" s="986"/>
      <c r="E142" s="987"/>
      <c r="F142" s="988">
        <v>101</v>
      </c>
      <c r="G142" s="986"/>
      <c r="H142" s="989"/>
      <c r="I142" s="2079" t="s">
        <v>2213</v>
      </c>
      <c r="J142" s="277">
        <f>J139</f>
        <v>20</v>
      </c>
      <c r="K142" s="992">
        <v>95</v>
      </c>
    </row>
    <row r="143" spans="1:17" ht="15">
      <c r="B143" s="985">
        <v>2</v>
      </c>
      <c r="C143" s="986">
        <v>100</v>
      </c>
      <c r="D143" s="986"/>
      <c r="E143" s="987"/>
      <c r="F143" s="988">
        <v>100.5</v>
      </c>
      <c r="G143" s="986"/>
      <c r="H143" s="989"/>
      <c r="I143" s="2079" t="s">
        <v>2214</v>
      </c>
      <c r="J143" s="986">
        <v>15</v>
      </c>
      <c r="K143" s="991">
        <f>ROUND(100+(J143-J140)*K139*100,1)</f>
        <v>102</v>
      </c>
    </row>
    <row r="144" spans="1:17" ht="15">
      <c r="B144" s="985">
        <v>1</v>
      </c>
      <c r="C144" s="986">
        <v>98</v>
      </c>
      <c r="D144" s="2080" t="s">
        <v>2215</v>
      </c>
      <c r="E144" s="987">
        <v>102</v>
      </c>
      <c r="F144" s="993">
        <v>100</v>
      </c>
      <c r="G144" s="2080" t="s">
        <v>2215</v>
      </c>
      <c r="H144" s="989">
        <v>105</v>
      </c>
      <c r="I144" s="2079" t="s">
        <v>2214</v>
      </c>
      <c r="J144" s="986">
        <v>18</v>
      </c>
      <c r="K144" s="991">
        <f>ROUND(100+(J144-J140)*K139*100,1)</f>
        <v>103.2</v>
      </c>
    </row>
    <row r="145" spans="2:11" ht="15.75" thickBot="1">
      <c r="B145" s="2081" t="s">
        <v>2216</v>
      </c>
      <c r="C145" s="994">
        <f>ROUND(MAX(C139:C144)/MIN(C139:C144)-1,3)</f>
        <v>7.2999999999999995E-2</v>
      </c>
      <c r="D145" s="995"/>
      <c r="E145" s="995"/>
      <c r="F145" s="2082" t="s">
        <v>2217</v>
      </c>
      <c r="G145" s="2083"/>
      <c r="H145" s="2084"/>
      <c r="I145" s="2085" t="s">
        <v>2214</v>
      </c>
      <c r="J145" s="996">
        <v>8</v>
      </c>
      <c r="K145" s="997">
        <f>ROUND(100+(J145-J140)*K139*100,1)</f>
        <v>99.2</v>
      </c>
    </row>
    <row r="147" spans="2:11">
      <c r="B147" s="2066" t="s">
        <v>2218</v>
      </c>
    </row>
    <row r="148" spans="2:11">
      <c r="B148" s="2066"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5" t="s">
        <v>2220</v>
      </c>
      <c r="C1" s="1359" t="s">
        <v>2108</v>
      </c>
      <c r="D1" s="1346"/>
      <c r="E1" s="2494"/>
      <c r="F1" s="2016"/>
      <c r="G1" s="1356" t="s">
        <v>2221</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1908</v>
      </c>
      <c r="B2" s="1279" t="e">
        <f ca="1">IF(C2="——",ROUND(C49*D3/10000,0),ROUND(C49*D3/10000,0)-D2)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1910</v>
      </c>
      <c r="B3" s="566" t="e">
        <f ca="1">IF(C2="——",C49,ROUND(B2*10000/D3,0))</f>
        <v>#DIV/0!</v>
      </c>
      <c r="C3" s="360" t="s">
        <v>2222</v>
      </c>
      <c r="D3" s="359">
        <f>IF(D1="",'数据-汇总表'!E3,SUMIF('数据-汇总表'!$C19:$C33,D1,'数据-汇总表'!$E19:$E33))</f>
        <v>37711.240000000005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2223</v>
      </c>
      <c r="B4" s="362"/>
      <c r="C4" s="3469" t="s">
        <v>2224</v>
      </c>
      <c r="D4" s="3470"/>
      <c r="E4" s="3471" t="s">
        <v>2225</v>
      </c>
      <c r="F4" s="3472"/>
      <c r="G4" s="3469" t="s">
        <v>2226</v>
      </c>
      <c r="H4" s="3470"/>
      <c r="I4" s="3469" t="s">
        <v>2227</v>
      </c>
      <c r="J4" s="3470"/>
      <c r="K4" s="567" t="s">
        <v>2228</v>
      </c>
      <c r="L4" s="2894"/>
      <c r="M4" s="2895"/>
      <c r="N4" s="2895"/>
      <c r="O4" s="2895"/>
      <c r="P4" s="3473" t="s">
        <v>2229</v>
      </c>
      <c r="Q4" s="3474"/>
      <c r="R4" s="3456" t="s">
        <v>2225</v>
      </c>
      <c r="S4" s="3457"/>
      <c r="T4" s="3456" t="s">
        <v>2226</v>
      </c>
      <c r="U4" s="3457"/>
      <c r="V4" s="3481" t="s">
        <v>2227</v>
      </c>
      <c r="W4" s="3481"/>
      <c r="X4" s="1490"/>
      <c r="Y4" s="3456" t="s">
        <v>2229</v>
      </c>
      <c r="Z4" s="3457"/>
      <c r="AA4" s="3451" t="s">
        <v>2225</v>
      </c>
      <c r="AB4" s="3481" t="s">
        <v>2226</v>
      </c>
      <c r="AC4" s="3451" t="s">
        <v>2227</v>
      </c>
    </row>
    <row r="5" spans="1:29" ht="15">
      <c r="A5" s="364"/>
      <c r="B5" s="365"/>
      <c r="C5" s="3462" t="s">
        <v>2120</v>
      </c>
      <c r="D5" s="3463"/>
      <c r="E5" s="3460" t="s">
        <v>2121</v>
      </c>
      <c r="F5" s="3461"/>
      <c r="G5" s="3462" t="s">
        <v>2122</v>
      </c>
      <c r="H5" s="3463"/>
      <c r="I5" s="3462" t="s">
        <v>2123</v>
      </c>
      <c r="J5" s="3463"/>
      <c r="K5" s="567"/>
      <c r="L5" s="2894"/>
      <c r="M5" s="2895"/>
      <c r="N5" s="2895"/>
      <c r="O5" s="2895"/>
      <c r="P5" s="3475"/>
      <c r="Q5" s="3476"/>
      <c r="R5" s="3458"/>
      <c r="S5" s="3459"/>
      <c r="T5" s="3458"/>
      <c r="U5" s="3459"/>
      <c r="V5" s="3481"/>
      <c r="W5" s="3481"/>
      <c r="X5" s="1490"/>
      <c r="Y5" s="3458"/>
      <c r="Z5" s="3459"/>
      <c r="AA5" s="3452"/>
      <c r="AB5" s="3481"/>
      <c r="AC5" s="3452"/>
    </row>
    <row r="6" spans="1:29" ht="15.75" thickBot="1">
      <c r="A6" s="366"/>
      <c r="B6" s="367"/>
      <c r="C6" s="3464" t="s">
        <v>2124</v>
      </c>
      <c r="D6" s="3465"/>
      <c r="E6" s="3466" t="s">
        <v>2124</v>
      </c>
      <c r="F6" s="3467"/>
      <c r="G6" s="3464" t="s">
        <v>2124</v>
      </c>
      <c r="H6" s="3465"/>
      <c r="I6" s="3464" t="s">
        <v>2124</v>
      </c>
      <c r="J6" s="3465"/>
      <c r="K6" s="567" t="s">
        <v>2125</v>
      </c>
      <c r="L6" s="2894"/>
      <c r="M6" s="2895"/>
      <c r="N6" s="2895"/>
      <c r="O6" s="2895"/>
      <c r="P6" s="3477"/>
      <c r="Q6" s="3478"/>
      <c r="R6" s="3458"/>
      <c r="S6" s="3459"/>
      <c r="T6" s="3479"/>
      <c r="U6" s="3480"/>
      <c r="V6" s="3481"/>
      <c r="W6" s="3481"/>
      <c r="X6" s="1490"/>
      <c r="Y6" s="3479"/>
      <c r="Z6" s="3480"/>
      <c r="AA6" s="3453"/>
      <c r="AB6" s="3481"/>
      <c r="AC6" s="3453"/>
    </row>
    <row r="7" spans="1:29" s="113" customFormat="1" ht="15.75" thickBot="1">
      <c r="A7" s="368" t="s">
        <v>2126</v>
      </c>
      <c r="B7" s="369"/>
      <c r="C7" s="370">
        <f>'数据-取费表'!B2</f>
        <v>44768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4" t="s">
        <v>2127</v>
      </c>
      <c r="Q7" s="3482"/>
      <c r="R7" s="710" t="s">
        <v>17</v>
      </c>
      <c r="S7" s="711">
        <f t="shared" ref="S7:S15" si="0">F7</f>
        <v>0</v>
      </c>
      <c r="T7" s="710" t="s">
        <v>17</v>
      </c>
      <c r="U7" s="711">
        <f t="shared" ref="U7:U15" si="1">H7</f>
        <v>0</v>
      </c>
      <c r="V7" s="710" t="s">
        <v>17</v>
      </c>
      <c r="W7" s="711">
        <f t="shared" ref="W7:W15" si="2">J7</f>
        <v>0</v>
      </c>
      <c r="X7" s="712"/>
      <c r="Y7" s="3454" t="s">
        <v>2127</v>
      </c>
      <c r="Z7" s="3455"/>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4" t="s">
        <v>2130</v>
      </c>
      <c r="Q8" s="3455"/>
      <c r="R8" s="710" t="s">
        <v>17</v>
      </c>
      <c r="S8" s="711">
        <f t="shared" si="0"/>
        <v>0</v>
      </c>
      <c r="T8" s="710" t="s">
        <v>17</v>
      </c>
      <c r="U8" s="711">
        <f t="shared" si="1"/>
        <v>0</v>
      </c>
      <c r="V8" s="710" t="s">
        <v>17</v>
      </c>
      <c r="W8" s="711">
        <f t="shared" si="2"/>
        <v>0</v>
      </c>
      <c r="X8" s="712"/>
      <c r="Y8" s="3454" t="s">
        <v>2130</v>
      </c>
      <c r="Z8" s="3455"/>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1.25">
      <c r="A15" s="399" t="s">
        <v>2137</v>
      </c>
      <c r="B15" s="65" t="s">
        <v>2231</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5" t="s">
        <v>2138</v>
      </c>
      <c r="Q15" s="1487" t="str">
        <f t="shared" si="6"/>
        <v>商业繁华度</v>
      </c>
      <c r="R15" s="714" t="s">
        <v>17</v>
      </c>
      <c r="S15" s="715">
        <f t="shared" si="0"/>
        <v>100</v>
      </c>
      <c r="T15" s="714" t="s">
        <v>17</v>
      </c>
      <c r="U15" s="715">
        <f t="shared" si="1"/>
        <v>100</v>
      </c>
      <c r="V15" s="714" t="s">
        <v>17</v>
      </c>
      <c r="W15" s="715">
        <f t="shared" si="2"/>
        <v>100</v>
      </c>
      <c r="X15" s="1490"/>
      <c r="Y15" s="3488" t="s">
        <v>2138</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2232</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2233</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1707</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6"/>
      <c r="Q23" s="1487" t="str">
        <f>B23</f>
        <v>自然及人文环境</v>
      </c>
      <c r="R23" s="714" t="s">
        <v>17</v>
      </c>
      <c r="S23" s="715">
        <f>F23</f>
        <v>100</v>
      </c>
      <c r="T23" s="714" t="s">
        <v>17</v>
      </c>
      <c r="U23" s="715">
        <f>H23</f>
        <v>100</v>
      </c>
      <c r="V23" s="714" t="s">
        <v>17</v>
      </c>
      <c r="W23" s="715">
        <f>J23</f>
        <v>100</v>
      </c>
      <c r="X23" s="1490"/>
      <c r="Y23" s="348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6"/>
      <c r="Q25" s="1487" t="str">
        <f t="shared" ref="Q25:Q46" si="11">B25</f>
        <v>临街状况</v>
      </c>
      <c r="R25" s="714" t="s">
        <v>17</v>
      </c>
      <c r="S25" s="715">
        <f>F25</f>
        <v>100</v>
      </c>
      <c r="T25" s="714" t="s">
        <v>17</v>
      </c>
      <c r="U25" s="715">
        <f>H25</f>
        <v>100</v>
      </c>
      <c r="V25" s="714" t="s">
        <v>17</v>
      </c>
      <c r="W25" s="715">
        <f>J25</f>
        <v>100</v>
      </c>
      <c r="X25" s="1490"/>
      <c r="Y25" s="3489"/>
      <c r="Z25" s="1491" t="str">
        <f>Q25</f>
        <v>临街状况</v>
      </c>
      <c r="AA25" s="1488">
        <f t="shared" si="3"/>
        <v>1</v>
      </c>
      <c r="AB25" s="1488">
        <f t="shared" si="4"/>
        <v>1</v>
      </c>
      <c r="AC25" s="1488">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6"/>
      <c r="Q26" s="1487" t="str">
        <f t="shared" si="11"/>
        <v>平面位置/可视性</v>
      </c>
      <c r="R26" s="714" t="s">
        <v>17</v>
      </c>
      <c r="S26" s="715">
        <f>F26</f>
        <v>100</v>
      </c>
      <c r="T26" s="714" t="s">
        <v>17</v>
      </c>
      <c r="U26" s="715">
        <f>H26</f>
        <v>100</v>
      </c>
      <c r="V26" s="714" t="s">
        <v>17</v>
      </c>
      <c r="W26" s="715">
        <f>J26</f>
        <v>100</v>
      </c>
      <c r="X26" s="1490"/>
      <c r="Y26" s="3489"/>
      <c r="Z26" s="1491" t="str">
        <f>Q26</f>
        <v>平面位置/可视性</v>
      </c>
      <c r="AA26" s="1488">
        <f t="shared" si="3"/>
        <v>1</v>
      </c>
      <c r="AB26" s="1488">
        <f t="shared" si="4"/>
        <v>1</v>
      </c>
      <c r="AC26" s="1488">
        <f t="shared" si="5"/>
        <v>1</v>
      </c>
    </row>
    <row r="27" spans="1:29" s="113" customFormat="1" ht="15">
      <c r="A27" s="390"/>
      <c r="B27" s="410" t="s">
        <v>2236</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6"/>
      <c r="Q27" s="1478" t="str">
        <f t="shared" si="11"/>
        <v>人流量</v>
      </c>
      <c r="R27" s="710" t="s">
        <v>17</v>
      </c>
      <c r="S27" s="711">
        <f>F27</f>
        <v>100</v>
      </c>
      <c r="T27" s="710" t="s">
        <v>17</v>
      </c>
      <c r="U27" s="711">
        <f>H27</f>
        <v>100</v>
      </c>
      <c r="V27" s="710" t="s">
        <v>17</v>
      </c>
      <c r="W27" s="711">
        <f>J27</f>
        <v>100</v>
      </c>
      <c r="X27" s="712"/>
      <c r="Y27" s="3489"/>
      <c r="Z27" s="55" t="str">
        <f>Q27</f>
        <v>人流量</v>
      </c>
      <c r="AA27" s="1488">
        <f>D27/F27</f>
        <v>1</v>
      </c>
      <c r="AB27" s="1488">
        <f>D27/H27</f>
        <v>1</v>
      </c>
      <c r="AC27" s="1488">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6"/>
      <c r="Q29" s="1487">
        <f t="shared" si="11"/>
        <v>111</v>
      </c>
      <c r="R29" s="714" t="s">
        <v>17</v>
      </c>
      <c r="S29" s="715">
        <f t="shared" si="12"/>
        <v>100</v>
      </c>
      <c r="T29" s="714" t="s">
        <v>17</v>
      </c>
      <c r="U29" s="715">
        <f t="shared" si="13"/>
        <v>100</v>
      </c>
      <c r="V29" s="714" t="s">
        <v>17</v>
      </c>
      <c r="W29" s="715">
        <f t="shared" si="14"/>
        <v>100</v>
      </c>
      <c r="X29" s="1490"/>
      <c r="Y29" s="348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1488">
        <f t="shared" si="5"/>
        <v>1</v>
      </c>
    </row>
    <row r="32" spans="1:29" ht="15">
      <c r="A32" s="399" t="s">
        <v>2141</v>
      </c>
      <c r="B32" s="67" t="s">
        <v>2238</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0" t="s">
        <v>2143</v>
      </c>
      <c r="Q32" s="1487" t="str">
        <f t="shared" si="11"/>
        <v>商业类型</v>
      </c>
      <c r="R32" s="714" t="s">
        <v>17</v>
      </c>
      <c r="S32" s="715">
        <f t="shared" si="12"/>
        <v>100</v>
      </c>
      <c r="T32" s="714" t="s">
        <v>17</v>
      </c>
      <c r="U32" s="715">
        <f t="shared" si="13"/>
        <v>100</v>
      </c>
      <c r="V32" s="714" t="s">
        <v>17</v>
      </c>
      <c r="W32" s="715">
        <f t="shared" si="14"/>
        <v>100</v>
      </c>
      <c r="X32" s="1490"/>
      <c r="Y32" s="3493" t="s">
        <v>2143</v>
      </c>
      <c r="Z32" s="1491" t="str">
        <f t="shared" si="15"/>
        <v>商业类型</v>
      </c>
      <c r="AA32" s="1488">
        <f t="shared" si="3"/>
        <v>1</v>
      </c>
      <c r="AB32" s="1488">
        <f t="shared" si="4"/>
        <v>1</v>
      </c>
      <c r="AC32" s="1488">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488" t="e">
        <f t="shared" si="3"/>
        <v>#N/A</v>
      </c>
      <c r="AB33" s="1488" t="e">
        <f t="shared" si="4"/>
        <v>#N/A</v>
      </c>
      <c r="AC33" s="1488" t="e">
        <f t="shared" si="5"/>
        <v>#N/A</v>
      </c>
    </row>
    <row r="34" spans="1:29" ht="15">
      <c r="A34" s="431"/>
      <c r="B34" s="381" t="s">
        <v>2145</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1"/>
      <c r="Q34" s="1487" t="str">
        <f t="shared" si="11"/>
        <v>建筑结构</v>
      </c>
      <c r="R34" s="714" t="s">
        <v>17</v>
      </c>
      <c r="S34" s="715">
        <f t="shared" si="12"/>
        <v>100</v>
      </c>
      <c r="T34" s="714" t="s">
        <v>17</v>
      </c>
      <c r="U34" s="715">
        <f t="shared" si="13"/>
        <v>100</v>
      </c>
      <c r="V34" s="714" t="s">
        <v>17</v>
      </c>
      <c r="W34" s="715">
        <f t="shared" si="14"/>
        <v>100</v>
      </c>
      <c r="X34" s="1490"/>
      <c r="Y34" s="3493"/>
      <c r="Z34" s="1491" t="str">
        <f t="shared" si="15"/>
        <v>建筑结构</v>
      </c>
      <c r="AA34" s="1488">
        <f t="shared" si="3"/>
        <v>1</v>
      </c>
      <c r="AB34" s="1488">
        <f t="shared" si="4"/>
        <v>1</v>
      </c>
      <c r="AC34" s="1488">
        <f t="shared" si="5"/>
        <v>1</v>
      </c>
    </row>
    <row r="35" spans="1:29" ht="15">
      <c r="A35" s="431"/>
      <c r="B35" s="381" t="s">
        <v>2239</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1"/>
      <c r="Q35" s="1487" t="str">
        <f t="shared" si="11"/>
        <v>公共部分装修</v>
      </c>
      <c r="R35" s="714" t="s">
        <v>17</v>
      </c>
      <c r="S35" s="715">
        <f t="shared" si="12"/>
        <v>100</v>
      </c>
      <c r="T35" s="714" t="s">
        <v>17</v>
      </c>
      <c r="U35" s="715">
        <f t="shared" si="13"/>
        <v>100</v>
      </c>
      <c r="V35" s="714" t="s">
        <v>17</v>
      </c>
      <c r="W35" s="715">
        <f t="shared" si="14"/>
        <v>100</v>
      </c>
      <c r="X35" s="1490"/>
      <c r="Y35" s="3493"/>
      <c r="Z35" s="1491" t="str">
        <f t="shared" si="15"/>
        <v>公共部分装修</v>
      </c>
      <c r="AA35" s="1488">
        <f t="shared" si="3"/>
        <v>1</v>
      </c>
      <c r="AB35" s="1488">
        <f t="shared" si="4"/>
        <v>1</v>
      </c>
      <c r="AC35" s="1488">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1"/>
      <c r="Q36" s="1487" t="str">
        <f t="shared" si="11"/>
        <v>成新度</v>
      </c>
      <c r="R36" s="714" t="s">
        <v>17</v>
      </c>
      <c r="S36" s="715" t="e">
        <f t="shared" si="12"/>
        <v>#N/A</v>
      </c>
      <c r="T36" s="714" t="s">
        <v>17</v>
      </c>
      <c r="U36" s="715" t="e">
        <f t="shared" si="13"/>
        <v>#N/A</v>
      </c>
      <c r="V36" s="714" t="s">
        <v>17</v>
      </c>
      <c r="W36" s="715" t="e">
        <f t="shared" si="14"/>
        <v>#N/A</v>
      </c>
      <c r="X36" s="1490"/>
      <c r="Y36" s="3493"/>
      <c r="Z36" s="1491" t="str">
        <f t="shared" si="15"/>
        <v>成新度</v>
      </c>
      <c r="AA36" s="1488" t="e">
        <f t="shared" si="3"/>
        <v>#N/A</v>
      </c>
      <c r="AB36" s="1488" t="e">
        <f t="shared" si="4"/>
        <v>#N/A</v>
      </c>
      <c r="AC36" s="1488" t="e">
        <f t="shared" si="5"/>
        <v>#N/A</v>
      </c>
    </row>
    <row r="37" spans="1:29" s="113" customFormat="1" ht="15">
      <c r="A37" s="432"/>
      <c r="B37" s="381" t="s">
        <v>2241</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1"/>
      <c r="Q37" s="1478"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
      <c r="A38" s="431"/>
      <c r="B38" s="381" t="s">
        <v>2242</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1" t="s">
        <v>2143</v>
      </c>
      <c r="Q38" s="1487" t="str">
        <f t="shared" si="11"/>
        <v>业态</v>
      </c>
      <c r="R38" s="714" t="s">
        <v>17</v>
      </c>
      <c r="S38" s="715">
        <f t="shared" si="12"/>
        <v>100</v>
      </c>
      <c r="T38" s="714" t="s">
        <v>17</v>
      </c>
      <c r="U38" s="715">
        <f t="shared" si="13"/>
        <v>100</v>
      </c>
      <c r="V38" s="714" t="s">
        <v>17</v>
      </c>
      <c r="W38" s="715">
        <f t="shared" si="14"/>
        <v>100</v>
      </c>
      <c r="X38" s="1490"/>
      <c r="Y38" s="3493" t="s">
        <v>2143</v>
      </c>
      <c r="Z38" s="1491" t="str">
        <f t="shared" si="15"/>
        <v>业态</v>
      </c>
      <c r="AA38" s="1488">
        <f t="shared" si="3"/>
        <v>1</v>
      </c>
      <c r="AB38" s="1488">
        <f t="shared" si="4"/>
        <v>1</v>
      </c>
      <c r="AC38" s="1488">
        <f t="shared" si="5"/>
        <v>1</v>
      </c>
    </row>
    <row r="39" spans="1:29" ht="15">
      <c r="A39" s="431"/>
      <c r="B39" s="381" t="s">
        <v>2243</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1"/>
      <c r="Q39" s="1487" t="str">
        <f t="shared" si="11"/>
        <v>层高</v>
      </c>
      <c r="R39" s="714" t="s">
        <v>17</v>
      </c>
      <c r="S39" s="715">
        <f t="shared" si="12"/>
        <v>100</v>
      </c>
      <c r="T39" s="714" t="s">
        <v>17</v>
      </c>
      <c r="U39" s="715">
        <f t="shared" si="13"/>
        <v>100</v>
      </c>
      <c r="V39" s="714" t="s">
        <v>17</v>
      </c>
      <c r="W39" s="715">
        <f t="shared" si="14"/>
        <v>100</v>
      </c>
      <c r="X39" s="1490"/>
      <c r="Y39" s="3493"/>
      <c r="Z39" s="1491" t="str">
        <f t="shared" si="15"/>
        <v>层高</v>
      </c>
      <c r="AA39" s="1488">
        <f t="shared" si="3"/>
        <v>1</v>
      </c>
      <c r="AB39" s="1488">
        <f t="shared" si="4"/>
        <v>1</v>
      </c>
      <c r="AC39" s="1488">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1"/>
      <c r="Q40" s="1487" t="str">
        <f t="shared" si="11"/>
        <v>单套建筑面积</v>
      </c>
      <c r="R40" s="714" t="s">
        <v>17</v>
      </c>
      <c r="S40" s="715">
        <f t="shared" si="12"/>
        <v>100</v>
      </c>
      <c r="T40" s="714" t="s">
        <v>17</v>
      </c>
      <c r="U40" s="715">
        <f t="shared" si="13"/>
        <v>100</v>
      </c>
      <c r="V40" s="714" t="s">
        <v>17</v>
      </c>
      <c r="W40" s="715">
        <f t="shared" si="14"/>
        <v>100</v>
      </c>
      <c r="X40" s="1490"/>
      <c r="Y40" s="3493"/>
      <c r="Z40" s="1491" t="str">
        <f t="shared" si="15"/>
        <v>单套建筑面积</v>
      </c>
      <c r="AA40" s="1488">
        <f t="shared" si="3"/>
        <v>1</v>
      </c>
      <c r="AB40" s="1488">
        <f t="shared" si="4"/>
        <v>1</v>
      </c>
      <c r="AC40" s="1488">
        <f t="shared" si="5"/>
        <v>1</v>
      </c>
    </row>
    <row r="41" spans="1:29" s="430" customFormat="1" ht="15">
      <c r="A41" s="427"/>
      <c r="B41" s="1489"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488">
        <f t="shared" si="3"/>
        <v>1</v>
      </c>
      <c r="AB41" s="1488">
        <f t="shared" si="4"/>
        <v>1</v>
      </c>
      <c r="AC41" s="1488">
        <f t="shared" si="5"/>
        <v>1</v>
      </c>
    </row>
    <row r="42" spans="1:29" ht="15">
      <c r="A42" s="431"/>
      <c r="B42" s="381" t="s">
        <v>2246</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1"/>
      <c r="Q42" s="1487" t="str">
        <f t="shared" si="11"/>
        <v>内部装修</v>
      </c>
      <c r="R42" s="714" t="s">
        <v>17</v>
      </c>
      <c r="S42" s="715">
        <f t="shared" si="12"/>
        <v>100</v>
      </c>
      <c r="T42" s="714" t="s">
        <v>17</v>
      </c>
      <c r="U42" s="715">
        <f t="shared" si="13"/>
        <v>100</v>
      </c>
      <c r="V42" s="714" t="s">
        <v>17</v>
      </c>
      <c r="W42" s="715">
        <f t="shared" si="14"/>
        <v>100</v>
      </c>
      <c r="X42" s="1490"/>
      <c r="Y42" s="3493"/>
      <c r="Z42" s="1491" t="str">
        <f t="shared" si="15"/>
        <v>内部装修</v>
      </c>
      <c r="AA42" s="1488">
        <f t="shared" si="3"/>
        <v>1</v>
      </c>
      <c r="AB42" s="1488">
        <f t="shared" si="4"/>
        <v>1</v>
      </c>
      <c r="AC42" s="1488">
        <f t="shared" si="5"/>
        <v>1</v>
      </c>
    </row>
    <row r="43" spans="1:29" ht="15">
      <c r="A43" s="431"/>
      <c r="B43" s="381" t="s">
        <v>2154</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1"/>
      <c r="Q43" s="1487" t="str">
        <f t="shared" si="11"/>
        <v>内部装修维护情况</v>
      </c>
      <c r="R43" s="714" t="s">
        <v>17</v>
      </c>
      <c r="S43" s="715">
        <f t="shared" si="12"/>
        <v>100</v>
      </c>
      <c r="T43" s="714" t="s">
        <v>17</v>
      </c>
      <c r="U43" s="715">
        <f t="shared" si="13"/>
        <v>100</v>
      </c>
      <c r="V43" s="714" t="s">
        <v>17</v>
      </c>
      <c r="W43" s="715">
        <f t="shared" si="14"/>
        <v>100</v>
      </c>
      <c r="X43" s="1490"/>
      <c r="Y43" s="349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1"/>
      <c r="Q44" s="1478">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1"/>
      <c r="Q45" s="1487">
        <f t="shared" si="11"/>
        <v>111</v>
      </c>
      <c r="R45" s="714" t="s">
        <v>17</v>
      </c>
      <c r="S45" s="715">
        <f t="shared" si="12"/>
        <v>100</v>
      </c>
      <c r="T45" s="714" t="s">
        <v>17</v>
      </c>
      <c r="U45" s="715">
        <f t="shared" si="13"/>
        <v>100</v>
      </c>
      <c r="V45" s="714" t="s">
        <v>17</v>
      </c>
      <c r="W45" s="715">
        <f t="shared" si="14"/>
        <v>100</v>
      </c>
      <c r="X45" s="1490"/>
      <c r="Y45" s="349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1488">
        <f t="shared" si="5"/>
        <v>1</v>
      </c>
    </row>
    <row r="47" spans="1:29" ht="15">
      <c r="A47" s="438" t="s">
        <v>2155</v>
      </c>
      <c r="B47" s="439"/>
      <c r="C47" s="1269" t="s">
        <v>1</v>
      </c>
      <c r="D47" s="1270"/>
      <c r="E47" s="1271"/>
      <c r="F47" s="1272"/>
      <c r="G47" s="1273"/>
      <c r="H47" s="1274"/>
      <c r="I47" s="1271"/>
      <c r="J47" s="1274"/>
      <c r="K47" s="723"/>
      <c r="L47" s="2903"/>
      <c r="M47" s="2904"/>
      <c r="N47" s="2895"/>
      <c r="O47" s="2904"/>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5.75" thickBot="1">
      <c r="A48" s="445" t="s">
        <v>2247</v>
      </c>
      <c r="B48" s="446"/>
      <c r="C48" s="1275" t="e">
        <f>R49</f>
        <v>#DIV/0!</v>
      </c>
      <c r="D48" s="2489" t="s">
        <v>2637</v>
      </c>
      <c r="E48" s="1276" t="e">
        <f>R48</f>
        <v>#DIV/0!</v>
      </c>
      <c r="F48" s="2490"/>
      <c r="G48" s="1275" t="e">
        <f>T48</f>
        <v>#DIV/0!</v>
      </c>
      <c r="H48" s="2490"/>
      <c r="I48" s="1276" t="e">
        <f>V48</f>
        <v>#DIV/0!</v>
      </c>
      <c r="J48" s="2490"/>
      <c r="K48" s="2492">
        <f>F48+H48+J48</f>
        <v>0</v>
      </c>
      <c r="L48" s="2903"/>
      <c r="M48" s="2904"/>
      <c r="N48" s="2895"/>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3"/>
      <c r="M49" s="2904"/>
      <c r="N49" s="2895"/>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2252</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2126</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2163</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2128</v>
      </c>
      <c r="B61" s="467"/>
      <c r="C61" s="479" t="s">
        <v>2230</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2166</v>
      </c>
      <c r="B63" s="485" t="s">
        <v>2132</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2137</v>
      </c>
      <c r="B76" s="485" t="s">
        <v>2174</v>
      </c>
      <c r="C76" s="530" t="s">
        <v>2175</v>
      </c>
      <c r="D76" s="530" t="s">
        <v>2176</v>
      </c>
      <c r="E76" s="530" t="s">
        <v>2177</v>
      </c>
      <c r="F76" s="530" t="s">
        <v>2178</v>
      </c>
      <c r="G76" s="530" t="s">
        <v>2179</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2180</v>
      </c>
      <c r="C78" s="535" t="s">
        <v>2175</v>
      </c>
      <c r="D78" s="535" t="s">
        <v>2176</v>
      </c>
      <c r="E78" s="535" t="s">
        <v>2177</v>
      </c>
      <c r="F78" s="535" t="s">
        <v>2178</v>
      </c>
      <c r="G78" s="535" t="s">
        <v>2179</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2181</v>
      </c>
      <c r="C80" s="535" t="s">
        <v>2175</v>
      </c>
      <c r="D80" s="535" t="s">
        <v>2176</v>
      </c>
      <c r="E80" s="535" t="s">
        <v>2177</v>
      </c>
      <c r="F80" s="535" t="s">
        <v>2178</v>
      </c>
      <c r="G80" s="535" t="s">
        <v>2179</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2233</v>
      </c>
      <c r="C82" s="616" t="s">
        <v>2253</v>
      </c>
      <c r="D82" s="616" t="s">
        <v>2254</v>
      </c>
      <c r="E82" s="616" t="s">
        <v>2255</v>
      </c>
      <c r="F82" s="616" t="s">
        <v>2256</v>
      </c>
      <c r="G82" s="616" t="s">
        <v>2257</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2187</v>
      </c>
      <c r="C84" s="535" t="s">
        <v>2175</v>
      </c>
      <c r="D84" s="535" t="s">
        <v>2176</v>
      </c>
      <c r="E84" s="535" t="s">
        <v>2177</v>
      </c>
      <c r="F84" s="535" t="s">
        <v>2178</v>
      </c>
      <c r="G84" s="535" t="s">
        <v>2179</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2258</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2141</v>
      </c>
      <c r="B100" s="485" t="s">
        <v>2259</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2192</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2194</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2196</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2260</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2261</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2262</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2263</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2198</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4" t="s">
        <v>2264</v>
      </c>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IF(C2="——",ROUND(C50*D3/10000,0),ROUND(C50*D3/10000,0)-D2)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2222</v>
      </c>
      <c r="D3" s="359">
        <f>IF(D1="",'数据-汇总表'!E3,SUMIF('数据-汇总表'!$C19:$C33,D1,'数据-汇总表'!$E19:$E33))</f>
        <v>37711.240000000005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2223</v>
      </c>
      <c r="B4" s="362"/>
      <c r="C4" s="3469" t="s">
        <v>2224</v>
      </c>
      <c r="D4" s="3470"/>
      <c r="E4" s="3471" t="s">
        <v>2225</v>
      </c>
      <c r="F4" s="3472"/>
      <c r="G4" s="3469" t="s">
        <v>2226</v>
      </c>
      <c r="H4" s="3470"/>
      <c r="I4" s="3469" t="s">
        <v>2227</v>
      </c>
      <c r="J4" s="3470"/>
      <c r="K4" s="567" t="s">
        <v>2228</v>
      </c>
      <c r="L4" s="2894"/>
      <c r="M4" s="2895"/>
      <c r="N4" s="2895"/>
      <c r="O4" s="2895"/>
      <c r="P4" s="3503" t="s">
        <v>2229</v>
      </c>
      <c r="Q4" s="3504"/>
      <c r="R4" s="3498" t="s">
        <v>2225</v>
      </c>
      <c r="S4" s="3499"/>
      <c r="T4" s="3498" t="s">
        <v>2226</v>
      </c>
      <c r="U4" s="3499"/>
      <c r="V4" s="3507" t="s">
        <v>2227</v>
      </c>
      <c r="W4" s="3507"/>
      <c r="X4" s="2095"/>
      <c r="Y4" s="3498" t="s">
        <v>2229</v>
      </c>
      <c r="Z4" s="3499"/>
      <c r="AA4" s="3497" t="s">
        <v>2225</v>
      </c>
      <c r="AB4" s="3497" t="s">
        <v>2226</v>
      </c>
      <c r="AC4" s="3500" t="s">
        <v>2227</v>
      </c>
    </row>
    <row r="5" spans="1:29" ht="15">
      <c r="A5" s="364"/>
      <c r="B5" s="365"/>
      <c r="C5" s="3462" t="s">
        <v>2120</v>
      </c>
      <c r="D5" s="3463"/>
      <c r="E5" s="3460" t="s">
        <v>2121</v>
      </c>
      <c r="F5" s="3461"/>
      <c r="G5" s="3462" t="s">
        <v>2122</v>
      </c>
      <c r="H5" s="3463"/>
      <c r="I5" s="3462" t="s">
        <v>2123</v>
      </c>
      <c r="J5" s="3463"/>
      <c r="K5" s="567"/>
      <c r="L5" s="2894"/>
      <c r="M5" s="2895"/>
      <c r="N5" s="2895"/>
      <c r="O5" s="2895"/>
      <c r="P5" s="3505"/>
      <c r="Q5" s="3476"/>
      <c r="R5" s="3458"/>
      <c r="S5" s="3459"/>
      <c r="T5" s="3458"/>
      <c r="U5" s="3459"/>
      <c r="V5" s="3481"/>
      <c r="W5" s="3481"/>
      <c r="X5" s="1490"/>
      <c r="Y5" s="3458"/>
      <c r="Z5" s="3459"/>
      <c r="AA5" s="3452"/>
      <c r="AB5" s="3452"/>
      <c r="AC5" s="3501"/>
    </row>
    <row r="6" spans="1:29" ht="15.75" thickBot="1">
      <c r="A6" s="366"/>
      <c r="B6" s="367"/>
      <c r="C6" s="3464" t="s">
        <v>2124</v>
      </c>
      <c r="D6" s="3465"/>
      <c r="E6" s="3466" t="s">
        <v>2124</v>
      </c>
      <c r="F6" s="3467"/>
      <c r="G6" s="3464" t="s">
        <v>2124</v>
      </c>
      <c r="H6" s="3465"/>
      <c r="I6" s="3464" t="s">
        <v>2124</v>
      </c>
      <c r="J6" s="3465"/>
      <c r="K6" s="567" t="s">
        <v>2125</v>
      </c>
      <c r="L6" s="2894"/>
      <c r="M6" s="2895"/>
      <c r="N6" s="2895"/>
      <c r="O6" s="2895"/>
      <c r="P6" s="3506"/>
      <c r="Q6" s="3478"/>
      <c r="R6" s="3458"/>
      <c r="S6" s="3459"/>
      <c r="T6" s="3479"/>
      <c r="U6" s="3480"/>
      <c r="V6" s="3481"/>
      <c r="W6" s="3481"/>
      <c r="X6" s="1490"/>
      <c r="Y6" s="3479"/>
      <c r="Z6" s="3480"/>
      <c r="AA6" s="3453"/>
      <c r="AB6" s="3453"/>
      <c r="AC6" s="3502"/>
    </row>
    <row r="7" spans="1:29" s="113" customFormat="1" ht="15.75" thickBot="1">
      <c r="A7" s="368" t="s">
        <v>2126</v>
      </c>
      <c r="B7" s="369"/>
      <c r="C7" s="370">
        <f>'数据-取费表'!B2</f>
        <v>44768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2127</v>
      </c>
      <c r="Q7" s="3482"/>
      <c r="R7" s="710" t="s">
        <v>17</v>
      </c>
      <c r="S7" s="711">
        <f t="shared" ref="S7:S15" si="0">F7</f>
        <v>0</v>
      </c>
      <c r="T7" s="710" t="s">
        <v>17</v>
      </c>
      <c r="U7" s="711">
        <f t="shared" ref="U7:U15" si="1">H7</f>
        <v>0</v>
      </c>
      <c r="V7" s="710" t="s">
        <v>17</v>
      </c>
      <c r="W7" s="711">
        <f t="shared" ref="W7:W15" si="2">J7</f>
        <v>0</v>
      </c>
      <c r="X7" s="712"/>
      <c r="Y7" s="3454" t="s">
        <v>2127</v>
      </c>
      <c r="Z7" s="3455"/>
      <c r="AA7" s="713" t="e">
        <f>D7/F7</f>
        <v>#DIV/0!</v>
      </c>
      <c r="AB7" s="713" t="e">
        <f>D7/H7</f>
        <v>#DIV/0!</v>
      </c>
      <c r="AC7" s="2096"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2130</v>
      </c>
      <c r="Q8" s="3455"/>
      <c r="R8" s="710" t="s">
        <v>17</v>
      </c>
      <c r="S8" s="711">
        <f t="shared" si="0"/>
        <v>0</v>
      </c>
      <c r="T8" s="710" t="s">
        <v>17</v>
      </c>
      <c r="U8" s="711">
        <f t="shared" si="1"/>
        <v>0</v>
      </c>
      <c r="V8" s="710" t="s">
        <v>17</v>
      </c>
      <c r="W8" s="711">
        <f t="shared" si="2"/>
        <v>0</v>
      </c>
      <c r="X8" s="712"/>
      <c r="Y8" s="3454" t="s">
        <v>2130</v>
      </c>
      <c r="Z8" s="3455"/>
      <c r="AA8" s="713" t="e">
        <f t="shared" ref="AA8:AA47" si="3">D8/F8</f>
        <v>#DIV/0!</v>
      </c>
      <c r="AB8" s="713" t="e">
        <f t="shared" ref="AB8:AB47" si="4">D8/H8</f>
        <v>#DIV/0!</v>
      </c>
      <c r="AC8" s="2096"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2096">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6">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6">
        <f t="shared" si="5"/>
        <v>1</v>
      </c>
    </row>
    <row r="15" spans="1:29" ht="71.25">
      <c r="A15" s="399" t="s">
        <v>2137</v>
      </c>
      <c r="B15" s="585" t="s">
        <v>2265</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5" t="s">
        <v>2138</v>
      </c>
      <c r="Q15" s="1487" t="str">
        <f t="shared" si="6"/>
        <v>办公集聚程度</v>
      </c>
      <c r="R15" s="714" t="s">
        <v>17</v>
      </c>
      <c r="S15" s="715">
        <f t="shared" si="0"/>
        <v>100</v>
      </c>
      <c r="T15" s="714" t="s">
        <v>17</v>
      </c>
      <c r="U15" s="715">
        <f t="shared" si="1"/>
        <v>100</v>
      </c>
      <c r="V15" s="714" t="s">
        <v>17</v>
      </c>
      <c r="W15" s="715">
        <f t="shared" si="2"/>
        <v>100</v>
      </c>
      <c r="X15" s="1490"/>
      <c r="Y15" s="3488" t="s">
        <v>2138</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2099">
        <v>1</v>
      </c>
    </row>
    <row r="17" spans="1:29" ht="71.25">
      <c r="A17" s="387"/>
      <c r="B17" s="587" t="s">
        <v>1705</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2099">
        <v>1</v>
      </c>
    </row>
    <row r="19" spans="1:29" ht="42.75">
      <c r="A19" s="387"/>
      <c r="B19" s="587" t="s">
        <v>2266</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2099">
        <v>1</v>
      </c>
    </row>
    <row r="21" spans="1:29" ht="28.5">
      <c r="A21" s="387"/>
      <c r="B21" s="589" t="s">
        <v>2267</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6"/>
      <c r="Q22" s="1487"/>
      <c r="R22" s="714"/>
      <c r="S22" s="715"/>
      <c r="T22" s="714"/>
      <c r="U22" s="715"/>
      <c r="V22" s="714"/>
      <c r="W22" s="715"/>
      <c r="X22" s="1490"/>
      <c r="Y22" s="3489"/>
      <c r="Z22" s="1491"/>
      <c r="AA22" s="1488">
        <v>1</v>
      </c>
      <c r="AB22" s="1488">
        <v>1</v>
      </c>
      <c r="AC22" s="2099">
        <v>1</v>
      </c>
    </row>
    <row r="23" spans="1:29" ht="42.75">
      <c r="A23" s="387"/>
      <c r="B23" s="587" t="s">
        <v>2268</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6"/>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2099">
        <v>1</v>
      </c>
    </row>
    <row r="25" spans="1:29" ht="27">
      <c r="A25" s="364"/>
      <c r="B25" s="587" t="s">
        <v>2269</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6"/>
      <c r="Q25" s="1487" t="str">
        <f>B25</f>
        <v>毗邻道路的类型与等级</v>
      </c>
      <c r="R25" s="714" t="s">
        <v>17</v>
      </c>
      <c r="S25" s="715">
        <f>F25</f>
        <v>100</v>
      </c>
      <c r="T25" s="714" t="s">
        <v>17</v>
      </c>
      <c r="U25" s="715">
        <f>H25</f>
        <v>100</v>
      </c>
      <c r="V25" s="714" t="s">
        <v>17</v>
      </c>
      <c r="W25" s="715">
        <f>J25</f>
        <v>100</v>
      </c>
      <c r="X25" s="1490"/>
      <c r="Y25" s="348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6"/>
      <c r="Q26" s="1487"/>
      <c r="R26" s="714"/>
      <c r="S26" s="715"/>
      <c r="T26" s="714"/>
      <c r="U26" s="715"/>
      <c r="V26" s="714"/>
      <c r="W26" s="715"/>
      <c r="X26" s="1490"/>
      <c r="Y26" s="3489"/>
      <c r="Z26" s="1491"/>
      <c r="AA26" s="1488">
        <v>1</v>
      </c>
      <c r="AB26" s="1488">
        <v>1</v>
      </c>
      <c r="AC26" s="2099">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6"/>
      <c r="Q27" s="1487" t="str">
        <f t="shared" ref="Q27:Q47" si="11">B27</f>
        <v>楼层</v>
      </c>
      <c r="R27" s="714" t="s">
        <v>17</v>
      </c>
      <c r="S27" s="715">
        <f>F27</f>
        <v>100</v>
      </c>
      <c r="T27" s="714" t="s">
        <v>17</v>
      </c>
      <c r="U27" s="715">
        <f>H27</f>
        <v>100</v>
      </c>
      <c r="V27" s="714" t="s">
        <v>17</v>
      </c>
      <c r="W27" s="715">
        <f>J27</f>
        <v>100</v>
      </c>
      <c r="X27" s="1490"/>
      <c r="Y27" s="3489"/>
      <c r="Z27" s="1491" t="str">
        <f>Q27</f>
        <v>楼层</v>
      </c>
      <c r="AA27" s="1488">
        <f t="shared" si="3"/>
        <v>1</v>
      </c>
      <c r="AB27" s="1488">
        <f t="shared" si="4"/>
        <v>1</v>
      </c>
      <c r="AC27" s="2099">
        <f t="shared" si="5"/>
        <v>1</v>
      </c>
    </row>
    <row r="28" spans="1:29" s="113" customFormat="1" ht="15">
      <c r="A28" s="390"/>
      <c r="B28" s="587" t="s">
        <v>2270</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6"/>
      <c r="Q28" s="1478" t="str">
        <f t="shared" si="11"/>
        <v>朝向</v>
      </c>
      <c r="R28" s="710" t="s">
        <v>17</v>
      </c>
      <c r="S28" s="711">
        <f>F28</f>
        <v>100</v>
      </c>
      <c r="T28" s="710" t="s">
        <v>17</v>
      </c>
      <c r="U28" s="711">
        <f>H28</f>
        <v>100</v>
      </c>
      <c r="V28" s="710" t="s">
        <v>17</v>
      </c>
      <c r="W28" s="711">
        <f>J28</f>
        <v>100</v>
      </c>
      <c r="X28" s="712"/>
      <c r="Y28" s="348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6"/>
      <c r="Q29" s="1487">
        <f t="shared" si="11"/>
        <v>111</v>
      </c>
      <c r="R29" s="714" t="s">
        <v>17</v>
      </c>
      <c r="S29" s="715">
        <f t="shared" ref="S29:S47" si="12">F29</f>
        <v>100</v>
      </c>
      <c r="T29" s="714" t="s">
        <v>17</v>
      </c>
      <c r="U29" s="715">
        <f t="shared" ref="U29:U47" si="13">H29</f>
        <v>100</v>
      </c>
      <c r="V29" s="714" t="s">
        <v>17</v>
      </c>
      <c r="W29" s="715">
        <f t="shared" ref="W29:W47" si="14">J29</f>
        <v>100</v>
      </c>
      <c r="X29" s="1490"/>
      <c r="Y29" s="348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6"/>
      <c r="Q32" s="1487">
        <f t="shared" si="11"/>
        <v>111</v>
      </c>
      <c r="R32" s="714" t="s">
        <v>17</v>
      </c>
      <c r="S32" s="715">
        <f t="shared" si="12"/>
        <v>100</v>
      </c>
      <c r="T32" s="714" t="s">
        <v>17</v>
      </c>
      <c r="U32" s="715">
        <f t="shared" si="13"/>
        <v>100</v>
      </c>
      <c r="V32" s="714" t="s">
        <v>17</v>
      </c>
      <c r="W32" s="715">
        <f t="shared" si="14"/>
        <v>100</v>
      </c>
      <c r="X32" s="1490"/>
      <c r="Y32" s="3489"/>
      <c r="Z32" s="1491">
        <f t="shared" si="15"/>
        <v>111</v>
      </c>
      <c r="AA32" s="1488">
        <f t="shared" si="3"/>
        <v>1</v>
      </c>
      <c r="AB32" s="1488">
        <f t="shared" si="4"/>
        <v>1</v>
      </c>
      <c r="AC32" s="2099">
        <f t="shared" si="5"/>
        <v>1</v>
      </c>
    </row>
    <row r="33" spans="1:29" ht="15">
      <c r="A33" s="399" t="s">
        <v>2141</v>
      </c>
      <c r="B33" s="67" t="s">
        <v>2271</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0" t="s">
        <v>2143</v>
      </c>
      <c r="Q33" s="1487" t="str">
        <f t="shared" si="11"/>
        <v>建筑类型</v>
      </c>
      <c r="R33" s="714" t="s">
        <v>17</v>
      </c>
      <c r="S33" s="715">
        <f t="shared" si="12"/>
        <v>100</v>
      </c>
      <c r="T33" s="714" t="s">
        <v>17</v>
      </c>
      <c r="U33" s="715">
        <f t="shared" si="13"/>
        <v>100</v>
      </c>
      <c r="V33" s="714" t="s">
        <v>17</v>
      </c>
      <c r="W33" s="715">
        <f t="shared" si="14"/>
        <v>100</v>
      </c>
      <c r="X33" s="1490"/>
      <c r="Y33" s="3493" t="s">
        <v>2143</v>
      </c>
      <c r="Z33" s="1491" t="str">
        <f t="shared" si="15"/>
        <v>建筑类型</v>
      </c>
      <c r="AA33" s="1488">
        <f t="shared" si="3"/>
        <v>1</v>
      </c>
      <c r="AB33" s="1488">
        <f t="shared" si="4"/>
        <v>1</v>
      </c>
      <c r="AC33" s="2099">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488" t="e">
        <f t="shared" si="3"/>
        <v>#N/A</v>
      </c>
      <c r="AB34" s="1488" t="e">
        <f t="shared" si="4"/>
        <v>#N/A</v>
      </c>
      <c r="AC34" s="2099"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1"/>
      <c r="Q35" s="1487" t="str">
        <f t="shared" si="11"/>
        <v>建筑结构</v>
      </c>
      <c r="R35" s="714" t="s">
        <v>17</v>
      </c>
      <c r="S35" s="715">
        <f t="shared" si="12"/>
        <v>100</v>
      </c>
      <c r="T35" s="714" t="s">
        <v>17</v>
      </c>
      <c r="U35" s="715">
        <f t="shared" si="13"/>
        <v>100</v>
      </c>
      <c r="V35" s="714" t="s">
        <v>17</v>
      </c>
      <c r="W35" s="715">
        <f t="shared" si="14"/>
        <v>100</v>
      </c>
      <c r="X35" s="1490"/>
      <c r="Y35" s="3493"/>
      <c r="Z35" s="1491" t="str">
        <f t="shared" si="15"/>
        <v>建筑结构</v>
      </c>
      <c r="AA35" s="1488">
        <f t="shared" si="3"/>
        <v>1</v>
      </c>
      <c r="AB35" s="1488">
        <f t="shared" si="4"/>
        <v>1</v>
      </c>
      <c r="AC35" s="2099">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1"/>
      <c r="Q36" s="1487" t="str">
        <f t="shared" si="11"/>
        <v>公共部分装修</v>
      </c>
      <c r="R36" s="714" t="s">
        <v>17</v>
      </c>
      <c r="S36" s="715">
        <f t="shared" si="12"/>
        <v>100</v>
      </c>
      <c r="T36" s="714" t="s">
        <v>17</v>
      </c>
      <c r="U36" s="715">
        <f t="shared" si="13"/>
        <v>100</v>
      </c>
      <c r="V36" s="714" t="s">
        <v>17</v>
      </c>
      <c r="W36" s="715">
        <f t="shared" si="14"/>
        <v>100</v>
      </c>
      <c r="X36" s="1490"/>
      <c r="Y36" s="3493"/>
      <c r="Z36" s="1491" t="str">
        <f t="shared" si="15"/>
        <v>公共部分装修</v>
      </c>
      <c r="AA36" s="1488">
        <f t="shared" si="3"/>
        <v>1</v>
      </c>
      <c r="AB36" s="1488">
        <f t="shared" si="4"/>
        <v>1</v>
      </c>
      <c r="AC36" s="2099">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1"/>
      <c r="Q37" s="1487" t="str">
        <f t="shared" si="11"/>
        <v>成新度</v>
      </c>
      <c r="R37" s="714" t="s">
        <v>17</v>
      </c>
      <c r="S37" s="715" t="e">
        <f t="shared" si="12"/>
        <v>#N/A</v>
      </c>
      <c r="T37" s="714" t="s">
        <v>17</v>
      </c>
      <c r="U37" s="715" t="e">
        <f t="shared" si="13"/>
        <v>#N/A</v>
      </c>
      <c r="V37" s="714" t="s">
        <v>17</v>
      </c>
      <c r="W37" s="715" t="e">
        <f t="shared" si="14"/>
        <v>#N/A</v>
      </c>
      <c r="X37" s="1490"/>
      <c r="Y37" s="3493"/>
      <c r="Z37" s="1491" t="str">
        <f t="shared" si="15"/>
        <v>成新度</v>
      </c>
      <c r="AA37" s="1488" t="e">
        <f t="shared" si="3"/>
        <v>#N/A</v>
      </c>
      <c r="AB37" s="1488" t="e">
        <f t="shared" si="4"/>
        <v>#N/A</v>
      </c>
      <c r="AC37" s="2099"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1"/>
      <c r="Q38" s="1478"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096">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1" t="s">
        <v>2143</v>
      </c>
      <c r="Q39" s="1487" t="str">
        <f t="shared" si="11"/>
        <v>物业管理</v>
      </c>
      <c r="R39" s="714" t="s">
        <v>17</v>
      </c>
      <c r="S39" s="715">
        <f t="shared" si="12"/>
        <v>100</v>
      </c>
      <c r="T39" s="714" t="s">
        <v>17</v>
      </c>
      <c r="U39" s="715">
        <f t="shared" si="13"/>
        <v>100</v>
      </c>
      <c r="V39" s="714" t="s">
        <v>17</v>
      </c>
      <c r="W39" s="715">
        <f t="shared" si="14"/>
        <v>100</v>
      </c>
      <c r="X39" s="1490"/>
      <c r="Y39" s="3493" t="s">
        <v>2143</v>
      </c>
      <c r="Z39" s="1491" t="str">
        <f t="shared" si="15"/>
        <v>物业管理</v>
      </c>
      <c r="AA39" s="1488">
        <f t="shared" si="3"/>
        <v>1</v>
      </c>
      <c r="AB39" s="1488">
        <f t="shared" si="4"/>
        <v>1</v>
      </c>
      <c r="AC39" s="2099">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1"/>
      <c r="Q40" s="1487" t="str">
        <f t="shared" si="11"/>
        <v>市政基础设施</v>
      </c>
      <c r="R40" s="714" t="s">
        <v>17</v>
      </c>
      <c r="S40" s="715">
        <f t="shared" si="12"/>
        <v>100</v>
      </c>
      <c r="T40" s="714" t="s">
        <v>17</v>
      </c>
      <c r="U40" s="715">
        <f t="shared" si="13"/>
        <v>100</v>
      </c>
      <c r="V40" s="714" t="s">
        <v>17</v>
      </c>
      <c r="W40" s="715">
        <f t="shared" si="14"/>
        <v>100</v>
      </c>
      <c r="X40" s="1490"/>
      <c r="Y40" s="3493"/>
      <c r="Z40" s="1491" t="str">
        <f t="shared" si="15"/>
        <v>市政基础设施</v>
      </c>
      <c r="AA40" s="1488">
        <f t="shared" si="3"/>
        <v>1</v>
      </c>
      <c r="AB40" s="1488">
        <f t="shared" si="4"/>
        <v>1</v>
      </c>
      <c r="AC40" s="2099">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1"/>
      <c r="Q41" s="1487" t="str">
        <f t="shared" si="11"/>
        <v>层高</v>
      </c>
      <c r="R41" s="714" t="s">
        <v>17</v>
      </c>
      <c r="S41" s="715">
        <f t="shared" si="12"/>
        <v>100</v>
      </c>
      <c r="T41" s="714" t="s">
        <v>17</v>
      </c>
      <c r="U41" s="715">
        <f t="shared" si="13"/>
        <v>100</v>
      </c>
      <c r="V41" s="714" t="s">
        <v>17</v>
      </c>
      <c r="W41" s="715">
        <f t="shared" si="14"/>
        <v>100</v>
      </c>
      <c r="X41" s="1490"/>
      <c r="Y41" s="3493"/>
      <c r="Z41" s="1491" t="str">
        <f t="shared" si="15"/>
        <v>层高</v>
      </c>
      <c r="AA41" s="1488">
        <f t="shared" si="3"/>
        <v>1</v>
      </c>
      <c r="AB41" s="1488">
        <f t="shared" si="4"/>
        <v>1</v>
      </c>
      <c r="AC41" s="2099">
        <f t="shared" si="5"/>
        <v>1</v>
      </c>
    </row>
    <row r="42" spans="1:29" s="430" customFormat="1" ht="15">
      <c r="A42" s="427"/>
      <c r="B42" s="1489"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488">
        <f t="shared" si="3"/>
        <v>1</v>
      </c>
      <c r="AB42" s="1488">
        <f t="shared" si="4"/>
        <v>1</v>
      </c>
      <c r="AC42" s="2099">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1"/>
      <c r="Q43" s="1487" t="str">
        <f t="shared" si="11"/>
        <v>内部装修</v>
      </c>
      <c r="R43" s="714" t="s">
        <v>17</v>
      </c>
      <c r="S43" s="715">
        <f t="shared" si="12"/>
        <v>100</v>
      </c>
      <c r="T43" s="714" t="s">
        <v>17</v>
      </c>
      <c r="U43" s="715">
        <f t="shared" si="13"/>
        <v>100</v>
      </c>
      <c r="V43" s="714" t="s">
        <v>17</v>
      </c>
      <c r="W43" s="715">
        <f t="shared" si="14"/>
        <v>100</v>
      </c>
      <c r="X43" s="1490"/>
      <c r="Y43" s="3493"/>
      <c r="Z43" s="1491" t="str">
        <f t="shared" si="15"/>
        <v>内部装修</v>
      </c>
      <c r="AA43" s="1488">
        <f t="shared" si="3"/>
        <v>1</v>
      </c>
      <c r="AB43" s="1488">
        <f t="shared" si="4"/>
        <v>1</v>
      </c>
      <c r="AC43" s="2099">
        <f t="shared" si="5"/>
        <v>1</v>
      </c>
    </row>
    <row r="44" spans="1:29" ht="15">
      <c r="A44" s="431"/>
      <c r="B44" s="381" t="s">
        <v>2154</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1"/>
      <c r="Q44" s="1487" t="str">
        <f t="shared" si="11"/>
        <v>内部装修维护情况</v>
      </c>
      <c r="R44" s="714" t="s">
        <v>17</v>
      </c>
      <c r="S44" s="715">
        <f t="shared" si="12"/>
        <v>100</v>
      </c>
      <c r="T44" s="714" t="s">
        <v>17</v>
      </c>
      <c r="U44" s="715">
        <f t="shared" si="13"/>
        <v>100</v>
      </c>
      <c r="V44" s="714" t="s">
        <v>17</v>
      </c>
      <c r="W44" s="715">
        <f t="shared" si="14"/>
        <v>100</v>
      </c>
      <c r="X44" s="1490"/>
      <c r="Y44" s="349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1"/>
      <c r="Q45" s="1478">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2"/>
      <c r="Q47" s="1487">
        <f t="shared" si="11"/>
        <v>111</v>
      </c>
      <c r="R47" s="714" t="s">
        <v>17</v>
      </c>
      <c r="S47" s="715">
        <f t="shared" si="12"/>
        <v>100</v>
      </c>
      <c r="T47" s="714" t="s">
        <v>17</v>
      </c>
      <c r="U47" s="715">
        <f t="shared" si="13"/>
        <v>100</v>
      </c>
      <c r="V47" s="714" t="s">
        <v>17</v>
      </c>
      <c r="W47" s="715">
        <f t="shared" si="14"/>
        <v>100</v>
      </c>
      <c r="X47" s="1490"/>
      <c r="Y47" s="3494"/>
      <c r="Z47" s="1491">
        <f t="shared" si="15"/>
        <v>111</v>
      </c>
      <c r="AA47" s="1488">
        <f t="shared" si="3"/>
        <v>1</v>
      </c>
      <c r="AB47" s="1488">
        <f t="shared" si="4"/>
        <v>1</v>
      </c>
      <c r="AC47" s="2099">
        <f t="shared" si="5"/>
        <v>1</v>
      </c>
    </row>
    <row r="48" spans="1:29" ht="15">
      <c r="A48" s="438" t="s">
        <v>2155</v>
      </c>
      <c r="B48" s="439"/>
      <c r="C48" s="1269" t="s">
        <v>1</v>
      </c>
      <c r="D48" s="1270"/>
      <c r="E48" s="1271"/>
      <c r="F48" s="1272"/>
      <c r="G48" s="1273"/>
      <c r="H48" s="1274"/>
      <c r="I48" s="1271"/>
      <c r="J48" s="444"/>
      <c r="K48" s="723"/>
      <c r="L48" s="2903"/>
      <c r="M48" s="2895"/>
      <c r="N48" s="2895"/>
      <c r="O48" s="2895"/>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5.75" thickBot="1">
      <c r="A49" s="445" t="s">
        <v>2247</v>
      </c>
      <c r="B49" s="446"/>
      <c r="C49" s="1275" t="e">
        <f>R50</f>
        <v>#DIV/0!</v>
      </c>
      <c r="D49" s="2489" t="s">
        <v>2637</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3"/>
      <c r="M50" s="2895"/>
      <c r="N50" s="2895"/>
      <c r="O50" s="2895"/>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2252</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2126</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2163</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2128</v>
      </c>
      <c r="B62" s="467"/>
      <c r="C62" s="479" t="s">
        <v>2230</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2166</v>
      </c>
      <c r="B64" s="485" t="s">
        <v>2132</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2137</v>
      </c>
      <c r="B77" s="485" t="s">
        <v>2275</v>
      </c>
      <c r="C77" s="530" t="s">
        <v>2175</v>
      </c>
      <c r="D77" s="530" t="s">
        <v>2176</v>
      </c>
      <c r="E77" s="530" t="s">
        <v>2177</v>
      </c>
      <c r="F77" s="530" t="s">
        <v>2178</v>
      </c>
      <c r="G77" s="530" t="s">
        <v>2179</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2180</v>
      </c>
      <c r="C79" s="535" t="s">
        <v>2175</v>
      </c>
      <c r="D79" s="535" t="s">
        <v>2176</v>
      </c>
      <c r="E79" s="535" t="s">
        <v>2177</v>
      </c>
      <c r="F79" s="535" t="s">
        <v>2178</v>
      </c>
      <c r="G79" s="535" t="s">
        <v>2179</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2181</v>
      </c>
      <c r="C81" s="535" t="s">
        <v>2175</v>
      </c>
      <c r="D81" s="535" t="s">
        <v>2176</v>
      </c>
      <c r="E81" s="535" t="s">
        <v>2177</v>
      </c>
      <c r="F81" s="535" t="s">
        <v>2178</v>
      </c>
      <c r="G81" s="535" t="s">
        <v>2179</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2267</v>
      </c>
      <c r="C83" s="616" t="s">
        <v>2253</v>
      </c>
      <c r="D83" s="616" t="s">
        <v>2254</v>
      </c>
      <c r="E83" s="616" t="s">
        <v>2255</v>
      </c>
      <c r="F83" s="616" t="s">
        <v>2256</v>
      </c>
      <c r="G83" s="616" t="s">
        <v>2257</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2276</v>
      </c>
      <c r="C85" s="535" t="s">
        <v>2175</v>
      </c>
      <c r="D85" s="535" t="s">
        <v>2176</v>
      </c>
      <c r="E85" s="535" t="s">
        <v>2177</v>
      </c>
      <c r="F85" s="535" t="s">
        <v>2178</v>
      </c>
      <c r="G85" s="535" t="s">
        <v>2179</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2277</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2141</v>
      </c>
      <c r="B101" s="485" t="s">
        <v>2190</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2192</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2194</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2278</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2195</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2196</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2279</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2262</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2198</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4" t="s">
        <v>2280</v>
      </c>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8"/>
      <c r="D2" s="1019" t="e">
        <f ca="1">SUMIF(INDIRECT("'"&amp;F2&amp;"'"&amp;"!A:A"),"承租人权益价值",INDIRECT("'"&amp;F2&amp;"'"&amp;"!c:c"))</f>
        <v>#REF!</v>
      </c>
      <c r="E2" s="2019" t="s">
        <v>1909</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2222</v>
      </c>
      <c r="D3" s="359">
        <f>IF(D1="",'数据-汇总表'!E3,SUMIF('数据-汇总表'!$C19:$C33,D1,'数据-汇总表'!$E19:$E33))</f>
        <v>37711.240000000005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69" t="s">
        <v>2224</v>
      </c>
      <c r="D4" s="3470"/>
      <c r="E4" s="3471" t="s">
        <v>2225</v>
      </c>
      <c r="F4" s="3472"/>
      <c r="G4" s="3469" t="s">
        <v>2226</v>
      </c>
      <c r="H4" s="3470"/>
      <c r="I4" s="3469" t="s">
        <v>2227</v>
      </c>
      <c r="J4" s="3470"/>
      <c r="K4" s="567" t="s">
        <v>2228</v>
      </c>
      <c r="L4" s="1025"/>
      <c r="M4" s="1026"/>
      <c r="N4" s="1026"/>
      <c r="O4" s="1026"/>
      <c r="P4" s="3473" t="s">
        <v>2229</v>
      </c>
      <c r="Q4" s="3474"/>
      <c r="R4" s="3456" t="s">
        <v>2225</v>
      </c>
      <c r="S4" s="3457"/>
      <c r="T4" s="3456" t="s">
        <v>2226</v>
      </c>
      <c r="U4" s="3457"/>
      <c r="V4" s="3481" t="s">
        <v>2227</v>
      </c>
      <c r="W4" s="3481"/>
      <c r="X4" s="1490"/>
      <c r="Y4" s="3456" t="s">
        <v>2229</v>
      </c>
      <c r="Z4" s="3457"/>
      <c r="AA4" s="3451" t="s">
        <v>2225</v>
      </c>
      <c r="AB4" s="3452" t="s">
        <v>2226</v>
      </c>
      <c r="AC4" s="3451" t="s">
        <v>2227</v>
      </c>
    </row>
    <row r="5" spans="1:29" ht="15">
      <c r="A5" s="364"/>
      <c r="B5" s="365"/>
      <c r="C5" s="3462" t="s">
        <v>2120</v>
      </c>
      <c r="D5" s="3463"/>
      <c r="E5" s="3460" t="s">
        <v>2121</v>
      </c>
      <c r="F5" s="3461"/>
      <c r="G5" s="3462" t="s">
        <v>2122</v>
      </c>
      <c r="H5" s="3463"/>
      <c r="I5" s="3462" t="s">
        <v>2123</v>
      </c>
      <c r="J5" s="3463"/>
      <c r="K5" s="567"/>
      <c r="L5" s="1025"/>
      <c r="M5" s="1026"/>
      <c r="N5" s="1026"/>
      <c r="O5" s="1026"/>
      <c r="P5" s="3475"/>
      <c r="Q5" s="3476"/>
      <c r="R5" s="3458"/>
      <c r="S5" s="3459"/>
      <c r="T5" s="3458"/>
      <c r="U5" s="3459"/>
      <c r="V5" s="3481"/>
      <c r="W5" s="3481"/>
      <c r="X5" s="1490"/>
      <c r="Y5" s="3458"/>
      <c r="Z5" s="3459"/>
      <c r="AA5" s="3452"/>
      <c r="AB5" s="3452"/>
      <c r="AC5" s="3452"/>
    </row>
    <row r="6" spans="1:29" ht="15.75" thickBot="1">
      <c r="A6" s="366"/>
      <c r="B6" s="367"/>
      <c r="C6" s="3464" t="s">
        <v>2124</v>
      </c>
      <c r="D6" s="3465"/>
      <c r="E6" s="3466" t="s">
        <v>2124</v>
      </c>
      <c r="F6" s="3467"/>
      <c r="G6" s="3464" t="s">
        <v>2124</v>
      </c>
      <c r="H6" s="3465"/>
      <c r="I6" s="3464" t="s">
        <v>2124</v>
      </c>
      <c r="J6" s="3465"/>
      <c r="K6" s="567" t="s">
        <v>2125</v>
      </c>
      <c r="L6" s="1025"/>
      <c r="M6" s="1026"/>
      <c r="N6" s="1026"/>
      <c r="O6" s="1026"/>
      <c r="P6" s="3477"/>
      <c r="Q6" s="3478"/>
      <c r="R6" s="3458"/>
      <c r="S6" s="3459"/>
      <c r="T6" s="3479"/>
      <c r="U6" s="3480"/>
      <c r="V6" s="3481"/>
      <c r="W6" s="3481"/>
      <c r="X6" s="1490"/>
      <c r="Y6" s="3479"/>
      <c r="Z6" s="3480"/>
      <c r="AA6" s="3453"/>
      <c r="AB6" s="3453"/>
      <c r="AC6" s="3453"/>
    </row>
    <row r="7" spans="1:29" s="113" customFormat="1" ht="15.75" thickBot="1">
      <c r="A7" s="368" t="s">
        <v>2126</v>
      </c>
      <c r="B7" s="369"/>
      <c r="C7" s="370">
        <f>'数据-取费表'!B2</f>
        <v>44768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4" t="s">
        <v>2127</v>
      </c>
      <c r="Q7" s="3482"/>
      <c r="R7" s="710" t="s">
        <v>17</v>
      </c>
      <c r="S7" s="711">
        <f t="shared" ref="S7:S15" si="0">F7</f>
        <v>0</v>
      </c>
      <c r="T7" s="710" t="s">
        <v>17</v>
      </c>
      <c r="U7" s="711">
        <f t="shared" ref="U7:U15" si="1">H7</f>
        <v>0</v>
      </c>
      <c r="V7" s="710" t="s">
        <v>17</v>
      </c>
      <c r="W7" s="711">
        <f t="shared" ref="W7:W15" si="2">J7</f>
        <v>0</v>
      </c>
      <c r="X7" s="712"/>
      <c r="Y7" s="3454" t="s">
        <v>2127</v>
      </c>
      <c r="Z7" s="3455"/>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4" t="s">
        <v>2130</v>
      </c>
      <c r="Q8" s="3455"/>
      <c r="R8" s="710" t="s">
        <v>17</v>
      </c>
      <c r="S8" s="711">
        <f t="shared" si="0"/>
        <v>0</v>
      </c>
      <c r="T8" s="710" t="s">
        <v>17</v>
      </c>
      <c r="U8" s="711">
        <f t="shared" si="1"/>
        <v>0</v>
      </c>
      <c r="V8" s="710" t="s">
        <v>17</v>
      </c>
      <c r="W8" s="711">
        <f t="shared" si="2"/>
        <v>0</v>
      </c>
      <c r="X8" s="712"/>
      <c r="Y8" s="3454" t="s">
        <v>2130</v>
      </c>
      <c r="Z8" s="3455"/>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2137</v>
      </c>
      <c r="B15" s="65" t="s">
        <v>2281</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8" t="s">
        <v>2138</v>
      </c>
      <c r="Q15" s="1487" t="str">
        <f t="shared" si="6"/>
        <v>产业集聚程度</v>
      </c>
      <c r="R15" s="714" t="s">
        <v>17</v>
      </c>
      <c r="S15" s="715">
        <f t="shared" si="0"/>
        <v>100</v>
      </c>
      <c r="T15" s="714" t="s">
        <v>17</v>
      </c>
      <c r="U15" s="715">
        <f t="shared" si="1"/>
        <v>100</v>
      </c>
      <c r="V15" s="714" t="s">
        <v>17</v>
      </c>
      <c r="W15" s="715">
        <f t="shared" si="2"/>
        <v>100</v>
      </c>
      <c r="X15" s="1490"/>
      <c r="Y15" s="3488" t="s">
        <v>2138</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9"/>
      <c r="Q16" s="1487"/>
      <c r="R16" s="714"/>
      <c r="S16" s="715"/>
      <c r="T16" s="714"/>
      <c r="U16" s="715"/>
      <c r="V16" s="714"/>
      <c r="W16" s="715"/>
      <c r="X16" s="1490"/>
      <c r="Y16" s="3489"/>
      <c r="Z16" s="1491"/>
      <c r="AA16" s="1488">
        <v>1</v>
      </c>
      <c r="AB16" s="1488">
        <v>1</v>
      </c>
      <c r="AC16" s="1488">
        <v>1</v>
      </c>
    </row>
    <row r="17" spans="1:29" ht="85.5">
      <c r="A17" s="387"/>
      <c r="B17" s="410" t="s">
        <v>1705</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9"/>
      <c r="Q18" s="1487"/>
      <c r="R18" s="714"/>
      <c r="S18" s="715"/>
      <c r="T18" s="714"/>
      <c r="U18" s="715"/>
      <c r="V18" s="714"/>
      <c r="W18" s="715"/>
      <c r="X18" s="1490"/>
      <c r="Y18" s="3489"/>
      <c r="Z18" s="1491"/>
      <c r="AA18" s="1488">
        <v>1</v>
      </c>
      <c r="AB18" s="1488">
        <v>1</v>
      </c>
      <c r="AC18" s="1488">
        <v>1</v>
      </c>
    </row>
    <row r="19" spans="1:29" ht="42.75">
      <c r="A19" s="387"/>
      <c r="B19" s="410" t="s">
        <v>2266</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9"/>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9"/>
      <c r="Q20" s="1487"/>
      <c r="R20" s="714"/>
      <c r="S20" s="715"/>
      <c r="T20" s="714"/>
      <c r="U20" s="715"/>
      <c r="V20" s="714"/>
      <c r="W20" s="715"/>
      <c r="X20" s="1490"/>
      <c r="Y20" s="3489"/>
      <c r="Z20" s="1491"/>
      <c r="AA20" s="1488">
        <v>1</v>
      </c>
      <c r="AB20" s="1488">
        <v>1</v>
      </c>
      <c r="AC20" s="1488">
        <v>1</v>
      </c>
    </row>
    <row r="21" spans="1:29" ht="28.5">
      <c r="A21" s="387"/>
      <c r="B21" s="1246" t="s">
        <v>2267</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9"/>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9"/>
      <c r="Q22" s="1487"/>
      <c r="R22" s="714"/>
      <c r="S22" s="715"/>
      <c r="T22" s="714"/>
      <c r="U22" s="715"/>
      <c r="V22" s="714"/>
      <c r="W22" s="715"/>
      <c r="X22" s="1490"/>
      <c r="Y22" s="3489"/>
      <c r="Z22" s="1491"/>
      <c r="AA22" s="1488">
        <v>1</v>
      </c>
      <c r="AB22" s="1488">
        <v>1</v>
      </c>
      <c r="AC22" s="1488">
        <v>1</v>
      </c>
    </row>
    <row r="23" spans="1:29" ht="71.25">
      <c r="A23" s="387"/>
      <c r="B23" s="410" t="s">
        <v>2268</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9"/>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9"/>
      <c r="Q24" s="1487"/>
      <c r="R24" s="714"/>
      <c r="S24" s="715"/>
      <c r="T24" s="714"/>
      <c r="U24" s="715"/>
      <c r="V24" s="714"/>
      <c r="W24" s="715"/>
      <c r="X24" s="1490"/>
      <c r="Y24" s="348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9"/>
      <c r="Q25" s="1487">
        <f>B25</f>
        <v>111</v>
      </c>
      <c r="R25" s="714" t="s">
        <v>17</v>
      </c>
      <c r="S25" s="715">
        <f>F25</f>
        <v>100</v>
      </c>
      <c r="T25" s="714" t="s">
        <v>17</v>
      </c>
      <c r="U25" s="715">
        <f>H25</f>
        <v>100</v>
      </c>
      <c r="V25" s="714" t="s">
        <v>17</v>
      </c>
      <c r="W25" s="715">
        <f>J25</f>
        <v>100</v>
      </c>
      <c r="X25" s="1490"/>
      <c r="Y25" s="348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9"/>
      <c r="Q26" s="1487">
        <f t="shared" ref="Q26:Q40" si="11">B26</f>
        <v>111</v>
      </c>
      <c r="R26" s="714" t="s">
        <v>17</v>
      </c>
      <c r="S26" s="715">
        <f>F26</f>
        <v>100</v>
      </c>
      <c r="T26" s="714" t="s">
        <v>17</v>
      </c>
      <c r="U26" s="715">
        <f>H26</f>
        <v>100</v>
      </c>
      <c r="V26" s="714" t="s">
        <v>17</v>
      </c>
      <c r="W26" s="715">
        <f>J26</f>
        <v>100</v>
      </c>
      <c r="X26" s="1490"/>
      <c r="Y26" s="348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9"/>
      <c r="Q27" s="1478">
        <f t="shared" si="11"/>
        <v>111</v>
      </c>
      <c r="R27" s="710" t="s">
        <v>17</v>
      </c>
      <c r="S27" s="711">
        <f>F27</f>
        <v>100</v>
      </c>
      <c r="T27" s="710" t="s">
        <v>17</v>
      </c>
      <c r="U27" s="711">
        <f>H27</f>
        <v>100</v>
      </c>
      <c r="V27" s="710" t="s">
        <v>17</v>
      </c>
      <c r="W27" s="711">
        <f>J27</f>
        <v>100</v>
      </c>
      <c r="X27" s="712"/>
      <c r="Y27" s="348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9"/>
      <c r="Q28" s="1487">
        <f t="shared" si="11"/>
        <v>111</v>
      </c>
      <c r="R28" s="714" t="s">
        <v>17</v>
      </c>
      <c r="S28" s="715">
        <f t="shared" ref="S28:S40" si="12">F28</f>
        <v>100</v>
      </c>
      <c r="T28" s="714" t="s">
        <v>17</v>
      </c>
      <c r="U28" s="715">
        <f t="shared" ref="U28:U40" si="13">H28</f>
        <v>100</v>
      </c>
      <c r="V28" s="714" t="s">
        <v>17</v>
      </c>
      <c r="W28" s="715">
        <f t="shared" ref="W28:W40" si="14">J28</f>
        <v>100</v>
      </c>
      <c r="X28" s="1490"/>
      <c r="Y28" s="3489"/>
      <c r="Z28" s="1491">
        <f t="shared" ref="Z28:Z40" si="15">Q28</f>
        <v>111</v>
      </c>
      <c r="AA28" s="1488">
        <f t="shared" si="3"/>
        <v>1</v>
      </c>
      <c r="AB28" s="1488">
        <f t="shared" si="4"/>
        <v>1</v>
      </c>
      <c r="AC28" s="1488">
        <f t="shared" si="5"/>
        <v>1</v>
      </c>
    </row>
    <row r="29" spans="1:29" ht="28.5">
      <c r="A29" s="425" t="s">
        <v>2141</v>
      </c>
      <c r="B29" s="67" t="s">
        <v>2271</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2143</v>
      </c>
      <c r="Q29" s="1487" t="str">
        <f t="shared" si="11"/>
        <v>建筑类型</v>
      </c>
      <c r="R29" s="714" t="s">
        <v>17</v>
      </c>
      <c r="S29" s="715">
        <f t="shared" si="12"/>
        <v>100</v>
      </c>
      <c r="T29" s="714" t="s">
        <v>17</v>
      </c>
      <c r="U29" s="715">
        <f t="shared" si="13"/>
        <v>100</v>
      </c>
      <c r="V29" s="714" t="s">
        <v>17</v>
      </c>
      <c r="W29" s="715">
        <f t="shared" si="14"/>
        <v>100</v>
      </c>
      <c r="X29" s="1490"/>
      <c r="Y29" s="3493" t="s">
        <v>2143</v>
      </c>
      <c r="Z29" s="1491" t="str">
        <f t="shared" si="15"/>
        <v>建筑类型</v>
      </c>
      <c r="AA29" s="1488">
        <f t="shared" si="3"/>
        <v>1</v>
      </c>
      <c r="AB29" s="1488">
        <f t="shared" si="4"/>
        <v>1</v>
      </c>
      <c r="AC29" s="1488">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488" t="e">
        <f t="shared" si="3"/>
        <v>#N/A</v>
      </c>
      <c r="AB30" s="1488" t="e">
        <f t="shared" si="4"/>
        <v>#N/A</v>
      </c>
      <c r="AC30" s="1488"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3"/>
      <c r="Q31" s="1487" t="str">
        <f t="shared" si="11"/>
        <v>建筑结构</v>
      </c>
      <c r="R31" s="714" t="s">
        <v>17</v>
      </c>
      <c r="S31" s="715">
        <f t="shared" si="12"/>
        <v>100</v>
      </c>
      <c r="T31" s="714" t="s">
        <v>17</v>
      </c>
      <c r="U31" s="715">
        <f t="shared" si="13"/>
        <v>100</v>
      </c>
      <c r="V31" s="714" t="s">
        <v>17</v>
      </c>
      <c r="W31" s="715">
        <f t="shared" si="14"/>
        <v>100</v>
      </c>
      <c r="X31" s="1490"/>
      <c r="Y31" s="3493"/>
      <c r="Z31" s="1491" t="str">
        <f t="shared" si="15"/>
        <v>建筑结构</v>
      </c>
      <c r="AA31" s="1488">
        <f t="shared" si="3"/>
        <v>1</v>
      </c>
      <c r="AB31" s="1488">
        <f t="shared" si="4"/>
        <v>1</v>
      </c>
      <c r="AC31" s="1488">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3"/>
      <c r="Q32" s="1487" t="str">
        <f t="shared" si="11"/>
        <v>公共部分装修</v>
      </c>
      <c r="R32" s="714" t="s">
        <v>17</v>
      </c>
      <c r="S32" s="715">
        <f t="shared" si="12"/>
        <v>100</v>
      </c>
      <c r="T32" s="714" t="s">
        <v>17</v>
      </c>
      <c r="U32" s="715">
        <f t="shared" si="13"/>
        <v>100</v>
      </c>
      <c r="V32" s="714" t="s">
        <v>17</v>
      </c>
      <c r="W32" s="715">
        <f t="shared" si="14"/>
        <v>100</v>
      </c>
      <c r="X32" s="1490"/>
      <c r="Y32" s="3493"/>
      <c r="Z32" s="1491" t="str">
        <f t="shared" si="15"/>
        <v>公共部分装修</v>
      </c>
      <c r="AA32" s="1488">
        <f t="shared" si="3"/>
        <v>1</v>
      </c>
      <c r="AB32" s="1488">
        <f t="shared" si="4"/>
        <v>1</v>
      </c>
      <c r="AC32" s="1488">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3"/>
      <c r="Q33" s="1487" t="str">
        <f t="shared" si="11"/>
        <v>成新度</v>
      </c>
      <c r="R33" s="714" t="s">
        <v>17</v>
      </c>
      <c r="S33" s="715" t="e">
        <f t="shared" si="12"/>
        <v>#N/A</v>
      </c>
      <c r="T33" s="714" t="s">
        <v>17</v>
      </c>
      <c r="U33" s="715" t="e">
        <f t="shared" si="13"/>
        <v>#N/A</v>
      </c>
      <c r="V33" s="714" t="s">
        <v>17</v>
      </c>
      <c r="W33" s="715" t="e">
        <f t="shared" si="14"/>
        <v>#N/A</v>
      </c>
      <c r="X33" s="1490"/>
      <c r="Y33" s="3493"/>
      <c r="Z33" s="1491" t="str">
        <f t="shared" si="15"/>
        <v>成新度</v>
      </c>
      <c r="AA33" s="1488" t="e">
        <f t="shared" si="3"/>
        <v>#N/A</v>
      </c>
      <c r="AB33" s="1488" t="e">
        <f t="shared" si="4"/>
        <v>#N/A</v>
      </c>
      <c r="AC33" s="1488"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3"/>
      <c r="Q34" s="1478"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3" t="s">
        <v>2143</v>
      </c>
      <c r="Q35" s="1487" t="str">
        <f t="shared" si="11"/>
        <v>市政基础设施</v>
      </c>
      <c r="R35" s="714" t="s">
        <v>17</v>
      </c>
      <c r="S35" s="715">
        <f t="shared" si="12"/>
        <v>100</v>
      </c>
      <c r="T35" s="714" t="s">
        <v>17</v>
      </c>
      <c r="U35" s="715">
        <f t="shared" si="13"/>
        <v>100</v>
      </c>
      <c r="V35" s="714" t="s">
        <v>17</v>
      </c>
      <c r="W35" s="715">
        <f t="shared" si="14"/>
        <v>100</v>
      </c>
      <c r="X35" s="1490"/>
      <c r="Y35" s="3493" t="s">
        <v>2143</v>
      </c>
      <c r="Z35" s="1491" t="str">
        <f t="shared" si="15"/>
        <v>市政基础设施</v>
      </c>
      <c r="AA35" s="1488">
        <f t="shared" si="3"/>
        <v>1</v>
      </c>
      <c r="AB35" s="1488">
        <f t="shared" si="4"/>
        <v>1</v>
      </c>
      <c r="AC35" s="1488">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3"/>
      <c r="Q36" s="1487" t="str">
        <f t="shared" si="11"/>
        <v>内部装修</v>
      </c>
      <c r="R36" s="714" t="s">
        <v>17</v>
      </c>
      <c r="S36" s="715">
        <f t="shared" si="12"/>
        <v>100</v>
      </c>
      <c r="T36" s="714" t="s">
        <v>17</v>
      </c>
      <c r="U36" s="715">
        <f t="shared" si="13"/>
        <v>100</v>
      </c>
      <c r="V36" s="714" t="s">
        <v>17</v>
      </c>
      <c r="W36" s="715">
        <f t="shared" si="14"/>
        <v>100</v>
      </c>
      <c r="X36" s="1490"/>
      <c r="Y36" s="3493"/>
      <c r="Z36" s="1491" t="str">
        <f t="shared" si="15"/>
        <v>内部装修</v>
      </c>
      <c r="AA36" s="1488">
        <f t="shared" si="3"/>
        <v>1</v>
      </c>
      <c r="AB36" s="1488">
        <f t="shared" si="4"/>
        <v>1</v>
      </c>
      <c r="AC36" s="1488">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3"/>
      <c r="Q37" s="1487" t="str">
        <f t="shared" si="11"/>
        <v>内部装修状况</v>
      </c>
      <c r="R37" s="714" t="s">
        <v>17</v>
      </c>
      <c r="S37" s="715">
        <f t="shared" si="12"/>
        <v>100</v>
      </c>
      <c r="T37" s="714" t="s">
        <v>17</v>
      </c>
      <c r="U37" s="715">
        <f t="shared" si="13"/>
        <v>100</v>
      </c>
      <c r="V37" s="714" t="s">
        <v>17</v>
      </c>
      <c r="W37" s="715">
        <f t="shared" si="14"/>
        <v>100</v>
      </c>
      <c r="X37" s="1490"/>
      <c r="Y37" s="349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3"/>
      <c r="Q39" s="1487">
        <f t="shared" si="11"/>
        <v>111</v>
      </c>
      <c r="R39" s="714" t="s">
        <v>17</v>
      </c>
      <c r="S39" s="715">
        <f t="shared" si="12"/>
        <v>100</v>
      </c>
      <c r="T39" s="714" t="s">
        <v>17</v>
      </c>
      <c r="U39" s="715">
        <f t="shared" si="13"/>
        <v>100</v>
      </c>
      <c r="V39" s="714" t="s">
        <v>17</v>
      </c>
      <c r="W39" s="715">
        <f t="shared" si="14"/>
        <v>100</v>
      </c>
      <c r="X39" s="1490"/>
      <c r="Y39" s="349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4"/>
      <c r="Q40" s="1487">
        <f t="shared" si="11"/>
        <v>111</v>
      </c>
      <c r="R40" s="714" t="s">
        <v>17</v>
      </c>
      <c r="S40" s="715">
        <f t="shared" si="12"/>
        <v>100</v>
      </c>
      <c r="T40" s="714" t="s">
        <v>17</v>
      </c>
      <c r="U40" s="715">
        <f t="shared" si="13"/>
        <v>100</v>
      </c>
      <c r="V40" s="714" t="s">
        <v>17</v>
      </c>
      <c r="W40" s="715">
        <f t="shared" si="14"/>
        <v>100</v>
      </c>
      <c r="X40" s="1490"/>
      <c r="Y40" s="3494"/>
      <c r="Z40" s="1491">
        <f t="shared" si="15"/>
        <v>111</v>
      </c>
      <c r="AA40" s="1488">
        <f t="shared" si="3"/>
        <v>1</v>
      </c>
      <c r="AB40" s="1488">
        <f t="shared" si="4"/>
        <v>1</v>
      </c>
      <c r="AC40" s="1488">
        <f t="shared" si="5"/>
        <v>1</v>
      </c>
    </row>
    <row r="41" spans="1:29" ht="15">
      <c r="A41" s="438" t="s">
        <v>2155</v>
      </c>
      <c r="B41" s="439"/>
      <c r="C41" s="1269" t="s">
        <v>1</v>
      </c>
      <c r="D41" s="1270"/>
      <c r="E41" s="1271"/>
      <c r="F41" s="1272"/>
      <c r="G41" s="1273"/>
      <c r="H41" s="1274"/>
      <c r="I41" s="1271"/>
      <c r="J41" s="1274"/>
      <c r="K41" s="723"/>
      <c r="L41" s="1038"/>
      <c r="M41" s="1039"/>
      <c r="N41" s="1026"/>
      <c r="O41" s="1039"/>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5.75" thickBot="1">
      <c r="A42" s="445" t="s">
        <v>2247</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9"/>
      <c r="O54" s="2950"/>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估价对象为北京市房地产，为所有。根据《国有土地使用证》[]，估价对象（分摊）出让国有建设用地使用权面积为18193.39平方米，建筑面积为37711.24平方米。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估价对象为北京市房地产,属开发建设的，该项目尚在开发建设中。根据《国有土地使用证》[]，估价对象（分摊）出让国有建设用地使用权面积为18193.39平方米，规划建筑面积为37711.24平方米。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2022年7月26日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47"/>
      <c r="F1" s="2016"/>
      <c r="G1" s="1348" t="s">
        <v>2221</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2223</v>
      </c>
      <c r="B4" s="362"/>
      <c r="C4" s="3469" t="s">
        <v>2224</v>
      </c>
      <c r="D4" s="3470"/>
      <c r="E4" s="3471" t="s">
        <v>2225</v>
      </c>
      <c r="F4" s="3472"/>
      <c r="G4" s="3469" t="s">
        <v>2226</v>
      </c>
      <c r="H4" s="3470"/>
      <c r="I4" s="3469" t="s">
        <v>2227</v>
      </c>
      <c r="J4" s="3470"/>
      <c r="K4" s="567" t="s">
        <v>2228</v>
      </c>
      <c r="L4" s="2894"/>
      <c r="M4" s="2895"/>
      <c r="N4" s="2895"/>
      <c r="O4" s="2895"/>
      <c r="P4" s="3473" t="s">
        <v>2229</v>
      </c>
      <c r="Q4" s="3474"/>
      <c r="R4" s="3456" t="s">
        <v>2225</v>
      </c>
      <c r="S4" s="3457"/>
      <c r="T4" s="3456" t="s">
        <v>2226</v>
      </c>
      <c r="U4" s="3457"/>
      <c r="V4" s="3481" t="s">
        <v>2227</v>
      </c>
      <c r="W4" s="3481"/>
      <c r="X4" s="1490"/>
      <c r="Y4" s="3456" t="s">
        <v>2229</v>
      </c>
      <c r="Z4" s="3457"/>
      <c r="AA4" s="3451" t="s">
        <v>2225</v>
      </c>
      <c r="AB4" s="3452" t="s">
        <v>2226</v>
      </c>
      <c r="AC4" s="3451" t="s">
        <v>2227</v>
      </c>
    </row>
    <row r="5" spans="1:29" ht="15">
      <c r="A5" s="364"/>
      <c r="B5" s="365"/>
      <c r="C5" s="3462" t="s">
        <v>2120</v>
      </c>
      <c r="D5" s="3463"/>
      <c r="E5" s="3460" t="s">
        <v>2121</v>
      </c>
      <c r="F5" s="3461"/>
      <c r="G5" s="3462" t="s">
        <v>2122</v>
      </c>
      <c r="H5" s="3463"/>
      <c r="I5" s="3462" t="s">
        <v>2123</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2124</v>
      </c>
      <c r="D6" s="3465"/>
      <c r="E6" s="3466" t="s">
        <v>2124</v>
      </c>
      <c r="F6" s="3467"/>
      <c r="G6" s="3464" t="s">
        <v>2124</v>
      </c>
      <c r="H6" s="3465"/>
      <c r="I6" s="3464" t="s">
        <v>2124</v>
      </c>
      <c r="J6" s="3465"/>
      <c r="K6" s="567" t="s">
        <v>2125</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2126</v>
      </c>
      <c r="B7" s="369"/>
      <c r="C7" s="370">
        <f>'数据-取费表'!B2</f>
        <v>44768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4" t="s">
        <v>2127</v>
      </c>
      <c r="Q7" s="3482"/>
      <c r="R7" s="710" t="s">
        <v>17</v>
      </c>
      <c r="S7" s="711">
        <f t="shared" ref="S7:S14" si="0">F7</f>
        <v>0</v>
      </c>
      <c r="T7" s="710" t="s">
        <v>17</v>
      </c>
      <c r="U7" s="711">
        <f t="shared" ref="U7:U14" si="1">H7</f>
        <v>0</v>
      </c>
      <c r="V7" s="710" t="s">
        <v>17</v>
      </c>
      <c r="W7" s="711">
        <f t="shared" ref="W7:W14" si="2">J7</f>
        <v>0</v>
      </c>
      <c r="X7" s="712"/>
      <c r="Y7" s="3454" t="s">
        <v>2127</v>
      </c>
      <c r="Z7" s="3455"/>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4" t="s">
        <v>2130</v>
      </c>
      <c r="Q8" s="3455"/>
      <c r="R8" s="710" t="s">
        <v>17</v>
      </c>
      <c r="S8" s="711">
        <f t="shared" si="0"/>
        <v>0</v>
      </c>
      <c r="T8" s="710" t="s">
        <v>17</v>
      </c>
      <c r="U8" s="711">
        <f t="shared" si="1"/>
        <v>0</v>
      </c>
      <c r="V8" s="710" t="s">
        <v>17</v>
      </c>
      <c r="W8" s="711">
        <f t="shared" si="2"/>
        <v>0</v>
      </c>
      <c r="X8" s="712"/>
      <c r="Y8" s="3454" t="s">
        <v>2130</v>
      </c>
      <c r="Z8" s="3455"/>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6" t="s">
        <v>2133</v>
      </c>
      <c r="Q9" s="1478" t="str">
        <f t="shared" ref="Q9:Q14" si="6">B9</f>
        <v>用途</v>
      </c>
      <c r="R9" s="710" t="s">
        <v>17</v>
      </c>
      <c r="S9" s="711">
        <f t="shared" si="0"/>
        <v>100</v>
      </c>
      <c r="T9" s="710" t="s">
        <v>17</v>
      </c>
      <c r="U9" s="711">
        <f t="shared" si="1"/>
        <v>100</v>
      </c>
      <c r="V9" s="710" t="s">
        <v>17</v>
      </c>
      <c r="W9" s="711">
        <f t="shared" si="2"/>
        <v>100</v>
      </c>
      <c r="X9" s="712"/>
      <c r="Y9" s="3398"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61" t="s">
        <v>2137</v>
      </c>
      <c r="B14" s="585" t="s">
        <v>2287</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8" t="s">
        <v>2138</v>
      </c>
      <c r="Q14" s="1487" t="str">
        <f t="shared" si="6"/>
        <v>交通便捷度</v>
      </c>
      <c r="R14" s="714" t="s">
        <v>17</v>
      </c>
      <c r="S14" s="715">
        <f t="shared" si="0"/>
        <v>100</v>
      </c>
      <c r="T14" s="714" t="s">
        <v>17</v>
      </c>
      <c r="U14" s="715">
        <f t="shared" si="1"/>
        <v>100</v>
      </c>
      <c r="V14" s="714" t="s">
        <v>17</v>
      </c>
      <c r="W14" s="715">
        <f t="shared" si="2"/>
        <v>100</v>
      </c>
      <c r="X14" s="1490"/>
      <c r="Y14" s="3488" t="s">
        <v>2138</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9"/>
      <c r="Q15" s="1487"/>
      <c r="R15" s="714"/>
      <c r="S15" s="715"/>
      <c r="T15" s="714"/>
      <c r="U15" s="715"/>
      <c r="V15" s="714"/>
      <c r="W15" s="715"/>
      <c r="X15" s="1490"/>
      <c r="Y15" s="3489"/>
      <c r="Z15" s="1491"/>
      <c r="AA15" s="1488">
        <v>1</v>
      </c>
      <c r="AB15" s="1488">
        <v>1</v>
      </c>
      <c r="AC15" s="1488">
        <v>1</v>
      </c>
    </row>
    <row r="16" spans="1:29" ht="42.75">
      <c r="A16" s="364"/>
      <c r="B16" s="587" t="s">
        <v>2266</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9"/>
      <c r="Q17" s="1487"/>
      <c r="R17" s="714"/>
      <c r="S17" s="715"/>
      <c r="T17" s="714"/>
      <c r="U17" s="715"/>
      <c r="V17" s="714"/>
      <c r="W17" s="715"/>
      <c r="X17" s="1490"/>
      <c r="Y17" s="3489"/>
      <c r="Z17" s="1491"/>
      <c r="AA17" s="1488">
        <v>1</v>
      </c>
      <c r="AB17" s="1488">
        <v>1</v>
      </c>
      <c r="AC17" s="1488">
        <v>1</v>
      </c>
    </row>
    <row r="18" spans="1:29" ht="28.5">
      <c r="A18" s="364"/>
      <c r="B18" s="589" t="s">
        <v>2267</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9"/>
      <c r="Q19" s="1487"/>
      <c r="R19" s="714"/>
      <c r="S19" s="715"/>
      <c r="T19" s="714"/>
      <c r="U19" s="715"/>
      <c r="V19" s="714"/>
      <c r="W19" s="715"/>
      <c r="X19" s="1490"/>
      <c r="Y19" s="3489"/>
      <c r="Z19" s="1491"/>
      <c r="AA19" s="1488">
        <v>1</v>
      </c>
      <c r="AB19" s="1488">
        <v>1</v>
      </c>
      <c r="AC19" s="1488">
        <v>1</v>
      </c>
    </row>
    <row r="20" spans="1:29" ht="57">
      <c r="A20" s="364"/>
      <c r="B20" s="587" t="s">
        <v>2288</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9"/>
      <c r="Q21" s="1487"/>
      <c r="R21" s="714"/>
      <c r="S21" s="715"/>
      <c r="T21" s="714"/>
      <c r="U21" s="715"/>
      <c r="V21" s="714"/>
      <c r="W21" s="715"/>
      <c r="X21" s="1490"/>
      <c r="Y21" s="3489"/>
      <c r="Z21" s="1491"/>
      <c r="AA21" s="1488">
        <v>1</v>
      </c>
      <c r="AB21" s="1488">
        <v>1</v>
      </c>
      <c r="AC21" s="1488">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9"/>
      <c r="Q24" s="1487">
        <f t="shared" ref="Q24:Q36"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608" t="s">
        <v>2141</v>
      </c>
      <c r="B26" s="66" t="s">
        <v>2290</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2143</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3" t="s">
        <v>2143</v>
      </c>
      <c r="Z26" s="1491" t="str">
        <f t="shared" ref="Z26:Z36" si="15">Q26</f>
        <v>配套类型</v>
      </c>
      <c r="AA26" s="1488">
        <f t="shared" si="3"/>
        <v>1</v>
      </c>
      <c r="AB26" s="1488">
        <f t="shared" si="4"/>
        <v>1</v>
      </c>
      <c r="AC26" s="1488">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488">
        <f t="shared" si="3"/>
        <v>1</v>
      </c>
      <c r="AB27" s="1488">
        <f t="shared" si="4"/>
        <v>1</v>
      </c>
      <c r="AC27" s="1488">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3"/>
      <c r="Q28" s="1487" t="str">
        <f t="shared" si="11"/>
        <v>公共部分装修</v>
      </c>
      <c r="R28" s="714" t="s">
        <v>17</v>
      </c>
      <c r="S28" s="715">
        <f t="shared" si="12"/>
        <v>100</v>
      </c>
      <c r="T28" s="714" t="s">
        <v>17</v>
      </c>
      <c r="U28" s="715">
        <f t="shared" si="13"/>
        <v>100</v>
      </c>
      <c r="V28" s="714" t="s">
        <v>17</v>
      </c>
      <c r="W28" s="715">
        <f t="shared" si="14"/>
        <v>100</v>
      </c>
      <c r="X28" s="1490"/>
      <c r="Y28" s="3493"/>
      <c r="Z28" s="1491" t="str">
        <f t="shared" si="15"/>
        <v>公共部分装修</v>
      </c>
      <c r="AA28" s="1488">
        <f t="shared" si="3"/>
        <v>1</v>
      </c>
      <c r="AB28" s="1488">
        <f t="shared" si="4"/>
        <v>1</v>
      </c>
      <c r="AC28" s="1488">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3"/>
      <c r="Q29" s="1487" t="str">
        <f t="shared" si="11"/>
        <v>成新率</v>
      </c>
      <c r="R29" s="714" t="s">
        <v>17</v>
      </c>
      <c r="S29" s="715" t="e">
        <f t="shared" si="12"/>
        <v>#N/A</v>
      </c>
      <c r="T29" s="714" t="s">
        <v>17</v>
      </c>
      <c r="U29" s="715" t="e">
        <f t="shared" si="13"/>
        <v>#N/A</v>
      </c>
      <c r="V29" s="714" t="s">
        <v>17</v>
      </c>
      <c r="W29" s="715" t="e">
        <f t="shared" si="14"/>
        <v>#N/A</v>
      </c>
      <c r="X29" s="1490"/>
      <c r="Y29" s="3493"/>
      <c r="Z29" s="1491" t="str">
        <f t="shared" si="15"/>
        <v>成新率</v>
      </c>
      <c r="AA29" s="1488" t="e">
        <f t="shared" si="3"/>
        <v>#N/A</v>
      </c>
      <c r="AB29" s="1488" t="e">
        <f t="shared" si="4"/>
        <v>#N/A</v>
      </c>
      <c r="AC29" s="1488"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3"/>
      <c r="Q30" s="1487" t="str">
        <f t="shared" si="11"/>
        <v>物业等级</v>
      </c>
      <c r="R30" s="714" t="s">
        <v>17</v>
      </c>
      <c r="S30" s="715">
        <f t="shared" si="12"/>
        <v>100</v>
      </c>
      <c r="T30" s="714" t="s">
        <v>17</v>
      </c>
      <c r="U30" s="715">
        <f t="shared" si="13"/>
        <v>100</v>
      </c>
      <c r="V30" s="714" t="s">
        <v>17</v>
      </c>
      <c r="W30" s="715">
        <f t="shared" si="14"/>
        <v>100</v>
      </c>
      <c r="X30" s="1490"/>
      <c r="Y30" s="3493"/>
      <c r="Z30" s="1491" t="str">
        <f t="shared" si="15"/>
        <v>物业等级</v>
      </c>
      <c r="AA30" s="1488">
        <f t="shared" si="3"/>
        <v>1</v>
      </c>
      <c r="AB30" s="1488">
        <f t="shared" si="4"/>
        <v>1</v>
      </c>
      <c r="AC30" s="1488">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3"/>
      <c r="Q31" s="1478"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3" t="s">
        <v>2143</v>
      </c>
      <c r="Q32" s="1487" t="str">
        <f t="shared" si="11"/>
        <v>车位类型</v>
      </c>
      <c r="R32" s="714" t="s">
        <v>17</v>
      </c>
      <c r="S32" s="715">
        <f t="shared" si="12"/>
        <v>100</v>
      </c>
      <c r="T32" s="714" t="s">
        <v>17</v>
      </c>
      <c r="U32" s="715">
        <f t="shared" si="13"/>
        <v>100</v>
      </c>
      <c r="V32" s="714" t="s">
        <v>17</v>
      </c>
      <c r="W32" s="715">
        <f t="shared" si="14"/>
        <v>100</v>
      </c>
      <c r="X32" s="1490"/>
      <c r="Y32" s="3493" t="s">
        <v>2143</v>
      </c>
      <c r="Z32" s="1491" t="str">
        <f t="shared" si="15"/>
        <v>车位类型</v>
      </c>
      <c r="AA32" s="1488">
        <f t="shared" si="3"/>
        <v>1</v>
      </c>
      <c r="AB32" s="1488">
        <f t="shared" si="4"/>
        <v>1</v>
      </c>
      <c r="AC32" s="1488">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3"/>
      <c r="Q33" s="1487" t="str">
        <f t="shared" si="11"/>
        <v>是否直接入户</v>
      </c>
      <c r="R33" s="714" t="s">
        <v>17</v>
      </c>
      <c r="S33" s="715">
        <f t="shared" si="12"/>
        <v>100</v>
      </c>
      <c r="T33" s="714" t="s">
        <v>17</v>
      </c>
      <c r="U33" s="715">
        <f t="shared" si="13"/>
        <v>100</v>
      </c>
      <c r="V33" s="714" t="s">
        <v>17</v>
      </c>
      <c r="W33" s="715">
        <f t="shared" si="14"/>
        <v>100</v>
      </c>
      <c r="X33" s="1490"/>
      <c r="Y33" s="349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3"/>
      <c r="Q36" s="1487">
        <f t="shared" si="11"/>
        <v>111</v>
      </c>
      <c r="R36" s="714" t="s">
        <v>17</v>
      </c>
      <c r="S36" s="715">
        <f t="shared" si="12"/>
        <v>100</v>
      </c>
      <c r="T36" s="714" t="s">
        <v>17</v>
      </c>
      <c r="U36" s="715">
        <f t="shared" si="13"/>
        <v>100</v>
      </c>
      <c r="V36" s="714" t="s">
        <v>17</v>
      </c>
      <c r="W36" s="715">
        <f t="shared" si="14"/>
        <v>100</v>
      </c>
      <c r="X36" s="1490"/>
      <c r="Y36" s="3493"/>
      <c r="Z36" s="1491">
        <f t="shared" si="15"/>
        <v>111</v>
      </c>
      <c r="AA36" s="1488">
        <f t="shared" si="3"/>
        <v>1</v>
      </c>
      <c r="AB36" s="1488">
        <f t="shared" si="4"/>
        <v>1</v>
      </c>
      <c r="AC36" s="1488">
        <f t="shared" si="5"/>
        <v>1</v>
      </c>
    </row>
    <row r="37" spans="1:29" ht="15">
      <c r="A37" s="438" t="s">
        <v>2298</v>
      </c>
      <c r="B37" s="2110" t="s">
        <v>2299</v>
      </c>
      <c r="C37" s="1269" t="s">
        <v>1</v>
      </c>
      <c r="D37" s="1270"/>
      <c r="E37" s="1271"/>
      <c r="F37" s="1272"/>
      <c r="G37" s="1273"/>
      <c r="H37" s="1274"/>
      <c r="I37" s="1271"/>
      <c r="J37" s="1274"/>
      <c r="K37" s="576"/>
      <c r="L37" s="2903"/>
      <c r="M37" s="2904"/>
      <c r="N37" s="2895"/>
      <c r="O37" s="2904"/>
      <c r="P37" s="3486" t="str">
        <f>A37</f>
        <v>成交单价</v>
      </c>
      <c r="Q37" s="3486"/>
      <c r="R37" s="3487">
        <f>E37</f>
        <v>0</v>
      </c>
      <c r="S37" s="3487"/>
      <c r="T37" s="3487">
        <f>G37</f>
        <v>0</v>
      </c>
      <c r="U37" s="3487"/>
      <c r="V37" s="3487">
        <f>I37</f>
        <v>0</v>
      </c>
      <c r="W37" s="3487"/>
      <c r="X37" s="699"/>
      <c r="Y37" s="721"/>
      <c r="Z37" s="699"/>
      <c r="AA37" s="699"/>
      <c r="AB37" s="699"/>
      <c r="AC37" s="699"/>
    </row>
    <row r="38" spans="1:29" ht="15.75" thickBot="1">
      <c r="A38" s="445" t="s">
        <v>2300</v>
      </c>
      <c r="B38" s="446" t="str">
        <f>B37</f>
        <v>元/车位</v>
      </c>
      <c r="C38" s="1275" t="e">
        <f>R39</f>
        <v>#DIV/0!</v>
      </c>
      <c r="D38" s="2489" t="s">
        <v>2637</v>
      </c>
      <c r="E38" s="1276" t="e">
        <f>R38</f>
        <v>#DIV/0!</v>
      </c>
      <c r="F38" s="2490"/>
      <c r="G38" s="1275" t="e">
        <f>T38</f>
        <v>#DIV/0!</v>
      </c>
      <c r="H38" s="2490"/>
      <c r="I38" s="1276" t="e">
        <f>V38</f>
        <v>#DIV/0!</v>
      </c>
      <c r="J38" s="2490"/>
      <c r="K38" s="2492">
        <f>F38+H38+J38</f>
        <v>0</v>
      </c>
      <c r="L38" s="2903"/>
      <c r="M38" s="2904"/>
      <c r="N38" s="2904"/>
      <c r="O38" s="2904"/>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3"/>
      <c r="M39" s="2904"/>
      <c r="N39" s="2904"/>
      <c r="O39" s="2904"/>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2305</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2306</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2163</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2128</v>
      </c>
      <c r="B51" s="467"/>
      <c r="C51" s="479" t="s">
        <v>2230</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2166</v>
      </c>
      <c r="B53" s="485" t="s">
        <v>2132</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2181</v>
      </c>
      <c r="C65" s="535" t="s">
        <v>2175</v>
      </c>
      <c r="D65" s="535" t="s">
        <v>2176</v>
      </c>
      <c r="E65" s="535" t="s">
        <v>2177</v>
      </c>
      <c r="F65" s="535" t="s">
        <v>2178</v>
      </c>
      <c r="G65" s="535" t="s">
        <v>2179</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2267</v>
      </c>
      <c r="C67" s="616" t="s">
        <v>2253</v>
      </c>
      <c r="D67" s="616" t="s">
        <v>2254</v>
      </c>
      <c r="E67" s="616" t="s">
        <v>2255</v>
      </c>
      <c r="F67" s="616" t="s">
        <v>2256</v>
      </c>
      <c r="G67" s="616" t="s">
        <v>2257</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2187</v>
      </c>
      <c r="C69" s="535" t="s">
        <v>2175</v>
      </c>
      <c r="D69" s="535" t="s">
        <v>2176</v>
      </c>
      <c r="E69" s="535" t="s">
        <v>2177</v>
      </c>
      <c r="F69" s="535" t="s">
        <v>2178</v>
      </c>
      <c r="G69" s="535" t="s">
        <v>2179</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2307</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2141</v>
      </c>
      <c r="B79" s="485" t="s">
        <v>2308</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2309</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2194</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2311</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2313</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2314</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2222</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2223</v>
      </c>
      <c r="B4" s="362"/>
      <c r="C4" s="3469" t="s">
        <v>2224</v>
      </c>
      <c r="D4" s="3470"/>
      <c r="E4" s="3471" t="s">
        <v>2225</v>
      </c>
      <c r="F4" s="3472"/>
      <c r="G4" s="3469" t="s">
        <v>2226</v>
      </c>
      <c r="H4" s="3470"/>
      <c r="I4" s="3469" t="s">
        <v>2227</v>
      </c>
      <c r="J4" s="3470"/>
      <c r="K4" s="567" t="s">
        <v>2228</v>
      </c>
      <c r="L4" s="2894"/>
      <c r="M4" s="2895"/>
      <c r="N4" s="2895"/>
      <c r="O4" s="2895"/>
      <c r="P4" s="3473" t="s">
        <v>2229</v>
      </c>
      <c r="Q4" s="3474"/>
      <c r="R4" s="3456" t="s">
        <v>2225</v>
      </c>
      <c r="S4" s="3457"/>
      <c r="T4" s="3456" t="s">
        <v>2226</v>
      </c>
      <c r="U4" s="3457"/>
      <c r="V4" s="3481" t="s">
        <v>2227</v>
      </c>
      <c r="W4" s="3481"/>
      <c r="X4" s="1490"/>
      <c r="Y4" s="3456" t="s">
        <v>2229</v>
      </c>
      <c r="Z4" s="3457"/>
      <c r="AA4" s="3451" t="s">
        <v>2225</v>
      </c>
      <c r="AB4" s="3452" t="s">
        <v>2226</v>
      </c>
      <c r="AC4" s="3451" t="s">
        <v>2227</v>
      </c>
    </row>
    <row r="5" spans="1:29" ht="15">
      <c r="A5" s="364"/>
      <c r="B5" s="365"/>
      <c r="C5" s="3462" t="s">
        <v>2120</v>
      </c>
      <c r="D5" s="3463"/>
      <c r="E5" s="3460" t="s">
        <v>2121</v>
      </c>
      <c r="F5" s="3461"/>
      <c r="G5" s="3462" t="s">
        <v>2122</v>
      </c>
      <c r="H5" s="3463"/>
      <c r="I5" s="3462" t="s">
        <v>2123</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2124</v>
      </c>
      <c r="D6" s="3465"/>
      <c r="E6" s="3466" t="s">
        <v>2124</v>
      </c>
      <c r="F6" s="3467"/>
      <c r="G6" s="3464" t="s">
        <v>2124</v>
      </c>
      <c r="H6" s="3465"/>
      <c r="I6" s="3464" t="s">
        <v>2124</v>
      </c>
      <c r="J6" s="3465"/>
      <c r="K6" s="567" t="s">
        <v>2125</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2126</v>
      </c>
      <c r="B7" s="369"/>
      <c r="C7" s="370">
        <f>'数据-取费表'!B2</f>
        <v>44768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4" t="s">
        <v>2127</v>
      </c>
      <c r="Q7" s="3482"/>
      <c r="R7" s="710" t="s">
        <v>17</v>
      </c>
      <c r="S7" s="711">
        <f t="shared" ref="S7:S14" si="0">F7</f>
        <v>0</v>
      </c>
      <c r="T7" s="710" t="s">
        <v>17</v>
      </c>
      <c r="U7" s="711">
        <f t="shared" ref="U7:U14" si="1">H7</f>
        <v>0</v>
      </c>
      <c r="V7" s="710" t="s">
        <v>17</v>
      </c>
      <c r="W7" s="711">
        <f t="shared" ref="W7:W14" si="2">J7</f>
        <v>0</v>
      </c>
      <c r="X7" s="712"/>
      <c r="Y7" s="3454" t="s">
        <v>2127</v>
      </c>
      <c r="Z7" s="3455"/>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4" t="s">
        <v>2130</v>
      </c>
      <c r="Q8" s="3455"/>
      <c r="R8" s="710" t="s">
        <v>17</v>
      </c>
      <c r="S8" s="711">
        <f t="shared" si="0"/>
        <v>0</v>
      </c>
      <c r="T8" s="710" t="s">
        <v>17</v>
      </c>
      <c r="U8" s="711">
        <f t="shared" si="1"/>
        <v>0</v>
      </c>
      <c r="V8" s="710" t="s">
        <v>17</v>
      </c>
      <c r="W8" s="711">
        <f t="shared" si="2"/>
        <v>0</v>
      </c>
      <c r="X8" s="712"/>
      <c r="Y8" s="3454" t="s">
        <v>2130</v>
      </c>
      <c r="Z8" s="3455"/>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6" t="s">
        <v>2133</v>
      </c>
      <c r="Q9" s="1478" t="str">
        <f t="shared" ref="Q9:Q14" si="6">B9</f>
        <v>用途</v>
      </c>
      <c r="R9" s="710" t="s">
        <v>17</v>
      </c>
      <c r="S9" s="711">
        <f t="shared" si="0"/>
        <v>100</v>
      </c>
      <c r="T9" s="710" t="s">
        <v>17</v>
      </c>
      <c r="U9" s="711">
        <f t="shared" si="1"/>
        <v>100</v>
      </c>
      <c r="V9" s="710" t="s">
        <v>17</v>
      </c>
      <c r="W9" s="711">
        <f t="shared" si="2"/>
        <v>100</v>
      </c>
      <c r="X9" s="712"/>
      <c r="Y9" s="3398"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99" t="s">
        <v>2137</v>
      </c>
      <c r="B14" s="65" t="s">
        <v>2287</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8" t="s">
        <v>2138</v>
      </c>
      <c r="Q14" s="1487" t="str">
        <f t="shared" si="6"/>
        <v>交通便捷度</v>
      </c>
      <c r="R14" s="714" t="s">
        <v>17</v>
      </c>
      <c r="S14" s="715">
        <f t="shared" si="0"/>
        <v>100</v>
      </c>
      <c r="T14" s="714" t="s">
        <v>17</v>
      </c>
      <c r="U14" s="715">
        <f t="shared" si="1"/>
        <v>100</v>
      </c>
      <c r="V14" s="714" t="s">
        <v>17</v>
      </c>
      <c r="W14" s="715">
        <f t="shared" si="2"/>
        <v>100</v>
      </c>
      <c r="X14" s="1490"/>
      <c r="Y14" s="3488" t="s">
        <v>2138</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9"/>
      <c r="Q15" s="1487"/>
      <c r="R15" s="714"/>
      <c r="S15" s="715"/>
      <c r="T15" s="714"/>
      <c r="U15" s="715"/>
      <c r="V15" s="714"/>
      <c r="W15" s="715"/>
      <c r="X15" s="1490"/>
      <c r="Y15" s="3489"/>
      <c r="Z15" s="1491"/>
      <c r="AA15" s="1488">
        <v>1</v>
      </c>
      <c r="AB15" s="1488">
        <v>1</v>
      </c>
      <c r="AC15" s="1488">
        <v>1</v>
      </c>
    </row>
    <row r="16" spans="1:29" ht="42.75">
      <c r="A16" s="387"/>
      <c r="B16" s="410" t="s">
        <v>2266</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9"/>
      <c r="Q17" s="1487"/>
      <c r="R17" s="714"/>
      <c r="S17" s="715"/>
      <c r="T17" s="714"/>
      <c r="U17" s="715"/>
      <c r="V17" s="714"/>
      <c r="W17" s="715"/>
      <c r="X17" s="1490"/>
      <c r="Y17" s="3489"/>
      <c r="Z17" s="1491"/>
      <c r="AA17" s="1488">
        <v>1</v>
      </c>
      <c r="AB17" s="1488">
        <v>1</v>
      </c>
      <c r="AC17" s="1488">
        <v>1</v>
      </c>
    </row>
    <row r="18" spans="1:29" ht="28.5">
      <c r="A18" s="387"/>
      <c r="B18" s="1246" t="s">
        <v>2267</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9"/>
      <c r="Q19" s="1487"/>
      <c r="R19" s="714"/>
      <c r="S19" s="715"/>
      <c r="T19" s="714"/>
      <c r="U19" s="715"/>
      <c r="V19" s="714"/>
      <c r="W19" s="715"/>
      <c r="X19" s="1490"/>
      <c r="Y19" s="3489"/>
      <c r="Z19" s="1491"/>
      <c r="AA19" s="1488">
        <v>1</v>
      </c>
      <c r="AB19" s="1488">
        <v>1</v>
      </c>
      <c r="AC19" s="1488">
        <v>1</v>
      </c>
    </row>
    <row r="20" spans="1:29" ht="57">
      <c r="A20" s="387"/>
      <c r="B20" s="410" t="s">
        <v>2288</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9"/>
      <c r="Q21" s="1487"/>
      <c r="R21" s="714"/>
      <c r="S21" s="715"/>
      <c r="T21" s="714"/>
      <c r="U21" s="715"/>
      <c r="V21" s="714"/>
      <c r="W21" s="715"/>
      <c r="X21" s="1490"/>
      <c r="Y21" s="3489"/>
      <c r="Z21" s="1491"/>
      <c r="AA21" s="1488">
        <v>1</v>
      </c>
      <c r="AB21" s="1488">
        <v>1</v>
      </c>
      <c r="AC21" s="1488">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9"/>
      <c r="Q24" s="1487">
        <f t="shared" ref="Q24:Q34"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425" t="s">
        <v>2141</v>
      </c>
      <c r="B26" s="67" t="s">
        <v>2292</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2143</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3" t="s">
        <v>2143</v>
      </c>
      <c r="Z26" s="1491" t="str">
        <f t="shared" ref="Z26:Z34" si="15">Q26</f>
        <v>公共部分装修</v>
      </c>
      <c r="AA26" s="1488">
        <f t="shared" si="3"/>
        <v>1</v>
      </c>
      <c r="AB26" s="1488">
        <f t="shared" si="4"/>
        <v>1</v>
      </c>
      <c r="AC26" s="1488">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488" t="e">
        <f t="shared" si="3"/>
        <v>#N/A</v>
      </c>
      <c r="AB27" s="1488" t="e">
        <f t="shared" si="4"/>
        <v>#N/A</v>
      </c>
      <c r="AC27" s="1488"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3"/>
      <c r="Q28" s="1487" t="str">
        <f t="shared" si="11"/>
        <v>物业等级</v>
      </c>
      <c r="R28" s="714" t="s">
        <v>17</v>
      </c>
      <c r="S28" s="715">
        <f t="shared" si="12"/>
        <v>100</v>
      </c>
      <c r="T28" s="714" t="s">
        <v>17</v>
      </c>
      <c r="U28" s="715">
        <f t="shared" si="13"/>
        <v>100</v>
      </c>
      <c r="V28" s="714" t="s">
        <v>17</v>
      </c>
      <c r="W28" s="715">
        <f t="shared" si="14"/>
        <v>100</v>
      </c>
      <c r="X28" s="1490"/>
      <c r="Y28" s="3493"/>
      <c r="Z28" s="1491" t="str">
        <f t="shared" si="15"/>
        <v>物业等级</v>
      </c>
      <c r="AA28" s="1488">
        <f t="shared" si="3"/>
        <v>1</v>
      </c>
      <c r="AB28" s="1488">
        <f t="shared" si="4"/>
        <v>1</v>
      </c>
      <c r="AC28" s="1488">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3"/>
      <c r="Q29" s="1487" t="str">
        <f t="shared" si="11"/>
        <v>有无电梯</v>
      </c>
      <c r="R29" s="714" t="s">
        <v>17</v>
      </c>
      <c r="S29" s="715">
        <f t="shared" si="12"/>
        <v>100</v>
      </c>
      <c r="T29" s="714" t="s">
        <v>17</v>
      </c>
      <c r="U29" s="715">
        <f t="shared" si="13"/>
        <v>100</v>
      </c>
      <c r="V29" s="714" t="s">
        <v>17</v>
      </c>
      <c r="W29" s="715">
        <f t="shared" si="14"/>
        <v>100</v>
      </c>
      <c r="X29" s="1490"/>
      <c r="Y29" s="3493"/>
      <c r="Z29" s="1491" t="str">
        <f t="shared" si="15"/>
        <v>有无电梯</v>
      </c>
      <c r="AA29" s="1488">
        <f t="shared" si="3"/>
        <v>1</v>
      </c>
      <c r="AB29" s="1488">
        <f t="shared" si="4"/>
        <v>1</v>
      </c>
      <c r="AC29" s="1488">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3"/>
      <c r="Q30" s="1487" t="str">
        <f t="shared" si="11"/>
        <v>建筑面积</v>
      </c>
      <c r="R30" s="714" t="s">
        <v>17</v>
      </c>
      <c r="S30" s="715" t="e">
        <f t="shared" si="12"/>
        <v>#N/A</v>
      </c>
      <c r="T30" s="714" t="s">
        <v>17</v>
      </c>
      <c r="U30" s="715" t="e">
        <f t="shared" si="13"/>
        <v>#N/A</v>
      </c>
      <c r="V30" s="714" t="s">
        <v>17</v>
      </c>
      <c r="W30" s="715" t="e">
        <f t="shared" si="14"/>
        <v>#N/A</v>
      </c>
      <c r="X30" s="1490"/>
      <c r="Y30" s="3493"/>
      <c r="Z30" s="1491" t="str">
        <f t="shared" si="15"/>
        <v>建筑面积</v>
      </c>
      <c r="AA30" s="1488" t="e">
        <f t="shared" si="3"/>
        <v>#N/A</v>
      </c>
      <c r="AB30" s="1488" t="e">
        <f t="shared" si="4"/>
        <v>#N/A</v>
      </c>
      <c r="AC30" s="1488"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3"/>
      <c r="Q31" s="1478"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3" t="s">
        <v>2143</v>
      </c>
      <c r="Q32" s="1487">
        <f t="shared" si="11"/>
        <v>111</v>
      </c>
      <c r="R32" s="714" t="s">
        <v>17</v>
      </c>
      <c r="S32" s="715">
        <f t="shared" si="12"/>
        <v>100</v>
      </c>
      <c r="T32" s="714" t="s">
        <v>17</v>
      </c>
      <c r="U32" s="715">
        <f t="shared" si="13"/>
        <v>100</v>
      </c>
      <c r="V32" s="714" t="s">
        <v>17</v>
      </c>
      <c r="W32" s="715">
        <f t="shared" si="14"/>
        <v>100</v>
      </c>
      <c r="X32" s="1490"/>
      <c r="Y32" s="3493" t="s">
        <v>2143</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3"/>
      <c r="Q33" s="1487">
        <f t="shared" si="11"/>
        <v>111</v>
      </c>
      <c r="R33" s="714" t="s">
        <v>17</v>
      </c>
      <c r="S33" s="715">
        <f t="shared" si="12"/>
        <v>100</v>
      </c>
      <c r="T33" s="714" t="s">
        <v>17</v>
      </c>
      <c r="U33" s="715">
        <f t="shared" si="13"/>
        <v>100</v>
      </c>
      <c r="V33" s="714" t="s">
        <v>17</v>
      </c>
      <c r="W33" s="715">
        <f t="shared" si="14"/>
        <v>100</v>
      </c>
      <c r="X33" s="1490"/>
      <c r="Y33" s="349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30" ht="15">
      <c r="A35" s="438" t="s">
        <v>2155</v>
      </c>
      <c r="B35" s="439"/>
      <c r="C35" s="1269" t="s">
        <v>1</v>
      </c>
      <c r="D35" s="1270"/>
      <c r="E35" s="1271"/>
      <c r="F35" s="1272"/>
      <c r="G35" s="1273"/>
      <c r="H35" s="1274"/>
      <c r="I35" s="1271"/>
      <c r="J35" s="1274"/>
      <c r="K35" s="723"/>
      <c r="L35" s="2903"/>
      <c r="M35" s="2904"/>
      <c r="N35" s="2895"/>
      <c r="O35" s="2904"/>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5.75" thickBot="1">
      <c r="A36" s="445" t="s">
        <v>2247</v>
      </c>
      <c r="B36" s="446"/>
      <c r="C36" s="1275" t="e">
        <f>R37</f>
        <v>#DIV/0!</v>
      </c>
      <c r="D36" s="2489" t="s">
        <v>2637</v>
      </c>
      <c r="E36" s="1276" t="e">
        <f>R36</f>
        <v>#DIV/0!</v>
      </c>
      <c r="F36" s="2490"/>
      <c r="G36" s="1275" t="e">
        <f>T36</f>
        <v>#DIV/0!</v>
      </c>
      <c r="H36" s="2490"/>
      <c r="I36" s="1276" t="e">
        <f>V36</f>
        <v>#DIV/0!</v>
      </c>
      <c r="J36" s="2490"/>
      <c r="K36" s="2492">
        <f>F36+H36+J36</f>
        <v>0</v>
      </c>
      <c r="L36" s="2903"/>
      <c r="M36" s="2904"/>
      <c r="N36" s="2895"/>
      <c r="O36" s="2904"/>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3"/>
      <c r="M37" s="2904"/>
      <c r="N37" s="2904"/>
      <c r="O37" s="2904"/>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2252</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2126</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2163</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2128</v>
      </c>
      <c r="B49" s="467"/>
      <c r="C49" s="479" t="s">
        <v>2230</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2166</v>
      </c>
      <c r="B51" s="485" t="s">
        <v>2132</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2318</v>
      </c>
      <c r="C63" s="535" t="s">
        <v>2175</v>
      </c>
      <c r="D63" s="535" t="s">
        <v>2176</v>
      </c>
      <c r="E63" s="535" t="s">
        <v>2177</v>
      </c>
      <c r="F63" s="535" t="s">
        <v>2178</v>
      </c>
      <c r="G63" s="535" t="s">
        <v>2179</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2267</v>
      </c>
      <c r="C65" s="616" t="s">
        <v>2253</v>
      </c>
      <c r="D65" s="616" t="s">
        <v>2254</v>
      </c>
      <c r="E65" s="616" t="s">
        <v>2255</v>
      </c>
      <c r="F65" s="616" t="s">
        <v>2256</v>
      </c>
      <c r="G65" s="616" t="s">
        <v>2257</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2187</v>
      </c>
      <c r="C67" s="535" t="s">
        <v>2175</v>
      </c>
      <c r="D67" s="535" t="s">
        <v>2176</v>
      </c>
      <c r="E67" s="535" t="s">
        <v>2177</v>
      </c>
      <c r="F67" s="535" t="s">
        <v>2178</v>
      </c>
      <c r="G67" s="535" t="s">
        <v>2179</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2307</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2141</v>
      </c>
      <c r="B77" s="485" t="s">
        <v>2194</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2311</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2319</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2321</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2324</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2223</v>
      </c>
      <c r="B4" s="362"/>
      <c r="C4" s="3469" t="s">
        <v>2224</v>
      </c>
      <c r="D4" s="3470"/>
      <c r="E4" s="3471" t="s">
        <v>2225</v>
      </c>
      <c r="F4" s="3472"/>
      <c r="G4" s="3469" t="s">
        <v>2226</v>
      </c>
      <c r="H4" s="3470"/>
      <c r="I4" s="3469" t="s">
        <v>2227</v>
      </c>
      <c r="J4" s="3470"/>
      <c r="K4" s="567" t="s">
        <v>2228</v>
      </c>
      <c r="L4" s="2894"/>
      <c r="M4" s="2895"/>
      <c r="N4" s="2895"/>
      <c r="O4" s="2895"/>
      <c r="P4" s="3473" t="s">
        <v>2229</v>
      </c>
      <c r="Q4" s="3474"/>
      <c r="R4" s="3456" t="s">
        <v>2225</v>
      </c>
      <c r="S4" s="3457"/>
      <c r="T4" s="3456" t="s">
        <v>2226</v>
      </c>
      <c r="U4" s="3457"/>
      <c r="V4" s="3481" t="s">
        <v>2227</v>
      </c>
      <c r="W4" s="3481"/>
      <c r="X4" s="1490"/>
      <c r="Y4" s="3456" t="s">
        <v>2229</v>
      </c>
      <c r="Z4" s="3457"/>
      <c r="AA4" s="3451" t="s">
        <v>2225</v>
      </c>
      <c r="AB4" s="3452" t="s">
        <v>2226</v>
      </c>
      <c r="AC4" s="3451" t="s">
        <v>2227</v>
      </c>
    </row>
    <row r="5" spans="1:30" ht="15">
      <c r="A5" s="364"/>
      <c r="B5" s="365"/>
      <c r="C5" s="3462" t="s">
        <v>2120</v>
      </c>
      <c r="D5" s="3463"/>
      <c r="E5" s="3460" t="s">
        <v>2121</v>
      </c>
      <c r="F5" s="3461"/>
      <c r="G5" s="3462" t="s">
        <v>2122</v>
      </c>
      <c r="H5" s="3463"/>
      <c r="I5" s="3462" t="s">
        <v>2123</v>
      </c>
      <c r="J5" s="3463"/>
      <c r="K5" s="567"/>
      <c r="L5" s="2894"/>
      <c r="M5" s="2895"/>
      <c r="N5" s="2895"/>
      <c r="O5" s="2895"/>
      <c r="P5" s="3475"/>
      <c r="Q5" s="3476"/>
      <c r="R5" s="3458"/>
      <c r="S5" s="3459"/>
      <c r="T5" s="3458"/>
      <c r="U5" s="3459"/>
      <c r="V5" s="3481"/>
      <c r="W5" s="3481"/>
      <c r="X5" s="1490"/>
      <c r="Y5" s="3458"/>
      <c r="Z5" s="3459"/>
      <c r="AA5" s="3452"/>
      <c r="AB5" s="3452"/>
      <c r="AC5" s="3452"/>
    </row>
    <row r="6" spans="1:30" ht="15.75" thickBot="1">
      <c r="A6" s="366"/>
      <c r="B6" s="367"/>
      <c r="C6" s="3464" t="s">
        <v>2124</v>
      </c>
      <c r="D6" s="3465"/>
      <c r="E6" s="3466" t="s">
        <v>2124</v>
      </c>
      <c r="F6" s="3467"/>
      <c r="G6" s="3464" t="s">
        <v>2124</v>
      </c>
      <c r="H6" s="3465"/>
      <c r="I6" s="3464" t="s">
        <v>2124</v>
      </c>
      <c r="J6" s="3465"/>
      <c r="K6" s="567" t="s">
        <v>2125</v>
      </c>
      <c r="L6" s="2894"/>
      <c r="M6" s="2895"/>
      <c r="N6" s="2895"/>
      <c r="O6" s="2895"/>
      <c r="P6" s="3477"/>
      <c r="Q6" s="3478"/>
      <c r="R6" s="3458"/>
      <c r="S6" s="3459"/>
      <c r="T6" s="3479"/>
      <c r="U6" s="3480"/>
      <c r="V6" s="3481"/>
      <c r="W6" s="3481"/>
      <c r="X6" s="1490"/>
      <c r="Y6" s="3479"/>
      <c r="Z6" s="3480"/>
      <c r="AA6" s="3453"/>
      <c r="AB6" s="3453"/>
      <c r="AC6" s="3453"/>
    </row>
    <row r="7" spans="1:30" s="113" customFormat="1" ht="15.75" thickBot="1">
      <c r="A7" s="368" t="s">
        <v>2126</v>
      </c>
      <c r="B7" s="369"/>
      <c r="C7" s="370">
        <f>'数据-取费表'!B2</f>
        <v>44768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4" t="s">
        <v>2127</v>
      </c>
      <c r="Q7" s="3482"/>
      <c r="R7" s="710" t="s">
        <v>17</v>
      </c>
      <c r="S7" s="711">
        <f t="shared" ref="S7:S15" si="0">F7</f>
        <v>0</v>
      </c>
      <c r="T7" s="710" t="s">
        <v>17</v>
      </c>
      <c r="U7" s="711">
        <f t="shared" ref="U7:U15" si="1">H7</f>
        <v>0</v>
      </c>
      <c r="V7" s="710" t="s">
        <v>17</v>
      </c>
      <c r="W7" s="711">
        <f t="shared" ref="W7:W15" si="2">J7</f>
        <v>0</v>
      </c>
      <c r="X7" s="712"/>
      <c r="Y7" s="3454" t="s">
        <v>2127</v>
      </c>
      <c r="Z7" s="3455"/>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4" t="s">
        <v>2130</v>
      </c>
      <c r="Q8" s="3455"/>
      <c r="R8" s="710" t="s">
        <v>17</v>
      </c>
      <c r="S8" s="711">
        <f t="shared" si="0"/>
        <v>0</v>
      </c>
      <c r="T8" s="710" t="s">
        <v>17</v>
      </c>
      <c r="U8" s="711">
        <f t="shared" si="1"/>
        <v>0</v>
      </c>
      <c r="V8" s="710" t="s">
        <v>17</v>
      </c>
      <c r="W8" s="711">
        <f t="shared" si="2"/>
        <v>0</v>
      </c>
      <c r="X8" s="712"/>
      <c r="Y8" s="3454" t="s">
        <v>2130</v>
      </c>
      <c r="Z8" s="3455"/>
      <c r="AA8" s="713" t="e">
        <f t="shared" ref="AA8:AA45" si="3">D8/F8</f>
        <v>#DIV/0!</v>
      </c>
      <c r="AB8" s="713" t="e">
        <f t="shared" ref="AB8:AB45" si="4">D8/H8</f>
        <v>#DIV/0!</v>
      </c>
      <c r="AC8" s="713" t="e">
        <f t="shared" ref="AC8:AC45" si="5">D8/J8</f>
        <v>#DIV/0!</v>
      </c>
    </row>
    <row r="9" spans="1:30" s="113" customFormat="1">
      <c r="A9" s="375" t="s">
        <v>2131</v>
      </c>
      <c r="B9" s="67" t="s">
        <v>2132</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6"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113</v>
      </c>
      <c r="G10" s="422"/>
      <c r="H10" s="132">
        <f>ROUND(100/'数据-取费表'!G16,0)</f>
        <v>113</v>
      </c>
      <c r="I10" s="422"/>
      <c r="J10" s="132">
        <f>ROUND(100/'数据-取费表'!G16,0)</f>
        <v>113</v>
      </c>
      <c r="K10" s="628"/>
      <c r="L10" s="2898"/>
      <c r="M10" s="2899"/>
      <c r="N10" s="2899"/>
      <c r="O10" s="2952"/>
      <c r="P10" s="3486"/>
      <c r="Q10" s="1478" t="str">
        <f t="shared" si="6"/>
        <v>土地使用年限（年）</v>
      </c>
      <c r="R10" s="710" t="s">
        <v>17</v>
      </c>
      <c r="S10" s="711">
        <f t="shared" si="0"/>
        <v>113</v>
      </c>
      <c r="T10" s="710" t="s">
        <v>17</v>
      </c>
      <c r="U10" s="711">
        <f t="shared" si="1"/>
        <v>113</v>
      </c>
      <c r="V10" s="710" t="s">
        <v>17</v>
      </c>
      <c r="W10" s="711">
        <f t="shared" si="2"/>
        <v>113</v>
      </c>
      <c r="X10" s="712"/>
      <c r="Y10" s="3398"/>
      <c r="Z10" s="55" t="str">
        <f t="shared" si="7"/>
        <v>土地使用年限（年）</v>
      </c>
      <c r="AA10" s="713">
        <f t="shared" si="3"/>
        <v>0.88495575221238942</v>
      </c>
      <c r="AB10" s="713">
        <f t="shared" si="4"/>
        <v>0.88495575221238942</v>
      </c>
      <c r="AC10" s="713">
        <f t="shared" si="5"/>
        <v>0.88495575221238942</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
      <c r="A12" s="390"/>
      <c r="B12" s="2030" t="s">
        <v>2325</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6"/>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9.75">
      <c r="A15" s="399" t="s">
        <v>2137</v>
      </c>
      <c r="B15" s="65" t="s">
        <v>1703</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8" t="s">
        <v>2138</v>
      </c>
      <c r="Q15" s="1487" t="str">
        <f t="shared" si="6"/>
        <v>居住社区成熟度</v>
      </c>
      <c r="R15" s="714" t="s">
        <v>17</v>
      </c>
      <c r="S15" s="715">
        <f t="shared" si="0"/>
        <v>100</v>
      </c>
      <c r="T15" s="714" t="s">
        <v>17</v>
      </c>
      <c r="U15" s="715">
        <f t="shared" si="1"/>
        <v>100</v>
      </c>
      <c r="V15" s="714" t="s">
        <v>17</v>
      </c>
      <c r="W15" s="715">
        <f t="shared" si="2"/>
        <v>100</v>
      </c>
      <c r="X15" s="1490"/>
      <c r="Y15" s="3488" t="s">
        <v>2138</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71.25">
      <c r="A17" s="387"/>
      <c r="B17" s="410" t="s">
        <v>2231</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9"/>
      <c r="Q17" s="1487" t="str">
        <f>B17</f>
        <v>商业繁华度</v>
      </c>
      <c r="R17" s="714" t="s">
        <v>17</v>
      </c>
      <c r="S17" s="715">
        <f>F17</f>
        <v>100</v>
      </c>
      <c r="T17" s="714" t="s">
        <v>17</v>
      </c>
      <c r="U17" s="715">
        <f>H17</f>
        <v>100</v>
      </c>
      <c r="V17" s="714" t="s">
        <v>17</v>
      </c>
      <c r="W17" s="715">
        <f>J17</f>
        <v>100</v>
      </c>
      <c r="X17" s="1490"/>
      <c r="Y17" s="348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71.25">
      <c r="A19" s="387"/>
      <c r="B19" s="410" t="s">
        <v>2265</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9"/>
      <c r="Q19" s="1487" t="str">
        <f>B19</f>
        <v>办公集聚程度</v>
      </c>
      <c r="R19" s="714" t="s">
        <v>17</v>
      </c>
      <c r="S19" s="715">
        <f>F19</f>
        <v>100</v>
      </c>
      <c r="T19" s="714" t="s">
        <v>17</v>
      </c>
      <c r="U19" s="715">
        <f>H19</f>
        <v>100</v>
      </c>
      <c r="V19" s="714" t="s">
        <v>17</v>
      </c>
      <c r="W19" s="715">
        <f>J19</f>
        <v>100</v>
      </c>
      <c r="X19" s="1490"/>
      <c r="Y19" s="348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9"/>
      <c r="Q20" s="1487"/>
      <c r="R20" s="714"/>
      <c r="S20" s="715"/>
      <c r="T20" s="714"/>
      <c r="U20" s="715"/>
      <c r="V20" s="714"/>
      <c r="W20" s="715"/>
      <c r="X20" s="1490"/>
      <c r="Y20" s="3489"/>
      <c r="Z20" s="1491"/>
      <c r="AA20" s="1488">
        <v>1</v>
      </c>
      <c r="AB20" s="1488">
        <v>1</v>
      </c>
      <c r="AC20" s="1488">
        <v>1</v>
      </c>
    </row>
    <row r="21" spans="1:29" ht="85.5">
      <c r="A21" s="387"/>
      <c r="B21" s="410" t="s">
        <v>2287</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9"/>
      <c r="Q21" s="1487" t="str">
        <f>B21</f>
        <v>交通便捷度</v>
      </c>
      <c r="R21" s="714" t="s">
        <v>17</v>
      </c>
      <c r="S21" s="715">
        <f>F21</f>
        <v>100</v>
      </c>
      <c r="T21" s="714" t="s">
        <v>17</v>
      </c>
      <c r="U21" s="715">
        <f>H21</f>
        <v>100</v>
      </c>
      <c r="V21" s="714" t="s">
        <v>17</v>
      </c>
      <c r="W21" s="715">
        <f>J21</f>
        <v>100</v>
      </c>
      <c r="X21" s="1490"/>
      <c r="Y21" s="348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9"/>
      <c r="Q23" s="1487" t="str">
        <f t="shared" ref="Q23:Q37" si="8">B23</f>
        <v>区域土地利用方向</v>
      </c>
      <c r="R23" s="714" t="s">
        <v>17</v>
      </c>
      <c r="S23" s="715">
        <f>F23</f>
        <v>100</v>
      </c>
      <c r="T23" s="714" t="s">
        <v>17</v>
      </c>
      <c r="U23" s="715">
        <f>H23</f>
        <v>100</v>
      </c>
      <c r="V23" s="714" t="s">
        <v>17</v>
      </c>
      <c r="W23" s="715">
        <f>J23</f>
        <v>100</v>
      </c>
      <c r="X23" s="1490"/>
      <c r="Y23" s="348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9"/>
      <c r="Q24" s="1487"/>
      <c r="R24" s="714"/>
      <c r="S24" s="715"/>
      <c r="T24" s="714"/>
      <c r="U24" s="715"/>
      <c r="V24" s="714"/>
      <c r="W24" s="715"/>
      <c r="X24" s="1490"/>
      <c r="Y24" s="3489"/>
      <c r="Z24" s="1491"/>
      <c r="AA24" s="1488"/>
      <c r="AB24" s="1488"/>
      <c r="AC24" s="1488"/>
    </row>
    <row r="25" spans="1:29" ht="57">
      <c r="A25" s="364"/>
      <c r="B25" s="1246" t="s">
        <v>2327</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9"/>
      <c r="Q25" s="1487" t="str">
        <f t="shared" si="8"/>
        <v>自然及人文环境状况</v>
      </c>
      <c r="R25" s="714" t="s">
        <v>17</v>
      </c>
      <c r="S25" s="715">
        <f>F25</f>
        <v>100</v>
      </c>
      <c r="T25" s="714" t="s">
        <v>17</v>
      </c>
      <c r="U25" s="715">
        <f>H25</f>
        <v>100</v>
      </c>
      <c r="V25" s="714" t="s">
        <v>17</v>
      </c>
      <c r="W25" s="715">
        <f>J25</f>
        <v>100</v>
      </c>
      <c r="X25" s="1490"/>
      <c r="Y25" s="348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9"/>
      <c r="Q26" s="1487"/>
      <c r="R26" s="714"/>
      <c r="S26" s="715"/>
      <c r="T26" s="714"/>
      <c r="U26" s="715"/>
      <c r="V26" s="714"/>
      <c r="W26" s="715"/>
      <c r="X26" s="1490"/>
      <c r="Y26" s="3489"/>
      <c r="Z26" s="1491"/>
      <c r="AA26" s="1488">
        <v>1</v>
      </c>
      <c r="AB26" s="1488">
        <v>1</v>
      </c>
      <c r="AC26" s="1488">
        <v>1</v>
      </c>
    </row>
    <row r="27" spans="1:29" s="113" customFormat="1" ht="42.75">
      <c r="A27" s="605"/>
      <c r="B27" s="1246" t="s">
        <v>2232</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9"/>
      <c r="Q27" s="1478" t="str">
        <f t="shared" si="8"/>
        <v>公共配套设施</v>
      </c>
      <c r="R27" s="710" t="s">
        <v>17</v>
      </c>
      <c r="S27" s="711">
        <f>F27</f>
        <v>100</v>
      </c>
      <c r="T27" s="710" t="s">
        <v>17</v>
      </c>
      <c r="U27" s="711">
        <f>H27</f>
        <v>100</v>
      </c>
      <c r="V27" s="710" t="s">
        <v>17</v>
      </c>
      <c r="W27" s="711">
        <f>J27</f>
        <v>100</v>
      </c>
      <c r="X27" s="712"/>
      <c r="Y27" s="348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9"/>
      <c r="Q28" s="1478"/>
      <c r="R28" s="710"/>
      <c r="S28" s="711"/>
      <c r="T28" s="710"/>
      <c r="U28" s="711"/>
      <c r="V28" s="710"/>
      <c r="W28" s="711"/>
      <c r="X28" s="712"/>
      <c r="Y28" s="3489"/>
      <c r="Z28" s="55"/>
      <c r="AA28" s="1488">
        <v>1</v>
      </c>
      <c r="AB28" s="1488">
        <v>1</v>
      </c>
      <c r="AC28" s="1488">
        <v>1</v>
      </c>
    </row>
    <row r="29" spans="1:29" s="113" customFormat="1" ht="28.5">
      <c r="A29" s="605"/>
      <c r="B29" s="1246" t="s">
        <v>2233</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9"/>
      <c r="Q29" s="1478" t="str">
        <f t="shared" ref="Q29" si="9">B29</f>
        <v>基础设施水平</v>
      </c>
      <c r="R29" s="710" t="s">
        <v>17</v>
      </c>
      <c r="S29" s="711">
        <f>F29</f>
        <v>100</v>
      </c>
      <c r="T29" s="710" t="s">
        <v>17</v>
      </c>
      <c r="U29" s="711">
        <f>H29</f>
        <v>100</v>
      </c>
      <c r="V29" s="710" t="s">
        <v>17</v>
      </c>
      <c r="W29" s="711">
        <f>J29</f>
        <v>100</v>
      </c>
      <c r="X29" s="712"/>
      <c r="Y29" s="348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9"/>
      <c r="Q30" s="1478"/>
      <c r="R30" s="710"/>
      <c r="S30" s="711"/>
      <c r="T30" s="710"/>
      <c r="U30" s="711"/>
      <c r="V30" s="710"/>
      <c r="W30" s="711"/>
      <c r="X30" s="712"/>
      <c r="Y30" s="3489"/>
      <c r="Z30" s="55"/>
      <c r="AA30" s="1488">
        <v>1</v>
      </c>
      <c r="AB30" s="1488">
        <v>1</v>
      </c>
      <c r="AC30" s="1488">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9"/>
      <c r="Z31" s="1491" t="str">
        <f t="shared" ref="Z31:Z45" si="13">Q31</f>
        <v>临街状况</v>
      </c>
      <c r="AA31" s="1488">
        <f t="shared" si="3"/>
        <v>1</v>
      </c>
      <c r="AB31" s="1488">
        <f t="shared" si="4"/>
        <v>1</v>
      </c>
      <c r="AC31" s="1488">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9"/>
      <c r="Q32" s="1487" t="str">
        <f t="shared" si="8"/>
        <v>毗邻道路的类型与等级</v>
      </c>
      <c r="R32" s="714" t="s">
        <v>17</v>
      </c>
      <c r="S32" s="715">
        <f t="shared" si="10"/>
        <v>100</v>
      </c>
      <c r="T32" s="714" t="s">
        <v>17</v>
      </c>
      <c r="U32" s="715">
        <f t="shared" si="11"/>
        <v>100</v>
      </c>
      <c r="V32" s="714" t="s">
        <v>17</v>
      </c>
      <c r="W32" s="715">
        <f t="shared" si="12"/>
        <v>100</v>
      </c>
      <c r="X32" s="1490"/>
      <c r="Y32" s="348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9"/>
      <c r="Q33" s="1487"/>
      <c r="R33" s="714"/>
      <c r="S33" s="715"/>
      <c r="T33" s="714"/>
      <c r="U33" s="715"/>
      <c r="V33" s="714"/>
      <c r="W33" s="715"/>
      <c r="X33" s="1490"/>
      <c r="Y33" s="3489"/>
      <c r="Z33" s="1491"/>
      <c r="AA33" s="1488">
        <v>1</v>
      </c>
      <c r="AB33" s="1488">
        <v>1</v>
      </c>
      <c r="AC33" s="1488">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9"/>
      <c r="Q34" s="1487" t="str">
        <f t="shared" si="8"/>
        <v>土地级别</v>
      </c>
      <c r="R34" s="714" t="s">
        <v>17</v>
      </c>
      <c r="S34" s="715">
        <f t="shared" si="10"/>
        <v>100</v>
      </c>
      <c r="T34" s="714" t="s">
        <v>17</v>
      </c>
      <c r="U34" s="715">
        <f t="shared" si="11"/>
        <v>100</v>
      </c>
      <c r="V34" s="714" t="s">
        <v>17</v>
      </c>
      <c r="W34" s="715">
        <f t="shared" si="12"/>
        <v>100</v>
      </c>
      <c r="X34" s="1490"/>
      <c r="Y34" s="348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9"/>
      <c r="Q35" s="1487">
        <f t="shared" si="8"/>
        <v>111</v>
      </c>
      <c r="R35" s="714" t="s">
        <v>17</v>
      </c>
      <c r="S35" s="715">
        <f t="shared" si="10"/>
        <v>100</v>
      </c>
      <c r="T35" s="714" t="s">
        <v>17</v>
      </c>
      <c r="U35" s="715">
        <f t="shared" si="11"/>
        <v>100</v>
      </c>
      <c r="V35" s="714" t="s">
        <v>17</v>
      </c>
      <c r="W35" s="715">
        <f t="shared" si="12"/>
        <v>100</v>
      </c>
      <c r="X35" s="1490"/>
      <c r="Y35" s="348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2143</v>
      </c>
      <c r="Q36" s="1487">
        <f t="shared" si="8"/>
        <v>111</v>
      </c>
      <c r="R36" s="714" t="s">
        <v>17</v>
      </c>
      <c r="S36" s="715">
        <f t="shared" si="10"/>
        <v>100</v>
      </c>
      <c r="T36" s="714" t="s">
        <v>17</v>
      </c>
      <c r="U36" s="715">
        <f t="shared" si="11"/>
        <v>100</v>
      </c>
      <c r="V36" s="714" t="s">
        <v>17</v>
      </c>
      <c r="W36" s="715">
        <f t="shared" si="12"/>
        <v>100</v>
      </c>
      <c r="X36" s="1490"/>
      <c r="Y36" s="3493" t="s">
        <v>2143</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3"/>
      <c r="Q37" s="1487">
        <f t="shared" si="8"/>
        <v>111</v>
      </c>
      <c r="R37" s="717" t="s">
        <v>17</v>
      </c>
      <c r="S37" s="718">
        <f t="shared" si="10"/>
        <v>100</v>
      </c>
      <c r="T37" s="717" t="s">
        <v>17</v>
      </c>
      <c r="U37" s="718">
        <f t="shared" si="11"/>
        <v>100</v>
      </c>
      <c r="V37" s="717" t="s">
        <v>17</v>
      </c>
      <c r="W37" s="718">
        <f t="shared" si="12"/>
        <v>100</v>
      </c>
      <c r="X37" s="719"/>
      <c r="Y37" s="3493"/>
      <c r="Z37" s="720">
        <f t="shared" si="13"/>
        <v>111</v>
      </c>
      <c r="AA37" s="1488">
        <f t="shared" si="3"/>
        <v>1</v>
      </c>
      <c r="AB37" s="1488">
        <f t="shared" si="4"/>
        <v>1</v>
      </c>
      <c r="AC37" s="1488">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3"/>
      <c r="Q38" s="1487" t="str">
        <f>B38</f>
        <v>宗地面积</v>
      </c>
      <c r="R38" s="714" t="s">
        <v>17</v>
      </c>
      <c r="S38" s="715" t="e">
        <f t="shared" si="10"/>
        <v>#N/A</v>
      </c>
      <c r="T38" s="714" t="s">
        <v>17</v>
      </c>
      <c r="U38" s="715" t="e">
        <f t="shared" si="11"/>
        <v>#N/A</v>
      </c>
      <c r="V38" s="714" t="s">
        <v>17</v>
      </c>
      <c r="W38" s="715" t="e">
        <f t="shared" si="12"/>
        <v>#N/A</v>
      </c>
      <c r="X38" s="1490"/>
      <c r="Y38" s="3493"/>
      <c r="Z38" s="1491" t="str">
        <f t="shared" si="13"/>
        <v>宗地面积</v>
      </c>
      <c r="AA38" s="1488" t="e">
        <f t="shared" si="3"/>
        <v>#N/A</v>
      </c>
      <c r="AB38" s="1488" t="e">
        <f t="shared" si="4"/>
        <v>#N/A</v>
      </c>
      <c r="AC38" s="1488" t="e">
        <f t="shared" si="5"/>
        <v>#N/A</v>
      </c>
    </row>
    <row r="39" spans="1:29" ht="15">
      <c r="A39" s="431"/>
      <c r="B39" s="381" t="s">
        <v>2330</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3"/>
      <c r="Q39" s="1487" t="str">
        <f t="shared" ref="Q39:Q45" si="14">B39</f>
        <v>宗地形状</v>
      </c>
      <c r="R39" s="714" t="s">
        <v>17</v>
      </c>
      <c r="S39" s="715">
        <f t="shared" si="10"/>
        <v>100</v>
      </c>
      <c r="T39" s="714" t="s">
        <v>17</v>
      </c>
      <c r="U39" s="715">
        <f t="shared" si="11"/>
        <v>100</v>
      </c>
      <c r="V39" s="714" t="s">
        <v>17</v>
      </c>
      <c r="W39" s="715">
        <f t="shared" si="12"/>
        <v>100</v>
      </c>
      <c r="X39" s="1490"/>
      <c r="Y39" s="3493"/>
      <c r="Z39" s="1491" t="str">
        <f t="shared" si="13"/>
        <v>宗地形状</v>
      </c>
      <c r="AA39" s="1488">
        <f t="shared" si="3"/>
        <v>1</v>
      </c>
      <c r="AB39" s="1488">
        <f t="shared" si="4"/>
        <v>1</v>
      </c>
      <c r="AC39" s="1488">
        <f t="shared" si="5"/>
        <v>1</v>
      </c>
    </row>
    <row r="40" spans="1:29" ht="15">
      <c r="A40" s="431"/>
      <c r="B40" s="381" t="s">
        <v>2331</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3"/>
      <c r="Q40" s="1487" t="str">
        <f t="shared" si="14"/>
        <v>临街宽度及深度</v>
      </c>
      <c r="R40" s="714" t="s">
        <v>17</v>
      </c>
      <c r="S40" s="715">
        <f t="shared" si="10"/>
        <v>100</v>
      </c>
      <c r="T40" s="714" t="s">
        <v>17</v>
      </c>
      <c r="U40" s="715">
        <f t="shared" si="11"/>
        <v>100</v>
      </c>
      <c r="V40" s="714" t="s">
        <v>17</v>
      </c>
      <c r="W40" s="715">
        <f t="shared" si="12"/>
        <v>100</v>
      </c>
      <c r="X40" s="1490"/>
      <c r="Y40" s="3493"/>
      <c r="Z40" s="1491" t="str">
        <f t="shared" si="13"/>
        <v>临街宽度及深度</v>
      </c>
      <c r="AA40" s="1488">
        <f t="shared" si="3"/>
        <v>1</v>
      </c>
      <c r="AB40" s="1488">
        <f t="shared" si="4"/>
        <v>1</v>
      </c>
      <c r="AC40" s="1488">
        <f t="shared" si="5"/>
        <v>1</v>
      </c>
    </row>
    <row r="41" spans="1:29" s="113" customFormat="1" ht="15">
      <c r="A41" s="432"/>
      <c r="B41" s="381" t="s">
        <v>2332</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3"/>
      <c r="Q41" s="1487"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
      <c r="A42" s="431"/>
      <c r="B42" s="381" t="s">
        <v>2333</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3" t="s">
        <v>2143</v>
      </c>
      <c r="Q42" s="1487" t="str">
        <f t="shared" si="14"/>
        <v>工程地质条件</v>
      </c>
      <c r="R42" s="714" t="s">
        <v>17</v>
      </c>
      <c r="S42" s="715">
        <f t="shared" si="10"/>
        <v>100</v>
      </c>
      <c r="T42" s="714" t="s">
        <v>17</v>
      </c>
      <c r="U42" s="715">
        <f t="shared" si="11"/>
        <v>100</v>
      </c>
      <c r="V42" s="714" t="s">
        <v>17</v>
      </c>
      <c r="W42" s="715">
        <f t="shared" si="12"/>
        <v>100</v>
      </c>
      <c r="X42" s="1490"/>
      <c r="Y42" s="3493" t="s">
        <v>2143</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3"/>
      <c r="Q43" s="1487">
        <f t="shared" si="14"/>
        <v>111</v>
      </c>
      <c r="R43" s="714" t="s">
        <v>17</v>
      </c>
      <c r="S43" s="715">
        <f t="shared" si="10"/>
        <v>100</v>
      </c>
      <c r="T43" s="714" t="s">
        <v>17</v>
      </c>
      <c r="U43" s="715">
        <f t="shared" si="11"/>
        <v>100</v>
      </c>
      <c r="V43" s="714" t="s">
        <v>17</v>
      </c>
      <c r="W43" s="715">
        <f t="shared" si="12"/>
        <v>100</v>
      </c>
      <c r="X43" s="1490"/>
      <c r="Y43" s="349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3"/>
      <c r="Q44" s="1487">
        <f t="shared" si="14"/>
        <v>111</v>
      </c>
      <c r="R44" s="714" t="s">
        <v>17</v>
      </c>
      <c r="S44" s="715">
        <f t="shared" si="10"/>
        <v>100</v>
      </c>
      <c r="T44" s="714" t="s">
        <v>17</v>
      </c>
      <c r="U44" s="715">
        <f t="shared" si="11"/>
        <v>100</v>
      </c>
      <c r="V44" s="714" t="s">
        <v>17</v>
      </c>
      <c r="W44" s="715">
        <f t="shared" si="12"/>
        <v>100</v>
      </c>
      <c r="X44" s="1490"/>
      <c r="Y44" s="349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3"/>
      <c r="Q45" s="1487">
        <f t="shared" si="14"/>
        <v>111</v>
      </c>
      <c r="R45" s="717" t="s">
        <v>17</v>
      </c>
      <c r="S45" s="718">
        <f t="shared" si="10"/>
        <v>100</v>
      </c>
      <c r="T45" s="717" t="s">
        <v>17</v>
      </c>
      <c r="U45" s="718">
        <f t="shared" si="11"/>
        <v>100</v>
      </c>
      <c r="V45" s="717" t="s">
        <v>17</v>
      </c>
      <c r="W45" s="718">
        <f t="shared" si="12"/>
        <v>100</v>
      </c>
      <c r="X45" s="719"/>
      <c r="Y45" s="3493"/>
      <c r="Z45" s="720">
        <f t="shared" si="13"/>
        <v>111</v>
      </c>
      <c r="AA45" s="1488">
        <f t="shared" si="3"/>
        <v>1</v>
      </c>
      <c r="AB45" s="1488">
        <f t="shared" si="4"/>
        <v>1</v>
      </c>
      <c r="AC45" s="1488">
        <f t="shared" si="5"/>
        <v>1</v>
      </c>
    </row>
    <row r="46" spans="1:29" ht="15">
      <c r="A46" s="438" t="s">
        <v>2298</v>
      </c>
      <c r="B46" s="2119" t="s">
        <v>2334</v>
      </c>
      <c r="C46" s="638" t="s">
        <v>1</v>
      </c>
      <c r="D46" s="440"/>
      <c r="E46" s="441"/>
      <c r="F46" s="442"/>
      <c r="G46" s="443"/>
      <c r="H46" s="444"/>
      <c r="I46" s="441"/>
      <c r="J46" s="444"/>
      <c r="K46" s="723"/>
      <c r="L46" s="2903"/>
      <c r="M46" s="2904"/>
      <c r="N46" s="2895"/>
      <c r="O46" s="2904"/>
      <c r="P46" s="3486" t="str">
        <f>A46</f>
        <v>成交单价</v>
      </c>
      <c r="Q46" s="3486"/>
      <c r="R46" s="3481">
        <f>E46</f>
        <v>0</v>
      </c>
      <c r="S46" s="3481"/>
      <c r="T46" s="3481">
        <f>G46</f>
        <v>0</v>
      </c>
      <c r="U46" s="3481"/>
      <c r="V46" s="3481">
        <f>I46</f>
        <v>0</v>
      </c>
      <c r="W46" s="3481"/>
      <c r="X46" s="699"/>
      <c r="Y46" s="721"/>
      <c r="Z46" s="699"/>
      <c r="AA46" s="699"/>
      <c r="AB46" s="699"/>
      <c r="AC46" s="699"/>
    </row>
    <row r="47" spans="1:29" ht="15.75" thickBot="1">
      <c r="A47" s="445" t="s">
        <v>2247</v>
      </c>
      <c r="B47" s="639"/>
      <c r="C47" s="448" t="e">
        <f>R48</f>
        <v>#DIV/0!</v>
      </c>
      <c r="D47" s="2489" t="s">
        <v>2637</v>
      </c>
      <c r="E47" s="448" t="e">
        <f>R47</f>
        <v>#DIV/0!</v>
      </c>
      <c r="F47" s="2490"/>
      <c r="G47" s="447" t="e">
        <f>T47</f>
        <v>#DIV/0!</v>
      </c>
      <c r="H47" s="2490"/>
      <c r="I47" s="448" t="e">
        <f>V47</f>
        <v>#DIV/0!</v>
      </c>
      <c r="J47" s="2490"/>
      <c r="K47" s="2492">
        <f>F47+H47+J47</f>
        <v>0</v>
      </c>
      <c r="L47" s="2903"/>
      <c r="M47" s="2904"/>
      <c r="N47" s="2904"/>
      <c r="O47" s="2904"/>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3"/>
      <c r="M48" s="2904"/>
      <c r="N48" s="2904"/>
      <c r="O48" s="2904"/>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2336</v>
      </c>
      <c r="B55" s="641" t="s">
        <v>2337</v>
      </c>
      <c r="C55" s="2120" t="s">
        <v>2338</v>
      </c>
      <c r="D55" s="2121" t="s">
        <v>2339</v>
      </c>
      <c r="E55" s="642" t="s">
        <v>2340</v>
      </c>
      <c r="F55" s="1002" t="s">
        <v>2341</v>
      </c>
      <c r="G55" s="3469" t="s">
        <v>2342</v>
      </c>
      <c r="H55" s="3516"/>
      <c r="I55" s="140" t="s">
        <v>2343</v>
      </c>
      <c r="J55" s="2122">
        <f>项目基本情况!F35</f>
        <v>0</v>
      </c>
      <c r="K55" s="2123" t="s">
        <v>2344</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2345</v>
      </c>
      <c r="B56" s="645" t="e">
        <f>C48</f>
        <v>#DIV/0!</v>
      </c>
      <c r="C56" s="646">
        <v>1</v>
      </c>
      <c r="D56" s="1056">
        <v>1</v>
      </c>
      <c r="E56" s="646">
        <f>'数据-汇总表'!E8+'数据-汇总表'!E9</f>
        <v>36123.300000000003</v>
      </c>
      <c r="F56" s="998" t="e">
        <f t="shared" ref="F56:F64" si="15">ROUND(B56*E56/10000,0)</f>
        <v>#DIV/0!</v>
      </c>
      <c r="G56" s="3468"/>
      <c r="H56" s="348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2346</v>
      </c>
      <c r="B57" s="224" t="e">
        <f>ROUND($C$48*C57*D57,0)</f>
        <v>#DIV/0!</v>
      </c>
      <c r="C57" s="176">
        <f t="shared" ref="C57:C64" si="16">IF($C$55="北京市系数",I57,J57)</f>
        <v>0</v>
      </c>
      <c r="D57" s="1057">
        <v>0.25</v>
      </c>
      <c r="E57" s="650"/>
      <c r="F57" s="998" t="e">
        <f t="shared" si="15"/>
        <v>#DIV/0!</v>
      </c>
      <c r="G57" s="3228" t="s">
        <v>2347</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2348</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2349</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2350</v>
      </c>
      <c r="B60" s="224" t="e">
        <f t="shared" si="17"/>
        <v>#DIV/0!</v>
      </c>
      <c r="C60" s="176">
        <f t="shared" si="16"/>
        <v>0</v>
      </c>
      <c r="D60" s="1057">
        <v>0.25</v>
      </c>
      <c r="E60" s="223">
        <f>'数据-汇总表'!E11</f>
        <v>0</v>
      </c>
      <c r="F60" s="998" t="e">
        <f t="shared" si="15"/>
        <v>#DIV/0!</v>
      </c>
      <c r="G60" s="2124" t="s">
        <v>2351</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2352</v>
      </c>
      <c r="B61" s="224" t="e">
        <f t="shared" si="17"/>
        <v>#DIV/0!</v>
      </c>
      <c r="C61" s="176">
        <f t="shared" si="16"/>
        <v>0</v>
      </c>
      <c r="D61" s="1057">
        <v>0.25</v>
      </c>
      <c r="E61" s="223">
        <f>'数据-汇总表'!E12</f>
        <v>0</v>
      </c>
      <c r="F61" s="998" t="e">
        <f t="shared" si="15"/>
        <v>#DIV/0!</v>
      </c>
      <c r="G61" s="1004" t="s">
        <v>2353</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2354</v>
      </c>
      <c r="B62" s="224" t="e">
        <f t="shared" si="17"/>
        <v>#DIV/0!</v>
      </c>
      <c r="C62" s="176">
        <f t="shared" si="16"/>
        <v>0</v>
      </c>
      <c r="D62" s="1057">
        <v>0.25</v>
      </c>
      <c r="E62" s="223">
        <f>'数据-汇总表'!E13</f>
        <v>0</v>
      </c>
      <c r="F62" s="998" t="e">
        <f t="shared" si="15"/>
        <v>#DIV/0!</v>
      </c>
      <c r="G62" s="1004" t="s">
        <v>2355</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2356</v>
      </c>
      <c r="B63" s="224" t="e">
        <f t="shared" si="17"/>
        <v>#DIV/0!</v>
      </c>
      <c r="C63" s="176">
        <f t="shared" si="16"/>
        <v>0</v>
      </c>
      <c r="D63" s="1057">
        <v>0.25</v>
      </c>
      <c r="E63" s="223">
        <f>'数据-汇总表'!E14</f>
        <v>0</v>
      </c>
      <c r="F63" s="998" t="e">
        <f t="shared" si="15"/>
        <v>#DIV/0!</v>
      </c>
      <c r="G63" s="2124" t="s">
        <v>2347</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2357</v>
      </c>
      <c r="B64" s="224" t="e">
        <f t="shared" si="17"/>
        <v>#DIV/0!</v>
      </c>
      <c r="C64" s="176">
        <f t="shared" si="16"/>
        <v>0</v>
      </c>
      <c r="D64" s="1057">
        <v>0.25</v>
      </c>
      <c r="E64" s="223">
        <f>'数据-汇总表'!E15</f>
        <v>0</v>
      </c>
      <c r="F64" s="998" t="e">
        <f t="shared" si="15"/>
        <v>#DIV/0!</v>
      </c>
      <c r="G64" s="2125" t="s">
        <v>2351</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2358</v>
      </c>
      <c r="B65" s="652" t="s">
        <v>28</v>
      </c>
      <c r="C65" s="652" t="s">
        <v>29</v>
      </c>
      <c r="D65" s="652" t="s">
        <v>816</v>
      </c>
      <c r="E65" s="652">
        <f>IF(B46="楼面地价",SUM(E56:E64),'数据-汇总表'!D3)</f>
        <v>36123.300000000003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4"/>
      <c r="Q67" s="2904"/>
      <c r="R67" s="2904"/>
      <c r="S67" s="2904"/>
      <c r="T67" s="2904"/>
      <c r="U67" s="2904"/>
      <c r="V67" s="2904"/>
      <c r="W67" s="2904"/>
      <c r="X67" s="2904"/>
      <c r="Y67" s="2904"/>
      <c r="Z67" s="2904"/>
      <c r="AA67" s="2904"/>
      <c r="AB67" s="2904"/>
      <c r="AC67" s="2904"/>
    </row>
    <row r="68" spans="1:29" ht="21.75" thickBot="1">
      <c r="A68" s="703" t="s">
        <v>2252</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2359</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2163</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2128</v>
      </c>
      <c r="B72" s="467"/>
      <c r="C72" s="479" t="s">
        <v>2230</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2166</v>
      </c>
      <c r="B74" s="485" t="s">
        <v>2132</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2135</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2137</v>
      </c>
      <c r="B87" s="485" t="s">
        <v>2174</v>
      </c>
      <c r="C87" s="530" t="s">
        <v>2175</v>
      </c>
      <c r="D87" s="530" t="s">
        <v>2176</v>
      </c>
      <c r="E87" s="530" t="s">
        <v>2177</v>
      </c>
      <c r="F87" s="530" t="s">
        <v>2178</v>
      </c>
      <c r="G87" s="530" t="s">
        <v>2179</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2361</v>
      </c>
      <c r="C89" s="535" t="s">
        <v>2175</v>
      </c>
      <c r="D89" s="535" t="s">
        <v>2176</v>
      </c>
      <c r="E89" s="535" t="s">
        <v>2177</v>
      </c>
      <c r="F89" s="535" t="s">
        <v>2178</v>
      </c>
      <c r="G89" s="535" t="s">
        <v>2179</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2275</v>
      </c>
      <c r="C91" s="535" t="s">
        <v>2175</v>
      </c>
      <c r="D91" s="535" t="s">
        <v>2176</v>
      </c>
      <c r="E91" s="535" t="s">
        <v>2177</v>
      </c>
      <c r="F91" s="535" t="s">
        <v>2178</v>
      </c>
      <c r="G91" s="535" t="s">
        <v>2179</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2180</v>
      </c>
      <c r="C93" s="535" t="s">
        <v>2175</v>
      </c>
      <c r="D93" s="535" t="s">
        <v>2176</v>
      </c>
      <c r="E93" s="535" t="s">
        <v>2177</v>
      </c>
      <c r="F93" s="535" t="s">
        <v>2178</v>
      </c>
      <c r="G93" s="535" t="s">
        <v>2179</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2269</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2328</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2369</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2370</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2371</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2372</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2324</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2223</v>
      </c>
      <c r="B4" s="362"/>
      <c r="C4" s="3469" t="s">
        <v>2224</v>
      </c>
      <c r="D4" s="3470"/>
      <c r="E4" s="3471" t="s">
        <v>2225</v>
      </c>
      <c r="F4" s="3472"/>
      <c r="G4" s="3469" t="s">
        <v>2226</v>
      </c>
      <c r="H4" s="3470"/>
      <c r="I4" s="3469" t="s">
        <v>2227</v>
      </c>
      <c r="J4" s="3470"/>
      <c r="K4" s="567" t="s">
        <v>2228</v>
      </c>
      <c r="L4" s="2894"/>
      <c r="M4" s="2895"/>
      <c r="N4" s="2895"/>
      <c r="O4" s="2895"/>
      <c r="P4" s="3473" t="s">
        <v>2229</v>
      </c>
      <c r="Q4" s="3474"/>
      <c r="R4" s="3456" t="s">
        <v>2225</v>
      </c>
      <c r="S4" s="3457"/>
      <c r="T4" s="3456" t="s">
        <v>2226</v>
      </c>
      <c r="U4" s="3457"/>
      <c r="V4" s="3481" t="s">
        <v>2227</v>
      </c>
      <c r="W4" s="3481"/>
      <c r="X4" s="1490"/>
      <c r="Y4" s="3456" t="s">
        <v>2229</v>
      </c>
      <c r="Z4" s="3457"/>
      <c r="AA4" s="3451" t="s">
        <v>2225</v>
      </c>
      <c r="AB4" s="3452" t="s">
        <v>2226</v>
      </c>
      <c r="AC4" s="3451" t="s">
        <v>2227</v>
      </c>
    </row>
    <row r="5" spans="1:29" ht="15">
      <c r="A5" s="364"/>
      <c r="B5" s="365"/>
      <c r="C5" s="3462" t="s">
        <v>2120</v>
      </c>
      <c r="D5" s="3463"/>
      <c r="E5" s="3460" t="s">
        <v>2121</v>
      </c>
      <c r="F5" s="3461"/>
      <c r="G5" s="3462" t="s">
        <v>2122</v>
      </c>
      <c r="H5" s="3463"/>
      <c r="I5" s="3462" t="s">
        <v>2123</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517" t="s">
        <v>2374</v>
      </c>
      <c r="D6" s="3518"/>
      <c r="E6" s="3519" t="s">
        <v>2374</v>
      </c>
      <c r="F6" s="3520"/>
      <c r="G6" s="3517" t="s">
        <v>2374</v>
      </c>
      <c r="H6" s="3518"/>
      <c r="I6" s="3517" t="s">
        <v>2374</v>
      </c>
      <c r="J6" s="3518"/>
      <c r="K6" s="567" t="s">
        <v>2125</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2126</v>
      </c>
      <c r="B7" s="369"/>
      <c r="C7" s="370">
        <f>'数据-取费表'!B2</f>
        <v>44768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4" t="s">
        <v>2127</v>
      </c>
      <c r="Q7" s="3482"/>
      <c r="R7" s="710" t="s">
        <v>17</v>
      </c>
      <c r="S7" s="711">
        <f t="shared" ref="S7:S15" si="0">F7</f>
        <v>0</v>
      </c>
      <c r="T7" s="710" t="s">
        <v>17</v>
      </c>
      <c r="U7" s="711">
        <f t="shared" ref="U7:U15" si="1">H7</f>
        <v>0</v>
      </c>
      <c r="V7" s="710" t="s">
        <v>17</v>
      </c>
      <c r="W7" s="711">
        <f t="shared" ref="W7:W15" si="2">J7</f>
        <v>0</v>
      </c>
      <c r="X7" s="712"/>
      <c r="Y7" s="3454" t="s">
        <v>2127</v>
      </c>
      <c r="Z7" s="3455"/>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4" t="s">
        <v>2130</v>
      </c>
      <c r="Q8" s="3455"/>
      <c r="R8" s="710" t="s">
        <v>17</v>
      </c>
      <c r="S8" s="711">
        <f t="shared" si="0"/>
        <v>0</v>
      </c>
      <c r="T8" s="710" t="s">
        <v>17</v>
      </c>
      <c r="U8" s="711">
        <f t="shared" si="1"/>
        <v>0</v>
      </c>
      <c r="V8" s="710" t="s">
        <v>17</v>
      </c>
      <c r="W8" s="711">
        <f t="shared" si="2"/>
        <v>0</v>
      </c>
      <c r="X8" s="712"/>
      <c r="Y8" s="3454" t="s">
        <v>2130</v>
      </c>
      <c r="Z8" s="3455"/>
      <c r="AA8" s="713" t="e">
        <f t="shared" ref="AA8:AA40" si="3">D8/F8</f>
        <v>#DIV/0!</v>
      </c>
      <c r="AB8" s="713" t="e">
        <f t="shared" ref="AB8:AB40" si="4">D8/H8</f>
        <v>#DIV/0!</v>
      </c>
      <c r="AC8" s="713" t="e">
        <f t="shared" ref="AC8:AC40" si="5">D8/J8</f>
        <v>#DIV/0!</v>
      </c>
    </row>
    <row r="9" spans="1:29" s="113" customFormat="1">
      <c r="A9" s="375" t="s">
        <v>2131</v>
      </c>
      <c r="B9" s="67" t="s">
        <v>2132</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6" t="s">
        <v>2133</v>
      </c>
      <c r="Q9" s="1478" t="str">
        <f t="shared" ref="Q9:Q15" si="6">B9</f>
        <v>用途</v>
      </c>
      <c r="R9" s="710" t="s">
        <v>17</v>
      </c>
      <c r="S9" s="711">
        <f t="shared" si="0"/>
        <v>100</v>
      </c>
      <c r="T9" s="710" t="s">
        <v>17</v>
      </c>
      <c r="U9" s="711">
        <f t="shared" si="1"/>
        <v>100</v>
      </c>
      <c r="V9" s="710" t="s">
        <v>17</v>
      </c>
      <c r="W9" s="711">
        <f t="shared" si="2"/>
        <v>100</v>
      </c>
      <c r="X9" s="712"/>
      <c r="Y9" s="3398"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113</v>
      </c>
      <c r="G10" s="391"/>
      <c r="H10" s="132">
        <f>ROUND(100/'数据-取费表'!G16,0)</f>
        <v>113</v>
      </c>
      <c r="I10" s="391"/>
      <c r="J10" s="132">
        <f>ROUND(100/'数据-取费表'!G16,0)</f>
        <v>113</v>
      </c>
      <c r="K10" s="628"/>
      <c r="L10" s="2898"/>
      <c r="M10" s="2899"/>
      <c r="N10" s="2899"/>
      <c r="O10" s="2952"/>
      <c r="P10" s="3486"/>
      <c r="Q10" s="1478" t="str">
        <f t="shared" si="6"/>
        <v>土地使用年限（年）</v>
      </c>
      <c r="R10" s="710" t="s">
        <v>17</v>
      </c>
      <c r="S10" s="711">
        <f t="shared" si="0"/>
        <v>113</v>
      </c>
      <c r="T10" s="710" t="s">
        <v>17</v>
      </c>
      <c r="U10" s="711">
        <f t="shared" si="1"/>
        <v>113</v>
      </c>
      <c r="V10" s="710" t="s">
        <v>17</v>
      </c>
      <c r="W10" s="711">
        <f t="shared" si="2"/>
        <v>113</v>
      </c>
      <c r="X10" s="712"/>
      <c r="Y10" s="3398"/>
      <c r="Z10" s="55" t="str">
        <f t="shared" si="7"/>
        <v>土地使用年限（年）</v>
      </c>
      <c r="AA10" s="713">
        <f t="shared" si="3"/>
        <v>0.88495575221238942</v>
      </c>
      <c r="AB10" s="713">
        <f t="shared" si="4"/>
        <v>0.88495575221238942</v>
      </c>
      <c r="AC10" s="713">
        <f t="shared" si="5"/>
        <v>0.88495575221238942</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2137</v>
      </c>
      <c r="B15" s="585" t="s">
        <v>2375</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8" t="s">
        <v>2138</v>
      </c>
      <c r="Q15" s="1487" t="str">
        <f t="shared" si="6"/>
        <v>产业集聚程度</v>
      </c>
      <c r="R15" s="714" t="s">
        <v>17</v>
      </c>
      <c r="S15" s="715">
        <f t="shared" si="0"/>
        <v>100</v>
      </c>
      <c r="T15" s="714" t="s">
        <v>17</v>
      </c>
      <c r="U15" s="715">
        <f t="shared" si="1"/>
        <v>100</v>
      </c>
      <c r="V15" s="714" t="s">
        <v>17</v>
      </c>
      <c r="W15" s="715">
        <f t="shared" si="2"/>
        <v>100</v>
      </c>
      <c r="X15" s="1490"/>
      <c r="Y15" s="3488" t="s">
        <v>2138</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85.5">
      <c r="A17" s="387"/>
      <c r="B17" s="587" t="s">
        <v>2287</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15">
      <c r="A19" s="387"/>
      <c r="B19" s="587" t="s">
        <v>2326</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9"/>
      <c r="Q19" s="1487" t="str">
        <f t="shared" ref="Q19:Q33" si="8">B19</f>
        <v>区域土地利用方向</v>
      </c>
      <c r="R19" s="714" t="s">
        <v>17</v>
      </c>
      <c r="S19" s="715">
        <f>F19</f>
        <v>100</v>
      </c>
      <c r="T19" s="714" t="s">
        <v>17</v>
      </c>
      <c r="U19" s="715">
        <f>H19</f>
        <v>100</v>
      </c>
      <c r="V19" s="714" t="s">
        <v>17</v>
      </c>
      <c r="W19" s="715">
        <f>J19</f>
        <v>100</v>
      </c>
      <c r="X19" s="1490"/>
      <c r="Y19" s="348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9"/>
      <c r="Q20" s="1487"/>
      <c r="R20" s="714"/>
      <c r="S20" s="715"/>
      <c r="T20" s="714"/>
      <c r="U20" s="715"/>
      <c r="V20" s="714"/>
      <c r="W20" s="715"/>
      <c r="X20" s="1490"/>
      <c r="Y20" s="3489"/>
      <c r="Z20" s="1491"/>
      <c r="AA20" s="1488"/>
      <c r="AB20" s="1488"/>
      <c r="AC20" s="1488"/>
    </row>
    <row r="21" spans="1:29" ht="71.25">
      <c r="A21" s="364"/>
      <c r="B21" s="587" t="s">
        <v>2376</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9"/>
      <c r="Q21" s="1487" t="str">
        <f t="shared" si="8"/>
        <v>环境状况</v>
      </c>
      <c r="R21" s="714" t="s">
        <v>17</v>
      </c>
      <c r="S21" s="715">
        <f>F21</f>
        <v>100</v>
      </c>
      <c r="T21" s="714" t="s">
        <v>17</v>
      </c>
      <c r="U21" s="715">
        <f>H21</f>
        <v>100</v>
      </c>
      <c r="V21" s="714" t="s">
        <v>17</v>
      </c>
      <c r="W21" s="715">
        <f>J21</f>
        <v>100</v>
      </c>
      <c r="X21" s="1490"/>
      <c r="Y21" s="348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s="113" customFormat="1" ht="42.75">
      <c r="A23" s="605"/>
      <c r="B23" s="589" t="s">
        <v>2232</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9"/>
      <c r="Q23" s="1478" t="str">
        <f t="shared" si="8"/>
        <v>公共配套设施</v>
      </c>
      <c r="R23" s="710" t="s">
        <v>17</v>
      </c>
      <c r="S23" s="711">
        <f>F23</f>
        <v>100</v>
      </c>
      <c r="T23" s="710" t="s">
        <v>17</v>
      </c>
      <c r="U23" s="711">
        <f>H23</f>
        <v>100</v>
      </c>
      <c r="V23" s="710" t="s">
        <v>17</v>
      </c>
      <c r="W23" s="711">
        <f>J23</f>
        <v>100</v>
      </c>
      <c r="X23" s="712"/>
      <c r="Y23" s="348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9"/>
      <c r="Q24" s="1478"/>
      <c r="R24" s="710"/>
      <c r="S24" s="711"/>
      <c r="T24" s="710"/>
      <c r="U24" s="711"/>
      <c r="V24" s="710"/>
      <c r="W24" s="711"/>
      <c r="X24" s="712"/>
      <c r="Y24" s="3489"/>
      <c r="Z24" s="55"/>
      <c r="AA24" s="713">
        <v>1</v>
      </c>
      <c r="AB24" s="713">
        <v>1</v>
      </c>
      <c r="AC24" s="713">
        <v>1</v>
      </c>
    </row>
    <row r="25" spans="1:29" s="113" customFormat="1" ht="28.5">
      <c r="A25" s="605"/>
      <c r="B25" s="589" t="s">
        <v>2233</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9"/>
      <c r="Q25" s="1478" t="str">
        <f t="shared" ref="Q25" si="9">B25</f>
        <v>基础设施水平</v>
      </c>
      <c r="R25" s="710" t="s">
        <v>17</v>
      </c>
      <c r="S25" s="711">
        <f>F25</f>
        <v>100</v>
      </c>
      <c r="T25" s="710" t="s">
        <v>17</v>
      </c>
      <c r="U25" s="711">
        <f>H25</f>
        <v>100</v>
      </c>
      <c r="V25" s="710" t="s">
        <v>17</v>
      </c>
      <c r="W25" s="711">
        <f>J25</f>
        <v>100</v>
      </c>
      <c r="X25" s="712"/>
      <c r="Y25" s="348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9"/>
      <c r="Q26" s="1478"/>
      <c r="R26" s="710"/>
      <c r="S26" s="711"/>
      <c r="T26" s="710"/>
      <c r="U26" s="711"/>
      <c r="V26" s="710"/>
      <c r="W26" s="711"/>
      <c r="X26" s="712"/>
      <c r="Y26" s="3489"/>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9"/>
      <c r="Z27" s="1491" t="str">
        <f t="shared" ref="Z27:Z40" si="13">Q27</f>
        <v>临街状况</v>
      </c>
      <c r="AA27" s="1488">
        <f t="shared" si="3"/>
        <v>1</v>
      </c>
      <c r="AB27" s="1488">
        <f t="shared" si="4"/>
        <v>1</v>
      </c>
      <c r="AC27" s="1488">
        <f t="shared" si="5"/>
        <v>1</v>
      </c>
    </row>
    <row r="28" spans="1:29" ht="27">
      <c r="A28" s="387"/>
      <c r="B28" s="589" t="s">
        <v>2269</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9"/>
      <c r="Q28" s="1487" t="str">
        <f t="shared" si="8"/>
        <v>毗邻道路的类型与等级</v>
      </c>
      <c r="R28" s="714" t="s">
        <v>17</v>
      </c>
      <c r="S28" s="715">
        <f t="shared" si="10"/>
        <v>100</v>
      </c>
      <c r="T28" s="714" t="s">
        <v>17</v>
      </c>
      <c r="U28" s="715">
        <f t="shared" si="11"/>
        <v>100</v>
      </c>
      <c r="V28" s="714" t="s">
        <v>17</v>
      </c>
      <c r="W28" s="715">
        <f t="shared" si="12"/>
        <v>100</v>
      </c>
      <c r="X28" s="1490"/>
      <c r="Y28" s="348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9"/>
      <c r="Q29" s="1487"/>
      <c r="R29" s="714"/>
      <c r="S29" s="715"/>
      <c r="T29" s="714"/>
      <c r="U29" s="715"/>
      <c r="V29" s="714"/>
      <c r="W29" s="715"/>
      <c r="X29" s="1490"/>
      <c r="Y29" s="3489"/>
      <c r="Z29" s="1491"/>
      <c r="AA29" s="1488">
        <v>1</v>
      </c>
      <c r="AB29" s="1488">
        <v>1</v>
      </c>
      <c r="AC29" s="1488">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9"/>
      <c r="Q30" s="1487" t="str">
        <f t="shared" si="8"/>
        <v>土地级别</v>
      </c>
      <c r="R30" s="714" t="s">
        <v>17</v>
      </c>
      <c r="S30" s="715">
        <f t="shared" si="10"/>
        <v>100</v>
      </c>
      <c r="T30" s="714" t="s">
        <v>17</v>
      </c>
      <c r="U30" s="715">
        <f t="shared" si="11"/>
        <v>100</v>
      </c>
      <c r="V30" s="714" t="s">
        <v>17</v>
      </c>
      <c r="W30" s="715">
        <f t="shared" si="12"/>
        <v>100</v>
      </c>
      <c r="X30" s="1490"/>
      <c r="Y30" s="348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9"/>
      <c r="Q31" s="1487">
        <f t="shared" si="8"/>
        <v>111</v>
      </c>
      <c r="R31" s="714" t="s">
        <v>17</v>
      </c>
      <c r="S31" s="715">
        <f t="shared" si="10"/>
        <v>100</v>
      </c>
      <c r="T31" s="714" t="s">
        <v>17</v>
      </c>
      <c r="U31" s="715">
        <f t="shared" si="11"/>
        <v>100</v>
      </c>
      <c r="V31" s="714" t="s">
        <v>17</v>
      </c>
      <c r="W31" s="715">
        <f t="shared" si="12"/>
        <v>100</v>
      </c>
      <c r="X31" s="1490"/>
      <c r="Y31" s="348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2143</v>
      </c>
      <c r="Q32" s="1487">
        <f t="shared" si="8"/>
        <v>111</v>
      </c>
      <c r="R32" s="714" t="s">
        <v>17</v>
      </c>
      <c r="S32" s="715">
        <f t="shared" si="10"/>
        <v>100</v>
      </c>
      <c r="T32" s="714" t="s">
        <v>17</v>
      </c>
      <c r="U32" s="715">
        <f t="shared" si="11"/>
        <v>100</v>
      </c>
      <c r="V32" s="714" t="s">
        <v>17</v>
      </c>
      <c r="W32" s="715">
        <f t="shared" si="12"/>
        <v>100</v>
      </c>
      <c r="X32" s="1490"/>
      <c r="Y32" s="3493" t="s">
        <v>2143</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3"/>
      <c r="Q33" s="1487">
        <f t="shared" si="8"/>
        <v>111</v>
      </c>
      <c r="R33" s="717" t="s">
        <v>17</v>
      </c>
      <c r="S33" s="718">
        <f t="shared" si="10"/>
        <v>100</v>
      </c>
      <c r="T33" s="717" t="s">
        <v>17</v>
      </c>
      <c r="U33" s="718">
        <f t="shared" si="11"/>
        <v>100</v>
      </c>
      <c r="V33" s="717" t="s">
        <v>17</v>
      </c>
      <c r="W33" s="718">
        <f t="shared" si="12"/>
        <v>100</v>
      </c>
      <c r="X33" s="719"/>
      <c r="Y33" s="3493"/>
      <c r="Z33" s="720">
        <f t="shared" si="13"/>
        <v>111</v>
      </c>
      <c r="AA33" s="1488">
        <f t="shared" si="3"/>
        <v>1</v>
      </c>
      <c r="AB33" s="1488">
        <f t="shared" si="4"/>
        <v>1</v>
      </c>
      <c r="AC33" s="1488">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3"/>
      <c r="Q34" s="1487" t="str">
        <f>B34</f>
        <v>宗地面积</v>
      </c>
      <c r="R34" s="714" t="s">
        <v>17</v>
      </c>
      <c r="S34" s="715" t="e">
        <f t="shared" si="10"/>
        <v>#N/A</v>
      </c>
      <c r="T34" s="714" t="s">
        <v>17</v>
      </c>
      <c r="U34" s="715" t="e">
        <f t="shared" si="11"/>
        <v>#N/A</v>
      </c>
      <c r="V34" s="714" t="s">
        <v>17</v>
      </c>
      <c r="W34" s="715" t="e">
        <f t="shared" si="12"/>
        <v>#N/A</v>
      </c>
      <c r="X34" s="1490"/>
      <c r="Y34" s="3493"/>
      <c r="Z34" s="1491" t="str">
        <f t="shared" si="13"/>
        <v>宗地面积</v>
      </c>
      <c r="AA34" s="1488" t="e">
        <f t="shared" si="3"/>
        <v>#N/A</v>
      </c>
      <c r="AB34" s="1488" t="e">
        <f t="shared" si="4"/>
        <v>#N/A</v>
      </c>
      <c r="AC34" s="1488" t="e">
        <f t="shared" si="5"/>
        <v>#N/A</v>
      </c>
    </row>
    <row r="35" spans="1:31" ht="15">
      <c r="A35" s="431"/>
      <c r="B35" s="381" t="s">
        <v>2330</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3"/>
      <c r="Q35" s="1487" t="str">
        <f t="shared" ref="Q35:Q40" si="14">B35</f>
        <v>宗地形状</v>
      </c>
      <c r="R35" s="714" t="s">
        <v>17</v>
      </c>
      <c r="S35" s="715">
        <f t="shared" si="10"/>
        <v>100</v>
      </c>
      <c r="T35" s="714" t="s">
        <v>17</v>
      </c>
      <c r="U35" s="715">
        <f t="shared" si="11"/>
        <v>100</v>
      </c>
      <c r="V35" s="714" t="s">
        <v>17</v>
      </c>
      <c r="W35" s="715">
        <f t="shared" si="12"/>
        <v>100</v>
      </c>
      <c r="X35" s="1490"/>
      <c r="Y35" s="3493"/>
      <c r="Z35" s="1491" t="str">
        <f t="shared" si="13"/>
        <v>宗地形状</v>
      </c>
      <c r="AA35" s="1488">
        <f t="shared" si="3"/>
        <v>1</v>
      </c>
      <c r="AB35" s="1488">
        <f t="shared" si="4"/>
        <v>1</v>
      </c>
      <c r="AC35" s="1488">
        <f t="shared" si="5"/>
        <v>1</v>
      </c>
    </row>
    <row r="36" spans="1:31" s="113" customFormat="1" ht="15">
      <c r="A36" s="432"/>
      <c r="B36" s="381" t="s">
        <v>2332</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3"/>
      <c r="Q36" s="1487"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
      <c r="A37" s="431"/>
      <c r="B37" s="381" t="s">
        <v>2333</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3" t="s">
        <v>2143</v>
      </c>
      <c r="Q37" s="1487" t="str">
        <f t="shared" si="14"/>
        <v>工程地质条件</v>
      </c>
      <c r="R37" s="714" t="s">
        <v>17</v>
      </c>
      <c r="S37" s="715">
        <f t="shared" si="10"/>
        <v>100</v>
      </c>
      <c r="T37" s="714" t="s">
        <v>17</v>
      </c>
      <c r="U37" s="715">
        <f t="shared" si="11"/>
        <v>100</v>
      </c>
      <c r="V37" s="714" t="s">
        <v>17</v>
      </c>
      <c r="W37" s="715">
        <f t="shared" si="12"/>
        <v>100</v>
      </c>
      <c r="X37" s="1490"/>
      <c r="Y37" s="3493" t="s">
        <v>2143</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3"/>
      <c r="Q38" s="1487">
        <f t="shared" si="14"/>
        <v>111</v>
      </c>
      <c r="R38" s="714" t="s">
        <v>17</v>
      </c>
      <c r="S38" s="715">
        <f t="shared" si="10"/>
        <v>100</v>
      </c>
      <c r="T38" s="714" t="s">
        <v>17</v>
      </c>
      <c r="U38" s="715">
        <f t="shared" si="11"/>
        <v>100</v>
      </c>
      <c r="V38" s="714" t="s">
        <v>17</v>
      </c>
      <c r="W38" s="715">
        <f t="shared" si="12"/>
        <v>100</v>
      </c>
      <c r="X38" s="1490"/>
      <c r="Y38" s="349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3"/>
      <c r="Q39" s="1487">
        <f t="shared" si="14"/>
        <v>111</v>
      </c>
      <c r="R39" s="714" t="s">
        <v>17</v>
      </c>
      <c r="S39" s="715">
        <f t="shared" si="10"/>
        <v>100</v>
      </c>
      <c r="T39" s="714" t="s">
        <v>17</v>
      </c>
      <c r="U39" s="715">
        <f t="shared" si="11"/>
        <v>100</v>
      </c>
      <c r="V39" s="714" t="s">
        <v>17</v>
      </c>
      <c r="W39" s="715">
        <f t="shared" si="12"/>
        <v>100</v>
      </c>
      <c r="X39" s="1490"/>
      <c r="Y39" s="349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3"/>
      <c r="Q40" s="1487">
        <f t="shared" si="14"/>
        <v>111</v>
      </c>
      <c r="R40" s="717" t="s">
        <v>17</v>
      </c>
      <c r="S40" s="718">
        <f t="shared" si="10"/>
        <v>100</v>
      </c>
      <c r="T40" s="717" t="s">
        <v>17</v>
      </c>
      <c r="U40" s="718">
        <f t="shared" si="11"/>
        <v>100</v>
      </c>
      <c r="V40" s="717" t="s">
        <v>17</v>
      </c>
      <c r="W40" s="718">
        <f t="shared" si="12"/>
        <v>100</v>
      </c>
      <c r="X40" s="719"/>
      <c r="Y40" s="3493"/>
      <c r="Z40" s="720">
        <f t="shared" si="13"/>
        <v>111</v>
      </c>
      <c r="AA40" s="1488">
        <f t="shared" si="3"/>
        <v>1</v>
      </c>
      <c r="AB40" s="1488">
        <f t="shared" si="4"/>
        <v>1</v>
      </c>
      <c r="AC40" s="1488">
        <f t="shared" si="5"/>
        <v>1</v>
      </c>
    </row>
    <row r="41" spans="1:31" ht="15">
      <c r="A41" s="438" t="s">
        <v>2298</v>
      </c>
      <c r="B41" s="2119" t="s">
        <v>2377</v>
      </c>
      <c r="C41" s="638" t="s">
        <v>1</v>
      </c>
      <c r="D41" s="440"/>
      <c r="E41" s="441"/>
      <c r="F41" s="442"/>
      <c r="G41" s="443"/>
      <c r="H41" s="444"/>
      <c r="I41" s="441"/>
      <c r="J41" s="444"/>
      <c r="K41" s="723"/>
      <c r="L41" s="2903"/>
      <c r="M41" s="2895"/>
      <c r="N41" s="2895"/>
      <c r="O41" s="2904"/>
      <c r="P41" s="3486" t="str">
        <f>A41</f>
        <v>成交单价</v>
      </c>
      <c r="Q41" s="3486"/>
      <c r="R41" s="3481">
        <f>E41</f>
        <v>0</v>
      </c>
      <c r="S41" s="3481"/>
      <c r="T41" s="3481">
        <f>G41</f>
        <v>0</v>
      </c>
      <c r="U41" s="3481"/>
      <c r="V41" s="3481">
        <f>I41</f>
        <v>0</v>
      </c>
      <c r="W41" s="3481"/>
      <c r="X41" s="699"/>
      <c r="Y41" s="721"/>
      <c r="Z41" s="699"/>
      <c r="AA41" s="699"/>
      <c r="AB41" s="699"/>
      <c r="AC41" s="699"/>
    </row>
    <row r="42" spans="1:31" ht="15.75" thickBot="1">
      <c r="A42" s="445" t="s">
        <v>2247</v>
      </c>
      <c r="B42" s="639"/>
      <c r="C42" s="448" t="e">
        <f>R43</f>
        <v>#DIV/0!</v>
      </c>
      <c r="D42" s="2489" t="s">
        <v>2637</v>
      </c>
      <c r="E42" s="448" t="e">
        <f>R42</f>
        <v>#DIV/0!</v>
      </c>
      <c r="F42" s="2490"/>
      <c r="G42" s="447" t="e">
        <f>T42</f>
        <v>#DIV/0!</v>
      </c>
      <c r="H42" s="2490"/>
      <c r="I42" s="448" t="e">
        <f>V42</f>
        <v>#DIV/0!</v>
      </c>
      <c r="J42" s="2490"/>
      <c r="K42" s="2492">
        <f>F42+H42+J42</f>
        <v>0</v>
      </c>
      <c r="L42" s="2903"/>
      <c r="M42" s="2895"/>
      <c r="N42" s="2895"/>
      <c r="O42" s="2904"/>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903"/>
      <c r="M43" s="2895"/>
      <c r="N43" s="2895"/>
      <c r="O43" s="2904"/>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2336</v>
      </c>
      <c r="B50" s="641" t="s">
        <v>2337</v>
      </c>
      <c r="C50" s="2120" t="s">
        <v>2338</v>
      </c>
      <c r="D50" s="2121" t="s">
        <v>2339</v>
      </c>
      <c r="E50" s="642" t="s">
        <v>2340</v>
      </c>
      <c r="F50" s="643" t="s">
        <v>2341</v>
      </c>
      <c r="G50" s="3469" t="s">
        <v>2342</v>
      </c>
      <c r="H50" s="3516"/>
      <c r="I50" s="1491" t="s">
        <v>2378</v>
      </c>
      <c r="J50" s="1491">
        <f>项目基本情况!F35</f>
        <v>0</v>
      </c>
      <c r="K50" s="2123" t="s">
        <v>2344</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2345</v>
      </c>
      <c r="B51" s="645" t="e">
        <f>C43</f>
        <v>#DIV/0!</v>
      </c>
      <c r="C51" s="646">
        <v>1</v>
      </c>
      <c r="D51" s="1056">
        <v>1</v>
      </c>
      <c r="E51" s="646">
        <f>'数据-汇总表'!E8+'数据-汇总表'!E9</f>
        <v>36123.300000000003</v>
      </c>
      <c r="F51" s="647" t="e">
        <f t="shared" ref="F51:F60" si="15">ROUND(B51*E51/10000,0)</f>
        <v>#DIV/0!</v>
      </c>
      <c r="G51" s="3468"/>
      <c r="H51" s="348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2346</v>
      </c>
      <c r="B52" s="224" t="e">
        <f>ROUND($C$43*C52*D52,0)</f>
        <v>#DIV/0!</v>
      </c>
      <c r="C52" s="176">
        <f t="shared" ref="C52:C60" si="16">IF($C$50="北京市系数",I52,J52)</f>
        <v>0</v>
      </c>
      <c r="D52" s="1057">
        <v>0.25</v>
      </c>
      <c r="E52" s="650"/>
      <c r="F52" s="647" t="e">
        <f t="shared" si="15"/>
        <v>#DIV/0!</v>
      </c>
      <c r="G52" s="3228" t="s">
        <v>2347</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2348</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2349</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2350</v>
      </c>
      <c r="B56" s="224" t="e">
        <f t="shared" si="17"/>
        <v>#DIV/0!</v>
      </c>
      <c r="C56" s="176">
        <f t="shared" si="16"/>
        <v>0</v>
      </c>
      <c r="D56" s="1057">
        <v>0.25</v>
      </c>
      <c r="E56" s="223">
        <f>'数据-汇总表'!E11</f>
        <v>0</v>
      </c>
      <c r="F56" s="647" t="e">
        <f t="shared" si="15"/>
        <v>#DIV/0!</v>
      </c>
      <c r="G56" s="2124" t="s">
        <v>2351</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2352</v>
      </c>
      <c r="B57" s="224" t="e">
        <f t="shared" si="17"/>
        <v>#DIV/0!</v>
      </c>
      <c r="C57" s="176">
        <f t="shared" si="16"/>
        <v>0</v>
      </c>
      <c r="D57" s="1057">
        <v>0.25</v>
      </c>
      <c r="E57" s="223">
        <f>'数据-汇总表'!E12</f>
        <v>0</v>
      </c>
      <c r="F57" s="647" t="e">
        <f t="shared" si="15"/>
        <v>#DIV/0!</v>
      </c>
      <c r="G57" s="1004" t="s">
        <v>2353</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2356</v>
      </c>
      <c r="B59" s="224" t="e">
        <f t="shared" si="17"/>
        <v>#DIV/0!</v>
      </c>
      <c r="C59" s="176">
        <f t="shared" si="16"/>
        <v>0</v>
      </c>
      <c r="D59" s="1057">
        <v>0.25</v>
      </c>
      <c r="E59" s="223">
        <f>'数据-汇总表'!E14</f>
        <v>0</v>
      </c>
      <c r="F59" s="647" t="e">
        <f t="shared" si="15"/>
        <v>#DIV/0!</v>
      </c>
      <c r="G59" s="2124" t="s">
        <v>2347</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2357</v>
      </c>
      <c r="B60" s="224" t="e">
        <f t="shared" si="17"/>
        <v>#DIV/0!</v>
      </c>
      <c r="C60" s="176">
        <f t="shared" si="16"/>
        <v>0</v>
      </c>
      <c r="D60" s="1057">
        <v>0.25</v>
      </c>
      <c r="E60" s="223">
        <f>'数据-汇总表'!E15</f>
        <v>0</v>
      </c>
      <c r="F60" s="647" t="e">
        <f t="shared" si="15"/>
        <v>#DIV/0!</v>
      </c>
      <c r="G60" s="2125" t="s">
        <v>2351</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2358</v>
      </c>
      <c r="B61" s="652" t="s">
        <v>28</v>
      </c>
      <c r="C61" s="652" t="s">
        <v>29</v>
      </c>
      <c r="D61" s="652" t="s">
        <v>816</v>
      </c>
      <c r="E61" s="652">
        <f>IF(B41="楼面地价",SUM(E51:E60),'数据-汇总表'!D3)</f>
        <v>18193.39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4"/>
      <c r="Q63" s="2904"/>
      <c r="R63" s="2904"/>
      <c r="S63" s="2904"/>
      <c r="T63" s="2904"/>
      <c r="U63" s="2904"/>
      <c r="V63" s="2904"/>
      <c r="W63" s="2904"/>
      <c r="X63" s="2904"/>
      <c r="Y63" s="2904"/>
      <c r="Z63" s="2904"/>
      <c r="AA63" s="2904"/>
      <c r="AB63" s="2904"/>
      <c r="AC63" s="2904"/>
      <c r="AD63" s="2904"/>
      <c r="AE63" s="2904"/>
    </row>
    <row r="64" spans="1:31" ht="21.75" thickBot="1">
      <c r="A64" s="703" t="s">
        <v>2252</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2359</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2163</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2128</v>
      </c>
      <c r="B68" s="467"/>
      <c r="C68" s="479" t="s">
        <v>2230</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2166</v>
      </c>
      <c r="B70" s="485" t="s">
        <v>2132</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2135</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2137</v>
      </c>
      <c r="B83" s="485" t="s">
        <v>2283</v>
      </c>
      <c r="C83" s="530" t="s">
        <v>2175</v>
      </c>
      <c r="D83" s="530" t="s">
        <v>2176</v>
      </c>
      <c r="E83" s="530" t="s">
        <v>2177</v>
      </c>
      <c r="F83" s="530" t="s">
        <v>2178</v>
      </c>
      <c r="G83" s="530" t="s">
        <v>2179</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2180</v>
      </c>
      <c r="C85" s="535" t="s">
        <v>2175</v>
      </c>
      <c r="D85" s="535" t="s">
        <v>2176</v>
      </c>
      <c r="E85" s="535" t="s">
        <v>2177</v>
      </c>
      <c r="F85" s="535" t="s">
        <v>2178</v>
      </c>
      <c r="G85" s="535" t="s">
        <v>2179</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2269</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2328</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2369</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2371</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2372</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2</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0"/>
      <c r="B4" s="3541"/>
      <c r="C4" s="3541"/>
      <c r="D4" s="3542"/>
      <c r="E4" s="3542"/>
      <c r="F4" s="3542"/>
      <c r="G4" s="3542"/>
      <c r="H4" s="3542"/>
      <c r="I4" s="3542"/>
      <c r="J4" s="3543"/>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1"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2</v>
      </c>
      <c r="AA7" s="1331"/>
      <c r="AB7" s="1331"/>
      <c r="AC7" s="1332"/>
      <c r="AD7" s="1333"/>
      <c r="AE7" s="1333"/>
      <c r="AF7" s="1333"/>
      <c r="AG7" s="1333"/>
      <c r="AH7" s="1333"/>
      <c r="AI7" s="1333"/>
      <c r="AJ7" s="1334"/>
    </row>
    <row r="8" spans="1:36" ht="15">
      <c r="A8" s="3544"/>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7" t="s">
        <v>2417</v>
      </c>
      <c r="X8" s="3538"/>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44"/>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9"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4"/>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4"/>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9" t="s">
        <v>2441</v>
      </c>
      <c r="X11" s="1339" t="s">
        <v>2442</v>
      </c>
      <c r="Y11" s="1340">
        <f>$G$3</f>
        <v>2</v>
      </c>
      <c r="Z11" s="1340">
        <f t="shared" ref="Z11:AJ11" si="3">$G$3</f>
        <v>2</v>
      </c>
      <c r="AA11" s="1340">
        <f t="shared" si="3"/>
        <v>2</v>
      </c>
      <c r="AB11" s="1340">
        <f t="shared" si="3"/>
        <v>2</v>
      </c>
      <c r="AC11" s="1340">
        <f t="shared" si="3"/>
        <v>2</v>
      </c>
      <c r="AD11" s="1340">
        <f t="shared" si="3"/>
        <v>2</v>
      </c>
      <c r="AE11" s="1340">
        <f t="shared" si="3"/>
        <v>2</v>
      </c>
      <c r="AF11" s="1340">
        <f t="shared" si="3"/>
        <v>2</v>
      </c>
      <c r="AG11" s="1340">
        <f t="shared" si="3"/>
        <v>2</v>
      </c>
      <c r="AH11" s="1340">
        <f t="shared" si="3"/>
        <v>2</v>
      </c>
      <c r="AI11" s="1340">
        <f t="shared" si="3"/>
        <v>2</v>
      </c>
      <c r="AJ11" s="1340">
        <f t="shared" si="3"/>
        <v>2</v>
      </c>
    </row>
    <row r="12" spans="1:36" ht="25.5" thickBot="1">
      <c r="A12" s="3521"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9"/>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5"/>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39"/>
      <c r="X13" s="1341"/>
      <c r="Y13" s="1338">
        <f>(-0.163*(Y12^2)-0.59*Y12+7617)*(10^(-4))/Y11</f>
        <v>0.38085000000000002</v>
      </c>
      <c r="Z13" s="1338">
        <f t="shared" ref="Z13:AJ13" si="5">(-0.163*(Z12^2)-0.59*Z12+7617)*(10^(-4))/Z11</f>
        <v>0.38085000000000002</v>
      </c>
      <c r="AA13" s="1338">
        <f t="shared" si="5"/>
        <v>0.38085000000000002</v>
      </c>
      <c r="AB13" s="1338">
        <f t="shared" si="5"/>
        <v>0.38085000000000002</v>
      </c>
      <c r="AC13" s="1338">
        <f t="shared" si="5"/>
        <v>0.38085000000000002</v>
      </c>
      <c r="AD13" s="1338">
        <f t="shared" si="5"/>
        <v>0.38085000000000002</v>
      </c>
      <c r="AE13" s="1338">
        <f t="shared" si="5"/>
        <v>0.38085000000000002</v>
      </c>
      <c r="AF13" s="1338">
        <f t="shared" si="5"/>
        <v>0.38085000000000002</v>
      </c>
      <c r="AG13" s="1338">
        <f t="shared" si="5"/>
        <v>0.38085000000000002</v>
      </c>
      <c r="AH13" s="1338">
        <f t="shared" si="5"/>
        <v>0.38085000000000002</v>
      </c>
      <c r="AI13" s="1338">
        <f t="shared" si="5"/>
        <v>0.38085000000000002</v>
      </c>
      <c r="AJ13" s="1338">
        <f t="shared" si="5"/>
        <v>0.38085000000000002</v>
      </c>
    </row>
    <row r="14" spans="1:36" ht="15">
      <c r="A14" s="3545"/>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6"/>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1" t="s">
        <v>2460</v>
      </c>
      <c r="B16" s="2160" t="s">
        <v>2461</v>
      </c>
      <c r="C16" s="2322" t="e">
        <f>ROUND(IF(F17="与级别开发程度一致",0,(G17-E17)/C17),0)</f>
        <v>#DIV/0!</v>
      </c>
      <c r="D16" s="3534" t="s">
        <v>2465</v>
      </c>
      <c r="E16" s="3535"/>
      <c r="F16" s="3534" t="s">
        <v>2462</v>
      </c>
      <c r="G16" s="353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2"/>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44768</v>
      </c>
      <c r="H19" s="2203"/>
      <c r="I19" s="848" t="str">
        <f>IF(H19="季度增幅（自定义）",SUMIF(N21:N24,E2,O21:O24),"")</f>
        <v/>
      </c>
      <c r="J19" s="2200"/>
      <c r="K19" s="1240"/>
      <c r="L19" s="2204" t="s">
        <v>2471</v>
      </c>
      <c r="M19" s="1449">
        <f>ROUND(SUMIF(地价!B2:F2,E2,地价!B37:F37),0)</f>
        <v>0</v>
      </c>
      <c r="N19" s="2205" t="s">
        <v>2472</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2473</v>
      </c>
      <c r="C20" s="850" t="e">
        <f>ROUND(POWER(1+G20,J20-I20)*(POWER(1+G20,I20)-1)/(POWER(1+G20,J20)-1),4)</f>
        <v>#DIV/0!</v>
      </c>
      <c r="D20" s="2209" t="s">
        <v>2474</v>
      </c>
      <c r="E20" s="1456">
        <f>存贷款利率!E21/100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2480</v>
      </c>
      <c r="C21" s="857">
        <f>IF(B21="容积率修正",IF(G3&lt;=10,D22,J22),C23)</f>
        <v>0</v>
      </c>
      <c r="D21" s="2216"/>
      <c r="E21" s="2216"/>
      <c r="F21" s="2216"/>
      <c r="G21" s="2216"/>
      <c r="H21" s="2216"/>
      <c r="I21" s="2216"/>
      <c r="J21" s="2217"/>
      <c r="K21" s="1240"/>
      <c r="L21" s="2969"/>
      <c r="M21" s="2969"/>
      <c r="N21" s="2218" t="s">
        <v>2481</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2482</v>
      </c>
      <c r="B22" s="2219" t="s">
        <v>2483</v>
      </c>
      <c r="C22" s="1487" t="s">
        <v>2484</v>
      </c>
      <c r="D22" s="1487" t="b">
        <f>IF(E22=G22,F22,IF(G3&lt;=10,ROUND(F22+(H22-F22)*(G3-E22)/(G22-E22),4),"——"))</f>
        <v>0</v>
      </c>
      <c r="E22" s="837">
        <f>ROUNDDOWN(G3,1)</f>
        <v>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2485</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9"/>
      <c r="M24" s="2969"/>
      <c r="N24" s="2228" t="s">
        <v>2490</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2491</v>
      </c>
      <c r="C25" s="851"/>
      <c r="D25" s="2163"/>
      <c r="E25" s="2163"/>
      <c r="F25" s="2230"/>
      <c r="G25" s="2163"/>
      <c r="H25" s="2163"/>
      <c r="I25" s="2163"/>
      <c r="J25" s="2164"/>
      <c r="K25" s="1233"/>
      <c r="L25" s="2134"/>
      <c r="M25" s="2134"/>
      <c r="N25" s="2964" t="s">
        <v>2492</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7" t="s">
        <v>2391</v>
      </c>
      <c r="M26" s="2161" t="s">
        <v>2456</v>
      </c>
      <c r="N26" s="2161" t="s">
        <v>2457</v>
      </c>
      <c r="O26" s="2161" t="s">
        <v>2458</v>
      </c>
      <c r="P26" s="2968"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1"/>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6"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2"/>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2"/>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3"/>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2175</v>
      </c>
      <c r="K80" s="560" t="s">
        <v>2176</v>
      </c>
      <c r="L80" s="560" t="s">
        <v>2177</v>
      </c>
      <c r="M80" s="560" t="s">
        <v>2178</v>
      </c>
      <c r="N80" s="560" t="s">
        <v>2179</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3" t="s">
        <v>2548</v>
      </c>
      <c r="B90" s="3523"/>
      <c r="C90" s="3523"/>
      <c r="D90" s="3523"/>
      <c r="E90" s="3523"/>
      <c r="F90" s="3523"/>
      <c r="G90" s="3523"/>
      <c r="H90" s="3523"/>
      <c r="I90" s="3523"/>
      <c r="J90" s="3523"/>
      <c r="K90" s="2294"/>
      <c r="L90" s="2294"/>
      <c r="M90" s="2294"/>
      <c r="N90" s="2294"/>
    </row>
    <row r="91" spans="1:37">
      <c r="A91" s="3525" t="s">
        <v>2549</v>
      </c>
      <c r="B91" s="3525" t="s">
        <v>2550</v>
      </c>
      <c r="C91" s="2248" t="s">
        <v>2551</v>
      </c>
      <c r="D91" s="2249"/>
      <c r="E91" s="2249"/>
      <c r="F91" s="2249"/>
      <c r="G91" s="2249"/>
      <c r="H91" s="2249"/>
      <c r="I91" s="2249"/>
      <c r="J91" s="2295"/>
      <c r="K91" s="2296"/>
      <c r="L91" s="2296"/>
      <c r="M91" s="2296"/>
      <c r="N91" s="2296"/>
    </row>
    <row r="92" spans="1:37">
      <c r="A92" s="3525"/>
      <c r="B92" s="3525"/>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26"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7"/>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6" t="s">
        <v>2553</v>
      </c>
      <c r="B101" s="2301" t="s">
        <v>2554</v>
      </c>
      <c r="C101" s="2302">
        <f>$G$3</f>
        <v>2</v>
      </c>
      <c r="D101" s="2302">
        <f t="shared" ref="D101:N101" si="31">$G$3</f>
        <v>2</v>
      </c>
      <c r="E101" s="2302">
        <f t="shared" si="31"/>
        <v>2</v>
      </c>
      <c r="F101" s="2302">
        <f t="shared" si="31"/>
        <v>2</v>
      </c>
      <c r="G101" s="2302">
        <f t="shared" si="31"/>
        <v>2</v>
      </c>
      <c r="H101" s="2302">
        <f t="shared" si="31"/>
        <v>2</v>
      </c>
      <c r="I101" s="2302">
        <f t="shared" si="31"/>
        <v>2</v>
      </c>
      <c r="J101" s="2302">
        <f t="shared" si="31"/>
        <v>2</v>
      </c>
      <c r="K101" s="2302">
        <f t="shared" si="31"/>
        <v>2</v>
      </c>
      <c r="L101" s="2302">
        <f t="shared" si="31"/>
        <v>2</v>
      </c>
      <c r="M101" s="2302">
        <f t="shared" si="31"/>
        <v>2</v>
      </c>
      <c r="N101" s="2302">
        <f t="shared" si="31"/>
        <v>2</v>
      </c>
    </row>
    <row r="102" spans="1:14">
      <c r="A102" s="3527"/>
      <c r="B102" s="2297">
        <v>1</v>
      </c>
      <c r="C102" s="2298">
        <f>1.9362/C101</f>
        <v>0.96809999999999996</v>
      </c>
      <c r="D102" s="2298">
        <f>1.9362/D101</f>
        <v>0.96809999999999996</v>
      </c>
      <c r="E102" s="2298">
        <f>1.8629/E101</f>
        <v>0.93145</v>
      </c>
      <c r="F102" s="2298">
        <f>1.8629/F101</f>
        <v>0.93145</v>
      </c>
      <c r="G102" s="2298">
        <f>1.8629/G101</f>
        <v>0.93145</v>
      </c>
      <c r="H102" s="2298">
        <f>1.8629/H101</f>
        <v>0.93145</v>
      </c>
      <c r="I102" s="2298">
        <f>1.8629/I101</f>
        <v>0.93145</v>
      </c>
      <c r="J102" s="2298">
        <f>1.942/J101</f>
        <v>0.97099999999999997</v>
      </c>
      <c r="K102" s="2298">
        <f>1.942/K101</f>
        <v>0.97099999999999997</v>
      </c>
      <c r="L102" s="2298">
        <f>1.942/L101</f>
        <v>0.97099999999999997</v>
      </c>
      <c r="M102" s="2298">
        <f>1.942/M101</f>
        <v>0.97099999999999997</v>
      </c>
      <c r="N102" s="2298">
        <f>1.942/N101</f>
        <v>0.97099999999999997</v>
      </c>
    </row>
    <row r="103" spans="1:14">
      <c r="A103" s="3527"/>
      <c r="B103" s="2297">
        <v>2</v>
      </c>
      <c r="C103" s="2298">
        <f>1.4198/C101</f>
        <v>0.70989999999999998</v>
      </c>
      <c r="D103" s="2298">
        <f>1.4198/D101</f>
        <v>0.70989999999999998</v>
      </c>
      <c r="E103" s="2298">
        <f>1.3372/E101</f>
        <v>0.66859999999999997</v>
      </c>
      <c r="F103" s="2298">
        <f>1.3372/F101</f>
        <v>0.66859999999999997</v>
      </c>
      <c r="G103" s="2298">
        <f>1.3372/G101</f>
        <v>0.66859999999999997</v>
      </c>
      <c r="H103" s="2298">
        <f>1.3372/H101</f>
        <v>0.66859999999999997</v>
      </c>
      <c r="I103" s="2298">
        <f>1.3372/I101</f>
        <v>0.66859999999999997</v>
      </c>
      <c r="J103" s="2298">
        <f>1.2799/J101</f>
        <v>0.63995000000000002</v>
      </c>
      <c r="K103" s="2298">
        <f>1.2799/K101</f>
        <v>0.63995000000000002</v>
      </c>
      <c r="L103" s="2298">
        <f>1.2799/L101</f>
        <v>0.63995000000000002</v>
      </c>
      <c r="M103" s="2298">
        <f>1.2799/M101</f>
        <v>0.63995000000000002</v>
      </c>
      <c r="N103" s="2298">
        <f>1.2799/N101</f>
        <v>0.63995000000000002</v>
      </c>
    </row>
    <row r="104" spans="1:14">
      <c r="A104" s="3527"/>
      <c r="B104" s="2297">
        <v>3</v>
      </c>
      <c r="C104" s="2298">
        <f>1.1594/C101</f>
        <v>0.57969999999999999</v>
      </c>
      <c r="D104" s="2298">
        <f>1.1594/D101</f>
        <v>0.57969999999999999</v>
      </c>
      <c r="E104" s="2298">
        <f>1.0788/E101</f>
        <v>0.53939999999999999</v>
      </c>
      <c r="F104" s="2298">
        <f>1.0788/F101</f>
        <v>0.53939999999999999</v>
      </c>
      <c r="G104" s="2298">
        <f>1.0788/G101</f>
        <v>0.53939999999999999</v>
      </c>
      <c r="H104" s="2298">
        <f>1.0788/H101</f>
        <v>0.53939999999999999</v>
      </c>
      <c r="I104" s="2298">
        <f>1.0788/I101</f>
        <v>0.53939999999999999</v>
      </c>
      <c r="J104" s="2298">
        <f>1.0072/J101</f>
        <v>0.50360000000000005</v>
      </c>
      <c r="K104" s="2298">
        <f>1.0072/K101</f>
        <v>0.50360000000000005</v>
      </c>
      <c r="L104" s="2298">
        <f>1.0072/L101</f>
        <v>0.50360000000000005</v>
      </c>
      <c r="M104" s="2298">
        <f>1.0072/M101</f>
        <v>0.50360000000000005</v>
      </c>
      <c r="N104" s="2298">
        <f>1.0072/N101</f>
        <v>0.50360000000000005</v>
      </c>
    </row>
    <row r="105" spans="1:14">
      <c r="A105" s="3527"/>
      <c r="B105" s="2297">
        <v>4</v>
      </c>
      <c r="C105" s="2298">
        <f>0.9622/C101</f>
        <v>0.48110000000000003</v>
      </c>
      <c r="D105" s="2298">
        <f>0.9622/D101</f>
        <v>0.48110000000000003</v>
      </c>
      <c r="E105" s="2298">
        <f>0.8656/E101</f>
        <v>0.43280000000000002</v>
      </c>
      <c r="F105" s="2298">
        <f>0.8656/F101</f>
        <v>0.43280000000000002</v>
      </c>
      <c r="G105" s="2298">
        <f>0.8656/G101</f>
        <v>0.43280000000000002</v>
      </c>
      <c r="H105" s="2298">
        <f>0.8656/H101</f>
        <v>0.43280000000000002</v>
      </c>
      <c r="I105" s="2298">
        <f>0.8656/I101</f>
        <v>0.43280000000000002</v>
      </c>
      <c r="J105" s="2298">
        <f>0.7525/J101</f>
        <v>0.37624999999999997</v>
      </c>
      <c r="K105" s="2298">
        <f>0.7525/K101</f>
        <v>0.37624999999999997</v>
      </c>
      <c r="L105" s="2298">
        <f>0.7525/L101</f>
        <v>0.37624999999999997</v>
      </c>
      <c r="M105" s="2298">
        <f>0.7525/M101</f>
        <v>0.37624999999999997</v>
      </c>
      <c r="N105" s="2298">
        <f>0.7525/N101</f>
        <v>0.37624999999999997</v>
      </c>
    </row>
    <row r="106" spans="1:14">
      <c r="A106" s="3527"/>
      <c r="B106" s="2297">
        <v>5</v>
      </c>
      <c r="C106" s="2298">
        <f>0.8417/C101</f>
        <v>0.42085</v>
      </c>
      <c r="D106" s="2298">
        <f>0.8417/D101</f>
        <v>0.42085</v>
      </c>
      <c r="E106" s="2298">
        <f>0.7371/E101</f>
        <v>0.36854999999999999</v>
      </c>
      <c r="F106" s="2298">
        <f>0.7371/F101</f>
        <v>0.36854999999999999</v>
      </c>
      <c r="G106" s="2298">
        <f>0.7371/G101</f>
        <v>0.36854999999999999</v>
      </c>
      <c r="H106" s="2298">
        <f>0.7371/H101</f>
        <v>0.36854999999999999</v>
      </c>
      <c r="I106" s="2298">
        <f>0.7371/I101</f>
        <v>0.36854999999999999</v>
      </c>
      <c r="J106" s="2298">
        <f>0.5659/J101</f>
        <v>0.28294999999999998</v>
      </c>
      <c r="K106" s="2298">
        <f>0.5659/K101</f>
        <v>0.28294999999999998</v>
      </c>
      <c r="L106" s="2298">
        <f>0.5659/L101</f>
        <v>0.28294999999999998</v>
      </c>
      <c r="M106" s="2298">
        <f>0.5659/M101</f>
        <v>0.28294999999999998</v>
      </c>
      <c r="N106" s="2298">
        <f>0.5659/N101</f>
        <v>0.28294999999999998</v>
      </c>
    </row>
    <row r="107" spans="1:14">
      <c r="A107" s="3527"/>
      <c r="B107" s="2297">
        <v>6</v>
      </c>
      <c r="C107" s="2298">
        <f>0.7608/C101</f>
        <v>0.38040000000000002</v>
      </c>
      <c r="D107" s="2298">
        <f>0.7608/D101</f>
        <v>0.38040000000000002</v>
      </c>
      <c r="E107" s="2298">
        <f>0.6482/E101</f>
        <v>0.3241</v>
      </c>
      <c r="F107" s="2298">
        <f>0.6482/F101</f>
        <v>0.3241</v>
      </c>
      <c r="G107" s="2298">
        <f>0.6482/G101</f>
        <v>0.3241</v>
      </c>
      <c r="H107" s="2298">
        <f>0.6482/H101</f>
        <v>0.3241</v>
      </c>
      <c r="I107" s="2298">
        <f>0.6482/I101</f>
        <v>0.3241</v>
      </c>
      <c r="J107" s="2298">
        <f>0.4525/J101</f>
        <v>0.22625000000000001</v>
      </c>
      <c r="K107" s="2298">
        <f>0.4525/K101</f>
        <v>0.22625000000000001</v>
      </c>
      <c r="L107" s="2298">
        <f>0.4525/L101</f>
        <v>0.22625000000000001</v>
      </c>
      <c r="M107" s="2298">
        <f>0.4525/M101</f>
        <v>0.22625000000000001</v>
      </c>
      <c r="N107" s="2298">
        <f>0.4525/N101</f>
        <v>0.22625000000000001</v>
      </c>
    </row>
    <row r="108" spans="1:14">
      <c r="A108" s="3527"/>
      <c r="B108" s="3529"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8"/>
      <c r="B109" s="3530"/>
      <c r="C109" s="2300">
        <f>(-0.163*(C108^2)-0.59*C108+7617)*(10^(-4))/C101</f>
        <v>0.38085000000000002</v>
      </c>
      <c r="D109" s="2300">
        <f>(-0.163*(D108^2)-0.59*D108+7617)*(10^(-4))/D101</f>
        <v>0.38085000000000002</v>
      </c>
      <c r="E109" s="2300">
        <f>(-0.161*(E108^2)-7.509*E108+6533)*(10^(-4))/E101</f>
        <v>0.32665</v>
      </c>
      <c r="F109" s="2300">
        <f>(-0.161*(F108^2)-7.509*F108+6533)*(10^(-4))/F101</f>
        <v>0.32665</v>
      </c>
      <c r="G109" s="2300">
        <f>(-0.161*(G108^2)-7.509*G108+6533)*(10^(-4))/G101</f>
        <v>0.32665</v>
      </c>
      <c r="H109" s="2300">
        <f>(-0.161*(H108^2)-7.509*H108+6533)*(10^(-4))/H101</f>
        <v>0.32665</v>
      </c>
      <c r="I109" s="2300">
        <f>(-0.161*(I108^2)-7.509*I108+6533)*(10^(-4))/I101</f>
        <v>0.32665</v>
      </c>
      <c r="J109" s="2300">
        <f>(-0.214*(J108^2)-21.991*J108+4665)*(10^(-4))/J101</f>
        <v>0.23325000000000001</v>
      </c>
      <c r="K109" s="2300">
        <f>(-0.214*(K108^2)-21.991*K108+4665)*(10^(-4))/K101</f>
        <v>0.23325000000000001</v>
      </c>
      <c r="L109" s="2300">
        <f>(-0.214*(L108^2)-21.991*L108+4665)*(10^(-4))/L101</f>
        <v>0.23325000000000001</v>
      </c>
      <c r="M109" s="2300">
        <f>(-0.214*(M108^2)-21.991*M108+4665)*(10^(-4))/M101</f>
        <v>0.23325000000000001</v>
      </c>
      <c r="N109" s="2300">
        <f>(-0.214*(N108^2)-21.991*N108+4665)*(10^(-4))/N101</f>
        <v>0.23325000000000001</v>
      </c>
    </row>
    <row r="110" spans="1:14">
      <c r="A110" s="3524" t="s">
        <v>2556</v>
      </c>
      <c r="B110" s="3524"/>
      <c r="C110" s="3524"/>
      <c r="D110" s="3524"/>
      <c r="E110" s="3524"/>
      <c r="F110" s="3524"/>
      <c r="G110" s="3524"/>
      <c r="H110" s="3524"/>
      <c r="I110" s="3524"/>
      <c r="J110" s="3524"/>
      <c r="K110" s="2303"/>
      <c r="L110" s="2303"/>
      <c r="M110" s="2303"/>
      <c r="N110" s="2303"/>
    </row>
    <row r="112" spans="1:14" ht="13.5" thickBot="1"/>
    <row r="113" spans="1:13" ht="25.5" thickBot="1">
      <c r="A113" s="824" t="s">
        <v>2557</v>
      </c>
      <c r="B113" s="1178">
        <f>G3</f>
        <v>2</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0.91469999999999996</v>
      </c>
      <c r="C115" s="831">
        <f>B115</f>
        <v>0.91469999999999996</v>
      </c>
      <c r="D115" s="831">
        <f>ROUND(0.8331-0.0109*B113,4)</f>
        <v>0.81130000000000002</v>
      </c>
      <c r="E115" s="831">
        <f>D115</f>
        <v>0.81130000000000002</v>
      </c>
      <c r="F115" s="831">
        <f>E115</f>
        <v>0.81130000000000002</v>
      </c>
      <c r="G115" s="831">
        <f>F115</f>
        <v>0.81130000000000002</v>
      </c>
      <c r="H115" s="831">
        <f>G115</f>
        <v>0.81130000000000002</v>
      </c>
      <c r="I115" s="831">
        <f>ROUND(0.689-0.0155*B113,4)</f>
        <v>0.65800000000000003</v>
      </c>
      <c r="J115" s="831">
        <f t="shared" ref="J115:M118" si="33">I115</f>
        <v>0.65800000000000003</v>
      </c>
      <c r="K115" s="831">
        <f t="shared" si="33"/>
        <v>0.65800000000000003</v>
      </c>
      <c r="L115" s="831">
        <f t="shared" si="33"/>
        <v>0.65800000000000003</v>
      </c>
      <c r="M115" s="832">
        <f t="shared" si="33"/>
        <v>0.65800000000000003</v>
      </c>
    </row>
    <row r="116" spans="1:13">
      <c r="A116" s="830" t="s">
        <v>2457</v>
      </c>
      <c r="B116" s="831">
        <f>ROUND(0.949-0.012*B113,4)</f>
        <v>0.92500000000000004</v>
      </c>
      <c r="C116" s="831">
        <f>B116</f>
        <v>0.92500000000000004</v>
      </c>
      <c r="D116" s="831">
        <f>ROUND(0.8567-0.013*B113,4)</f>
        <v>0.83069999999999999</v>
      </c>
      <c r="E116" s="831">
        <f t="shared" ref="E116:H117" si="34">D116</f>
        <v>0.83069999999999999</v>
      </c>
      <c r="F116" s="831">
        <f t="shared" si="34"/>
        <v>0.83069999999999999</v>
      </c>
      <c r="G116" s="831">
        <f t="shared" si="34"/>
        <v>0.83069999999999999</v>
      </c>
      <c r="H116" s="831">
        <f t="shared" si="34"/>
        <v>0.83069999999999999</v>
      </c>
      <c r="I116" s="831">
        <f>ROUND(0.7694-0.014*B113,4)</f>
        <v>0.74139999999999995</v>
      </c>
      <c r="J116" s="831">
        <f t="shared" si="33"/>
        <v>0.74139999999999995</v>
      </c>
      <c r="K116" s="831">
        <f t="shared" si="33"/>
        <v>0.74139999999999995</v>
      </c>
      <c r="L116" s="831">
        <f t="shared" si="33"/>
        <v>0.74139999999999995</v>
      </c>
      <c r="M116" s="832">
        <f t="shared" si="33"/>
        <v>0.74139999999999995</v>
      </c>
    </row>
    <row r="117" spans="1:13">
      <c r="A117" s="830" t="s">
        <v>2458</v>
      </c>
      <c r="B117" s="831">
        <f>ROUND(0.8808-0.006*B113,4)</f>
        <v>0.86880000000000002</v>
      </c>
      <c r="C117" s="831">
        <f>B117</f>
        <v>0.86880000000000002</v>
      </c>
      <c r="D117" s="831">
        <f>ROUND(0.8748-0.008*B113,4)</f>
        <v>0.85880000000000001</v>
      </c>
      <c r="E117" s="831">
        <f t="shared" si="34"/>
        <v>0.85880000000000001</v>
      </c>
      <c r="F117" s="831">
        <f t="shared" si="34"/>
        <v>0.85880000000000001</v>
      </c>
      <c r="G117" s="831">
        <f t="shared" si="34"/>
        <v>0.85880000000000001</v>
      </c>
      <c r="H117" s="831">
        <f t="shared" si="34"/>
        <v>0.85880000000000001</v>
      </c>
      <c r="I117" s="831">
        <f>ROUND(0.7412-0.0095*B113,4)</f>
        <v>0.72219999999999995</v>
      </c>
      <c r="J117" s="831">
        <f t="shared" si="33"/>
        <v>0.72219999999999995</v>
      </c>
      <c r="K117" s="831">
        <f t="shared" si="33"/>
        <v>0.72219999999999995</v>
      </c>
      <c r="L117" s="831">
        <f t="shared" si="33"/>
        <v>0.72219999999999995</v>
      </c>
      <c r="M117" s="832">
        <f t="shared" si="33"/>
        <v>0.72219999999999995</v>
      </c>
    </row>
    <row r="118" spans="1:13" ht="13.5" thickBot="1">
      <c r="A118" s="670" t="s">
        <v>2459</v>
      </c>
      <c r="B118" s="833">
        <f>ROUND(0.7275-0.01*B113,4)</f>
        <v>0.70750000000000002</v>
      </c>
      <c r="C118" s="833">
        <f>B118</f>
        <v>0.70750000000000002</v>
      </c>
      <c r="D118" s="833">
        <f>ROUND(0.7043-0.012*B113,4)</f>
        <v>0.68030000000000002</v>
      </c>
      <c r="E118" s="833">
        <f>D118</f>
        <v>0.68030000000000002</v>
      </c>
      <c r="F118" s="833">
        <f>E118</f>
        <v>0.68030000000000002</v>
      </c>
      <c r="G118" s="833">
        <f>ROUND(0.6299-0.0122*B113,4)</f>
        <v>0.60550000000000004</v>
      </c>
      <c r="H118" s="833">
        <f>G118</f>
        <v>0.60550000000000004</v>
      </c>
      <c r="I118" s="833">
        <f>ROUND(0.5667-0.0136*B113,4)</f>
        <v>0.53949999999999998</v>
      </c>
      <c r="J118" s="833">
        <f t="shared" si="33"/>
        <v>0.53949999999999998</v>
      </c>
      <c r="K118" s="833">
        <f t="shared" si="33"/>
        <v>0.53949999999999998</v>
      </c>
      <c r="L118" s="833">
        <f t="shared" si="33"/>
        <v>0.53949999999999998</v>
      </c>
      <c r="M118" s="834">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54" t="s">
        <v>2953</v>
      </c>
      <c r="B20" s="3547" t="s">
        <v>2954</v>
      </c>
      <c r="C20" s="3213" t="s">
        <v>2955</v>
      </c>
      <c r="D20" s="3214"/>
      <c r="E20" s="3215">
        <v>1</v>
      </c>
      <c r="F20" s="3216" t="s">
        <v>2956</v>
      </c>
      <c r="G20" s="807"/>
      <c r="H20" s="801"/>
      <c r="I20" s="801"/>
    </row>
    <row r="21" spans="1:13" s="808" customFormat="1" ht="19.5" customHeight="1">
      <c r="A21" s="3555"/>
      <c r="B21" s="3548"/>
      <c r="C21" s="805" t="s">
        <v>2957</v>
      </c>
      <c r="D21" s="806"/>
      <c r="E21" s="3217">
        <v>1</v>
      </c>
      <c r="F21" s="3216" t="s">
        <v>2958</v>
      </c>
      <c r="G21" s="807"/>
      <c r="H21" s="801"/>
      <c r="I21" s="801"/>
    </row>
    <row r="22" spans="1:13" s="808" customFormat="1" ht="19.5" customHeight="1">
      <c r="A22" s="3555"/>
      <c r="B22" s="3548"/>
      <c r="C22" s="805" t="s">
        <v>2959</v>
      </c>
      <c r="D22" s="806"/>
      <c r="E22" s="3217">
        <v>0.9</v>
      </c>
      <c r="F22" s="3216" t="s">
        <v>2960</v>
      </c>
      <c r="G22" s="807"/>
      <c r="H22" s="801"/>
      <c r="I22" s="801"/>
    </row>
    <row r="23" spans="1:13" s="808" customFormat="1" ht="19.5" customHeight="1">
      <c r="A23" s="3555"/>
      <c r="B23" s="3548"/>
      <c r="C23" s="805" t="s">
        <v>2961</v>
      </c>
      <c r="D23" s="806"/>
      <c r="E23" s="3217">
        <v>0.9</v>
      </c>
      <c r="F23" s="3216" t="s">
        <v>2962</v>
      </c>
      <c r="G23" s="807"/>
      <c r="H23" s="801"/>
      <c r="I23" s="801"/>
    </row>
    <row r="24" spans="1:13" s="808" customFormat="1" ht="19.5" customHeight="1">
      <c r="A24" s="3555"/>
      <c r="B24" s="3548"/>
      <c r="C24" s="805" t="s">
        <v>2963</v>
      </c>
      <c r="D24" s="806"/>
      <c r="E24" s="3217">
        <v>0.8</v>
      </c>
      <c r="F24" s="3216" t="s">
        <v>2964</v>
      </c>
      <c r="G24" s="807"/>
      <c r="H24" s="801"/>
      <c r="I24" s="801"/>
    </row>
    <row r="25" spans="1:13" s="808" customFormat="1" ht="19.5" customHeight="1" thickBot="1">
      <c r="A25" s="3556"/>
      <c r="B25" s="3549"/>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50" t="s">
        <v>2970</v>
      </c>
      <c r="B27" s="3547" t="s">
        <v>2970</v>
      </c>
      <c r="C27" s="3213" t="s">
        <v>2971</v>
      </c>
      <c r="D27" s="3214"/>
      <c r="E27" s="3215">
        <v>1</v>
      </c>
      <c r="F27" s="3216" t="s">
        <v>2972</v>
      </c>
      <c r="G27" s="807"/>
      <c r="H27" s="801"/>
      <c r="I27" s="801"/>
    </row>
    <row r="28" spans="1:13" s="808" customFormat="1" ht="19.5" customHeight="1">
      <c r="A28" s="3551"/>
      <c r="B28" s="3548"/>
      <c r="C28" s="805" t="s">
        <v>2973</v>
      </c>
      <c r="D28" s="806"/>
      <c r="E28" s="3217">
        <v>1</v>
      </c>
      <c r="F28" s="3216" t="s">
        <v>2974</v>
      </c>
      <c r="G28" s="807"/>
      <c r="H28" s="801"/>
      <c r="I28" s="801"/>
    </row>
    <row r="29" spans="1:13" s="808" customFormat="1" ht="19.5" customHeight="1">
      <c r="A29" s="3551"/>
      <c r="B29" s="3548"/>
      <c r="C29" s="805" t="s">
        <v>2975</v>
      </c>
      <c r="D29" s="806"/>
      <c r="E29" s="3217">
        <v>0.8</v>
      </c>
      <c r="F29" s="3216" t="s">
        <v>2976</v>
      </c>
      <c r="G29" s="807"/>
      <c r="H29" s="801"/>
      <c r="I29" s="801"/>
    </row>
    <row r="30" spans="1:13" s="808" customFormat="1" ht="19.5" customHeight="1">
      <c r="A30" s="3551"/>
      <c r="B30" s="3548"/>
      <c r="C30" s="805" t="s">
        <v>2977</v>
      </c>
      <c r="D30" s="806"/>
      <c r="E30" s="3217">
        <v>0.8</v>
      </c>
      <c r="F30" s="3216" t="s">
        <v>2978</v>
      </c>
      <c r="G30" s="807"/>
      <c r="H30" s="801"/>
      <c r="I30" s="801"/>
    </row>
    <row r="31" spans="1:13" s="808" customFormat="1" ht="19.5" customHeight="1">
      <c r="A31" s="3551"/>
      <c r="B31" s="3548"/>
      <c r="C31" s="805" t="s">
        <v>2979</v>
      </c>
      <c r="D31" s="806"/>
      <c r="E31" s="3217">
        <v>0.8</v>
      </c>
      <c r="F31" s="3216" t="s">
        <v>2980</v>
      </c>
      <c r="G31" s="807"/>
      <c r="H31" s="801"/>
      <c r="I31" s="801"/>
    </row>
    <row r="32" spans="1:13" s="808" customFormat="1" ht="19.5" customHeight="1">
      <c r="A32" s="3551"/>
      <c r="B32" s="3548"/>
      <c r="C32" s="805" t="s">
        <v>2981</v>
      </c>
      <c r="D32" s="806"/>
      <c r="E32" s="3217">
        <v>0.7</v>
      </c>
      <c r="F32" s="3216" t="s">
        <v>2982</v>
      </c>
      <c r="G32" s="807"/>
      <c r="H32" s="801"/>
      <c r="I32" s="801"/>
    </row>
    <row r="33" spans="1:9" s="808" customFormat="1" ht="19.5" customHeight="1">
      <c r="A33" s="3551"/>
      <c r="B33" s="3548"/>
      <c r="C33" s="805" t="s">
        <v>2983</v>
      </c>
      <c r="D33" s="806"/>
      <c r="E33" s="3217">
        <v>0.8</v>
      </c>
      <c r="F33" s="3216" t="s">
        <v>2984</v>
      </c>
      <c r="G33" s="807"/>
      <c r="H33" s="801"/>
      <c r="I33" s="801"/>
    </row>
    <row r="34" spans="1:9" s="808" customFormat="1" ht="19.5" customHeight="1">
      <c r="A34" s="3551"/>
      <c r="B34" s="3548"/>
      <c r="C34" s="805" t="s">
        <v>2985</v>
      </c>
      <c r="D34" s="806"/>
      <c r="E34" s="3217">
        <v>0.6</v>
      </c>
      <c r="F34" s="3216" t="s">
        <v>2986</v>
      </c>
      <c r="G34" s="807"/>
      <c r="H34" s="801"/>
      <c r="I34" s="801"/>
    </row>
    <row r="35" spans="1:9" s="808" customFormat="1" ht="19.5" customHeight="1">
      <c r="A35" s="3551"/>
      <c r="B35" s="3548"/>
      <c r="C35" s="805" t="s">
        <v>2987</v>
      </c>
      <c r="D35" s="806"/>
      <c r="E35" s="3217">
        <v>0.2</v>
      </c>
      <c r="F35" s="3216" t="s">
        <v>2988</v>
      </c>
      <c r="G35" s="807"/>
      <c r="H35" s="801"/>
      <c r="I35" s="801"/>
    </row>
    <row r="36" spans="1:9" s="808" customFormat="1" ht="19.5" customHeight="1">
      <c r="A36" s="3551"/>
      <c r="B36" s="3548"/>
      <c r="C36" s="805" t="s">
        <v>2989</v>
      </c>
      <c r="D36" s="806"/>
      <c r="E36" s="3217">
        <v>0.2</v>
      </c>
      <c r="F36" s="3216" t="s">
        <v>2990</v>
      </c>
      <c r="G36" s="807"/>
      <c r="H36" s="801"/>
      <c r="I36" s="801"/>
    </row>
    <row r="37" spans="1:9" s="808" customFormat="1" ht="19.5" customHeight="1">
      <c r="A37" s="3551"/>
      <c r="B37" s="3553" t="s">
        <v>2991</v>
      </c>
      <c r="C37" s="805" t="s">
        <v>2992</v>
      </c>
      <c r="D37" s="806"/>
      <c r="E37" s="3217">
        <v>0.6</v>
      </c>
      <c r="F37" s="3216" t="s">
        <v>2993</v>
      </c>
      <c r="G37" s="807"/>
      <c r="H37" s="801"/>
      <c r="I37" s="801"/>
    </row>
    <row r="38" spans="1:9" s="808" customFormat="1" ht="19.5" customHeight="1">
      <c r="A38" s="3551"/>
      <c r="B38" s="3548"/>
      <c r="C38" s="805" t="s">
        <v>2994</v>
      </c>
      <c r="D38" s="806"/>
      <c r="E38" s="3217">
        <v>0.6</v>
      </c>
      <c r="F38" s="3216" t="s">
        <v>2995</v>
      </c>
      <c r="G38" s="807"/>
      <c r="H38" s="801"/>
      <c r="I38" s="801"/>
    </row>
    <row r="39" spans="1:9" s="808" customFormat="1" ht="19.5" customHeight="1" thickBot="1">
      <c r="A39" s="3552"/>
      <c r="B39" s="3549"/>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54" t="s">
        <v>3001</v>
      </c>
      <c r="B41" s="3547" t="s">
        <v>3002</v>
      </c>
      <c r="C41" s="3213" t="s">
        <v>3003</v>
      </c>
      <c r="D41" s="3214"/>
      <c r="E41" s="3215">
        <v>1</v>
      </c>
      <c r="F41" s="3216" t="s">
        <v>3004</v>
      </c>
      <c r="G41" s="807"/>
      <c r="H41" s="801"/>
      <c r="I41" s="801"/>
    </row>
    <row r="42" spans="1:9" s="808" customFormat="1" ht="19.5" customHeight="1">
      <c r="A42" s="3555"/>
      <c r="B42" s="3548"/>
      <c r="C42" s="805" t="s">
        <v>3005</v>
      </c>
      <c r="D42" s="806"/>
      <c r="E42" s="3217">
        <v>1</v>
      </c>
      <c r="F42" s="3216" t="s">
        <v>3006</v>
      </c>
      <c r="G42" s="807"/>
      <c r="H42" s="801"/>
      <c r="I42" s="801"/>
    </row>
    <row r="43" spans="1:9" s="808" customFormat="1" ht="19.5" customHeight="1">
      <c r="A43" s="3555"/>
      <c r="B43" s="3557"/>
      <c r="C43" s="805" t="s">
        <v>3007</v>
      </c>
      <c r="D43" s="806"/>
      <c r="E43" s="3217">
        <v>1.5</v>
      </c>
      <c r="F43" s="3216" t="s">
        <v>3008</v>
      </c>
      <c r="G43" s="807"/>
      <c r="H43" s="801"/>
      <c r="I43" s="801"/>
    </row>
    <row r="44" spans="1:9" s="808" customFormat="1" ht="19.5" customHeight="1">
      <c r="A44" s="3555"/>
      <c r="B44" s="3226" t="s">
        <v>2970</v>
      </c>
      <c r="C44" s="805" t="s">
        <v>3009</v>
      </c>
      <c r="D44" s="806"/>
      <c r="E44" s="3217">
        <v>2</v>
      </c>
      <c r="F44" s="3216" t="s">
        <v>3010</v>
      </c>
      <c r="G44" s="807"/>
      <c r="H44" s="801"/>
      <c r="I44" s="801"/>
    </row>
    <row r="45" spans="1:9" s="808" customFormat="1" ht="19.5" customHeight="1">
      <c r="A45" s="3555"/>
      <c r="B45" s="3553" t="s">
        <v>3011</v>
      </c>
      <c r="C45" s="805" t="s">
        <v>3012</v>
      </c>
      <c r="D45" s="806"/>
      <c r="E45" s="3217">
        <v>1</v>
      </c>
      <c r="F45" s="3216" t="s">
        <v>3013</v>
      </c>
      <c r="G45" s="807"/>
      <c r="H45" s="801"/>
      <c r="I45" s="801"/>
    </row>
    <row r="46" spans="1:9" s="808" customFormat="1" ht="19.5" customHeight="1">
      <c r="A46" s="3555"/>
      <c r="B46" s="3548"/>
      <c r="C46" s="805" t="s">
        <v>3014</v>
      </c>
      <c r="D46" s="806"/>
      <c r="E46" s="3217">
        <v>1</v>
      </c>
      <c r="F46" s="3216" t="s">
        <v>3015</v>
      </c>
      <c r="G46" s="807"/>
      <c r="H46" s="801"/>
      <c r="I46" s="801"/>
    </row>
    <row r="47" spans="1:9" s="808" customFormat="1" ht="19.5" customHeight="1">
      <c r="A47" s="3555"/>
      <c r="B47" s="3548"/>
      <c r="C47" s="805" t="s">
        <v>3016</v>
      </c>
      <c r="D47" s="806"/>
      <c r="E47" s="3217">
        <v>1</v>
      </c>
      <c r="F47" s="3216" t="s">
        <v>3017</v>
      </c>
      <c r="G47" s="807"/>
      <c r="H47" s="801"/>
      <c r="I47" s="801"/>
    </row>
    <row r="48" spans="1:9" s="808" customFormat="1" ht="19.5" customHeight="1">
      <c r="A48" s="3555"/>
      <c r="B48" s="3548"/>
      <c r="C48" s="805" t="s">
        <v>3018</v>
      </c>
      <c r="D48" s="806"/>
      <c r="E48" s="3217">
        <v>1</v>
      </c>
      <c r="F48" s="3216" t="s">
        <v>3019</v>
      </c>
      <c r="G48" s="807"/>
      <c r="H48" s="801"/>
      <c r="I48" s="801"/>
    </row>
    <row r="49" spans="1:9" s="808" customFormat="1" ht="19.5" customHeight="1">
      <c r="A49" s="3555"/>
      <c r="B49" s="3548"/>
      <c r="C49" s="805" t="s">
        <v>3020</v>
      </c>
      <c r="D49" s="806"/>
      <c r="E49" s="3217">
        <v>1</v>
      </c>
      <c r="F49" s="3216" t="s">
        <v>3021</v>
      </c>
      <c r="G49" s="807"/>
      <c r="H49" s="801"/>
      <c r="I49" s="801"/>
    </row>
    <row r="50" spans="1:9" s="808" customFormat="1" ht="19.5" customHeight="1">
      <c r="A50" s="3555"/>
      <c r="B50" s="3548"/>
      <c r="C50" s="805" t="s">
        <v>3022</v>
      </c>
      <c r="D50" s="806"/>
      <c r="E50" s="3217">
        <v>1</v>
      </c>
      <c r="F50" s="3216" t="s">
        <v>3023</v>
      </c>
      <c r="G50" s="807"/>
      <c r="H50" s="801"/>
      <c r="I50" s="801"/>
    </row>
    <row r="51" spans="1:9" s="808" customFormat="1" ht="19.5" customHeight="1" thickBot="1">
      <c r="A51" s="3556"/>
      <c r="B51" s="3549"/>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53" t="s">
        <v>3027</v>
      </c>
      <c r="C73" s="3206" t="s">
        <v>3028</v>
      </c>
      <c r="D73" s="3206" t="s">
        <v>3029</v>
      </c>
      <c r="E73" s="3227">
        <v>0.2</v>
      </c>
      <c r="F73" s="3226">
        <v>25</v>
      </c>
    </row>
    <row r="74" spans="1:7" s="801" customFormat="1" ht="24">
      <c r="A74" s="3226">
        <v>2</v>
      </c>
      <c r="B74" s="3548"/>
      <c r="C74" s="3206" t="s">
        <v>3030</v>
      </c>
      <c r="D74" s="3206" t="s">
        <v>3031</v>
      </c>
      <c r="E74" s="3227">
        <v>0.2</v>
      </c>
      <c r="F74" s="3226">
        <v>25</v>
      </c>
    </row>
    <row r="75" spans="1:7" s="801" customFormat="1" ht="24">
      <c r="A75" s="3226">
        <v>3</v>
      </c>
      <c r="B75" s="3548"/>
      <c r="C75" s="3206" t="s">
        <v>3032</v>
      </c>
      <c r="D75" s="3206" t="s">
        <v>3033</v>
      </c>
      <c r="E75" s="3227">
        <v>0.2</v>
      </c>
      <c r="F75" s="3226">
        <v>25</v>
      </c>
    </row>
    <row r="76" spans="1:7" s="801" customFormat="1" ht="13.5">
      <c r="A76" s="3226">
        <v>4</v>
      </c>
      <c r="B76" s="3548"/>
      <c r="C76" s="3206" t="s">
        <v>3034</v>
      </c>
      <c r="D76" s="3206" t="s">
        <v>3035</v>
      </c>
      <c r="E76" s="3227">
        <v>0.15</v>
      </c>
      <c r="F76" s="3226">
        <v>20</v>
      </c>
    </row>
    <row r="77" spans="1:7" s="801" customFormat="1" ht="24">
      <c r="A77" s="3226">
        <v>5</v>
      </c>
      <c r="B77" s="3548"/>
      <c r="C77" s="3206" t="s">
        <v>3036</v>
      </c>
      <c r="D77" s="3206" t="s">
        <v>3037</v>
      </c>
      <c r="E77" s="3227">
        <v>0.15</v>
      </c>
      <c r="F77" s="3226">
        <v>20</v>
      </c>
    </row>
    <row r="78" spans="1:7" s="801" customFormat="1" ht="24">
      <c r="A78" s="3226">
        <v>6</v>
      </c>
      <c r="B78" s="3548"/>
      <c r="C78" s="3206" t="s">
        <v>3038</v>
      </c>
      <c r="D78" s="3206" t="s">
        <v>3039</v>
      </c>
      <c r="E78" s="3227">
        <v>0.15</v>
      </c>
      <c r="F78" s="3226">
        <v>20</v>
      </c>
    </row>
    <row r="79" spans="1:7" s="801" customFormat="1" ht="24">
      <c r="A79" s="3226">
        <v>7</v>
      </c>
      <c r="B79" s="3548"/>
      <c r="C79" s="3206" t="s">
        <v>3040</v>
      </c>
      <c r="D79" s="3206" t="s">
        <v>3041</v>
      </c>
      <c r="E79" s="3227">
        <v>0.15</v>
      </c>
      <c r="F79" s="3226">
        <v>20</v>
      </c>
    </row>
    <row r="80" spans="1:7" s="801" customFormat="1" ht="24">
      <c r="A80" s="3226">
        <v>8</v>
      </c>
      <c r="B80" s="3548"/>
      <c r="C80" s="3206" t="s">
        <v>3042</v>
      </c>
      <c r="D80" s="3206" t="s">
        <v>3043</v>
      </c>
      <c r="E80" s="3227">
        <v>0.1</v>
      </c>
      <c r="F80" s="3226">
        <v>15</v>
      </c>
    </row>
    <row r="81" spans="1:6" s="801" customFormat="1" ht="24">
      <c r="A81" s="3226">
        <v>9</v>
      </c>
      <c r="B81" s="3548"/>
      <c r="C81" s="3206" t="s">
        <v>3044</v>
      </c>
      <c r="D81" s="3206" t="s">
        <v>3045</v>
      </c>
      <c r="E81" s="3227">
        <v>0.1</v>
      </c>
      <c r="F81" s="3226">
        <v>15</v>
      </c>
    </row>
    <row r="82" spans="1:6" s="801" customFormat="1" ht="24">
      <c r="A82" s="3226">
        <v>10</v>
      </c>
      <c r="B82" s="3548"/>
      <c r="C82" s="3206" t="s">
        <v>3046</v>
      </c>
      <c r="D82" s="3206" t="s">
        <v>3047</v>
      </c>
      <c r="E82" s="3227">
        <v>0.1</v>
      </c>
      <c r="F82" s="3226">
        <v>15</v>
      </c>
    </row>
    <row r="83" spans="1:6" s="801" customFormat="1" ht="24">
      <c r="A83" s="3226">
        <v>11</v>
      </c>
      <c r="B83" s="3548"/>
      <c r="C83" s="3206" t="s">
        <v>3048</v>
      </c>
      <c r="D83" s="3206" t="s">
        <v>3049</v>
      </c>
      <c r="E83" s="3227">
        <v>0.1</v>
      </c>
      <c r="F83" s="3226">
        <v>15</v>
      </c>
    </row>
    <row r="84" spans="1:6" s="801" customFormat="1" ht="24">
      <c r="A84" s="3226">
        <v>12</v>
      </c>
      <c r="B84" s="3548"/>
      <c r="C84" s="3206" t="s">
        <v>3050</v>
      </c>
      <c r="D84" s="3206" t="s">
        <v>3051</v>
      </c>
      <c r="E84" s="3227">
        <v>0.1</v>
      </c>
      <c r="F84" s="3226">
        <v>15</v>
      </c>
    </row>
    <row r="85" spans="1:6" s="801" customFormat="1" ht="13.5">
      <c r="A85" s="3226">
        <v>13</v>
      </c>
      <c r="B85" s="3548"/>
      <c r="C85" s="3206" t="s">
        <v>3052</v>
      </c>
      <c r="D85" s="3206" t="s">
        <v>3053</v>
      </c>
      <c r="E85" s="3227">
        <v>0.1</v>
      </c>
      <c r="F85" s="3226">
        <v>15</v>
      </c>
    </row>
    <row r="86" spans="1:6" s="801" customFormat="1" ht="13.5">
      <c r="A86" s="3226">
        <v>14</v>
      </c>
      <c r="B86" s="3548"/>
      <c r="C86" s="3206" t="s">
        <v>3054</v>
      </c>
      <c r="D86" s="3206" t="s">
        <v>3055</v>
      </c>
      <c r="E86" s="3227">
        <v>0.1</v>
      </c>
      <c r="F86" s="3226">
        <v>15</v>
      </c>
    </row>
    <row r="87" spans="1:6" s="801" customFormat="1" ht="13.5">
      <c r="A87" s="3226">
        <v>15</v>
      </c>
      <c r="B87" s="3548"/>
      <c r="C87" s="3206" t="s">
        <v>3056</v>
      </c>
      <c r="D87" s="3206" t="s">
        <v>3057</v>
      </c>
      <c r="E87" s="3227">
        <v>0.1</v>
      </c>
      <c r="F87" s="3226">
        <v>15</v>
      </c>
    </row>
    <row r="88" spans="1:6" s="801" customFormat="1" ht="24">
      <c r="A88" s="3226">
        <v>16</v>
      </c>
      <c r="B88" s="3548"/>
      <c r="C88" s="3206" t="s">
        <v>3058</v>
      </c>
      <c r="D88" s="3206" t="s">
        <v>3059</v>
      </c>
      <c r="E88" s="3227">
        <v>0.1</v>
      </c>
      <c r="F88" s="3226">
        <v>15</v>
      </c>
    </row>
    <row r="89" spans="1:6" s="801" customFormat="1" ht="24">
      <c r="A89" s="3226">
        <v>17</v>
      </c>
      <c r="B89" s="3557"/>
      <c r="C89" s="3206" t="s">
        <v>3060</v>
      </c>
      <c r="D89" s="3206" t="s">
        <v>3061</v>
      </c>
      <c r="E89" s="3227">
        <v>0.1</v>
      </c>
      <c r="F89" s="3226">
        <v>15</v>
      </c>
    </row>
    <row r="90" spans="1:6" s="801" customFormat="1" ht="13.5">
      <c r="A90" s="3226">
        <v>18</v>
      </c>
      <c r="B90" s="3553" t="s">
        <v>3062</v>
      </c>
      <c r="C90" s="3206" t="s">
        <v>3063</v>
      </c>
      <c r="D90" s="3206" t="s">
        <v>3064</v>
      </c>
      <c r="E90" s="3227">
        <v>0.2</v>
      </c>
      <c r="F90" s="3226">
        <v>25</v>
      </c>
    </row>
    <row r="91" spans="1:6" s="801" customFormat="1" ht="24">
      <c r="A91" s="3226">
        <v>19</v>
      </c>
      <c r="B91" s="3548"/>
      <c r="C91" s="3206" t="s">
        <v>3065</v>
      </c>
      <c r="D91" s="3206" t="s">
        <v>3066</v>
      </c>
      <c r="E91" s="3227">
        <v>0.2</v>
      </c>
      <c r="F91" s="3226">
        <v>25</v>
      </c>
    </row>
    <row r="92" spans="1:6" s="801" customFormat="1" ht="13.5">
      <c r="A92" s="3226">
        <v>20</v>
      </c>
      <c r="B92" s="3548"/>
      <c r="C92" s="3206" t="s">
        <v>3067</v>
      </c>
      <c r="D92" s="3206" t="s">
        <v>3068</v>
      </c>
      <c r="E92" s="3227">
        <v>0.15</v>
      </c>
      <c r="F92" s="3226">
        <v>20</v>
      </c>
    </row>
    <row r="93" spans="1:6" s="801" customFormat="1" ht="24">
      <c r="A93" s="3226">
        <v>21</v>
      </c>
      <c r="B93" s="3548"/>
      <c r="C93" s="3206" t="s">
        <v>3069</v>
      </c>
      <c r="D93" s="3206" t="s">
        <v>3070</v>
      </c>
      <c r="E93" s="3227">
        <v>0.15</v>
      </c>
      <c r="F93" s="3226">
        <v>20</v>
      </c>
    </row>
    <row r="94" spans="1:6" s="801" customFormat="1" ht="24">
      <c r="A94" s="3226">
        <v>22</v>
      </c>
      <c r="B94" s="3548"/>
      <c r="C94" s="3206" t="s">
        <v>3071</v>
      </c>
      <c r="D94" s="3206" t="s">
        <v>3072</v>
      </c>
      <c r="E94" s="3227">
        <v>0.15</v>
      </c>
      <c r="F94" s="3226">
        <v>20</v>
      </c>
    </row>
    <row r="95" spans="1:6" s="801" customFormat="1" ht="36">
      <c r="A95" s="3226">
        <v>23</v>
      </c>
      <c r="B95" s="3548"/>
      <c r="C95" s="3206" t="s">
        <v>3073</v>
      </c>
      <c r="D95" s="3206" t="s">
        <v>3074</v>
      </c>
      <c r="E95" s="3227">
        <v>0.15</v>
      </c>
      <c r="F95" s="3226">
        <v>20</v>
      </c>
    </row>
    <row r="96" spans="1:6" s="801" customFormat="1" ht="13.5">
      <c r="A96" s="3226">
        <v>24</v>
      </c>
      <c r="B96" s="3548"/>
      <c r="C96" s="3206" t="s">
        <v>3075</v>
      </c>
      <c r="D96" s="3206" t="s">
        <v>3076</v>
      </c>
      <c r="E96" s="3227">
        <v>0.1</v>
      </c>
      <c r="F96" s="3226">
        <v>15</v>
      </c>
    </row>
    <row r="97" spans="1:6" s="801" customFormat="1" ht="24">
      <c r="A97" s="3226">
        <v>25</v>
      </c>
      <c r="B97" s="3548"/>
      <c r="C97" s="3206" t="s">
        <v>3077</v>
      </c>
      <c r="D97" s="3206" t="s">
        <v>3078</v>
      </c>
      <c r="E97" s="3227">
        <v>0.1</v>
      </c>
      <c r="F97" s="3226">
        <v>15</v>
      </c>
    </row>
    <row r="98" spans="1:6" s="801" customFormat="1" ht="24">
      <c r="A98" s="3226">
        <v>26</v>
      </c>
      <c r="B98" s="3548"/>
      <c r="C98" s="3206" t="s">
        <v>3079</v>
      </c>
      <c r="D98" s="3206" t="s">
        <v>3080</v>
      </c>
      <c r="E98" s="3227">
        <v>0.1</v>
      </c>
      <c r="F98" s="3226">
        <v>15</v>
      </c>
    </row>
    <row r="99" spans="1:6" s="801" customFormat="1" ht="24">
      <c r="A99" s="3226">
        <v>27</v>
      </c>
      <c r="B99" s="3548"/>
      <c r="C99" s="3206" t="s">
        <v>3081</v>
      </c>
      <c r="D99" s="3206" t="s">
        <v>3082</v>
      </c>
      <c r="E99" s="3227">
        <v>0.1</v>
      </c>
      <c r="F99" s="3226">
        <v>15</v>
      </c>
    </row>
    <row r="100" spans="1:6" s="801" customFormat="1" ht="24">
      <c r="A100" s="3226">
        <v>28</v>
      </c>
      <c r="B100" s="3548"/>
      <c r="C100" s="3206" t="s">
        <v>3083</v>
      </c>
      <c r="D100" s="3206" t="s">
        <v>3084</v>
      </c>
      <c r="E100" s="3227">
        <v>0.1</v>
      </c>
      <c r="F100" s="3226">
        <v>15</v>
      </c>
    </row>
    <row r="101" spans="1:6" s="801" customFormat="1" ht="24">
      <c r="A101" s="3226">
        <v>29</v>
      </c>
      <c r="B101" s="3548"/>
      <c r="C101" s="3206" t="s">
        <v>3085</v>
      </c>
      <c r="D101" s="3206" t="s">
        <v>3086</v>
      </c>
      <c r="E101" s="3227">
        <v>0.1</v>
      </c>
      <c r="F101" s="3226">
        <v>15</v>
      </c>
    </row>
    <row r="102" spans="1:6" s="801" customFormat="1" ht="24">
      <c r="A102" s="3226">
        <v>30</v>
      </c>
      <c r="B102" s="3548"/>
      <c r="C102" s="3206" t="s">
        <v>3087</v>
      </c>
      <c r="D102" s="3206" t="s">
        <v>3088</v>
      </c>
      <c r="E102" s="3227">
        <v>0.1</v>
      </c>
      <c r="F102" s="3226">
        <v>15</v>
      </c>
    </row>
    <row r="103" spans="1:6" s="801" customFormat="1" ht="24">
      <c r="A103" s="3226">
        <v>31</v>
      </c>
      <c r="B103" s="3548"/>
      <c r="C103" s="3206" t="s">
        <v>3089</v>
      </c>
      <c r="D103" s="3206" t="s">
        <v>3090</v>
      </c>
      <c r="E103" s="3227">
        <v>0.1</v>
      </c>
      <c r="F103" s="3226">
        <v>15</v>
      </c>
    </row>
    <row r="104" spans="1:6" s="801" customFormat="1" ht="24">
      <c r="A104" s="3226">
        <v>32</v>
      </c>
      <c r="B104" s="3548"/>
      <c r="C104" s="3206" t="s">
        <v>3091</v>
      </c>
      <c r="D104" s="3206" t="s">
        <v>3092</v>
      </c>
      <c r="E104" s="3227">
        <v>0.1</v>
      </c>
      <c r="F104" s="3226">
        <v>15</v>
      </c>
    </row>
    <row r="105" spans="1:6" s="801" customFormat="1" ht="24">
      <c r="A105" s="3226">
        <v>33</v>
      </c>
      <c r="B105" s="3548"/>
      <c r="C105" s="3206" t="s">
        <v>3093</v>
      </c>
      <c r="D105" s="3206" t="s">
        <v>3094</v>
      </c>
      <c r="E105" s="3227">
        <v>0.1</v>
      </c>
      <c r="F105" s="3226">
        <v>15</v>
      </c>
    </row>
    <row r="106" spans="1:6" s="801" customFormat="1" ht="24">
      <c r="A106" s="3226">
        <v>34</v>
      </c>
      <c r="B106" s="3557"/>
      <c r="C106" s="3206" t="s">
        <v>3095</v>
      </c>
      <c r="D106" s="3206" t="s">
        <v>3096</v>
      </c>
      <c r="E106" s="3227">
        <v>0.1</v>
      </c>
      <c r="F106" s="3226">
        <v>15</v>
      </c>
    </row>
    <row r="107" spans="1:6" s="801" customFormat="1" ht="24">
      <c r="A107" s="3226">
        <v>35</v>
      </c>
      <c r="B107" s="3553" t="s">
        <v>3097</v>
      </c>
      <c r="C107" s="3226" t="s">
        <v>3098</v>
      </c>
      <c r="D107" s="3206" t="s">
        <v>3099</v>
      </c>
      <c r="E107" s="3227">
        <v>0.15</v>
      </c>
      <c r="F107" s="3226">
        <v>20</v>
      </c>
    </row>
    <row r="108" spans="1:6" s="801" customFormat="1" ht="24">
      <c r="A108" s="3226">
        <v>36</v>
      </c>
      <c r="B108" s="3548"/>
      <c r="C108" s="3226" t="s">
        <v>3100</v>
      </c>
      <c r="D108" s="3206" t="s">
        <v>3101</v>
      </c>
      <c r="E108" s="3227">
        <v>0.15</v>
      </c>
      <c r="F108" s="3226">
        <v>20</v>
      </c>
    </row>
    <row r="109" spans="1:6" s="801" customFormat="1" ht="24">
      <c r="A109" s="3226">
        <v>37</v>
      </c>
      <c r="B109" s="3548"/>
      <c r="C109" s="3226" t="s">
        <v>3102</v>
      </c>
      <c r="D109" s="3206" t="s">
        <v>3103</v>
      </c>
      <c r="E109" s="3227">
        <v>0.15</v>
      </c>
      <c r="F109" s="3226">
        <v>20</v>
      </c>
    </row>
    <row r="110" spans="1:6" s="801" customFormat="1" ht="13.5">
      <c r="A110" s="3226">
        <v>38</v>
      </c>
      <c r="B110" s="3548"/>
      <c r="C110" s="3226" t="s">
        <v>3104</v>
      </c>
      <c r="D110" s="3206" t="s">
        <v>3105</v>
      </c>
      <c r="E110" s="3227">
        <v>0.1</v>
      </c>
      <c r="F110" s="3226">
        <v>15</v>
      </c>
    </row>
    <row r="111" spans="1:6" s="801" customFormat="1" ht="24">
      <c r="A111" s="3226">
        <v>39</v>
      </c>
      <c r="B111" s="3548"/>
      <c r="C111" s="3226" t="s">
        <v>3106</v>
      </c>
      <c r="D111" s="3206" t="s">
        <v>3107</v>
      </c>
      <c r="E111" s="3227">
        <v>0.1</v>
      </c>
      <c r="F111" s="3226">
        <v>15</v>
      </c>
    </row>
    <row r="112" spans="1:6" s="801" customFormat="1" ht="24">
      <c r="A112" s="3226">
        <v>40</v>
      </c>
      <c r="B112" s="3557"/>
      <c r="C112" s="3226" t="s">
        <v>3108</v>
      </c>
      <c r="D112" s="3206" t="s">
        <v>3109</v>
      </c>
      <c r="E112" s="3227">
        <v>0.1</v>
      </c>
      <c r="F112" s="3226">
        <v>15</v>
      </c>
    </row>
    <row r="113" spans="1:6" s="801" customFormat="1" ht="24">
      <c r="A113" s="3226">
        <v>41</v>
      </c>
      <c r="B113" s="3558" t="s">
        <v>3110</v>
      </c>
      <c r="C113" s="3226" t="s">
        <v>3111</v>
      </c>
      <c r="D113" s="3206" t="s">
        <v>3112</v>
      </c>
      <c r="E113" s="3227">
        <v>0.1</v>
      </c>
      <c r="F113" s="3226">
        <v>15</v>
      </c>
    </row>
    <row r="114" spans="1:6" s="801" customFormat="1" ht="13.5">
      <c r="A114" s="3226">
        <v>42</v>
      </c>
      <c r="B114" s="3558"/>
      <c r="C114" s="3226" t="s">
        <v>3113</v>
      </c>
      <c r="D114" s="3206" t="s">
        <v>3114</v>
      </c>
      <c r="E114" s="3227">
        <v>0.1</v>
      </c>
      <c r="F114" s="3226">
        <v>15</v>
      </c>
    </row>
    <row r="115" spans="1:6" s="801" customFormat="1" ht="24">
      <c r="A115" s="3226">
        <v>43</v>
      </c>
      <c r="B115" s="3558"/>
      <c r="C115" s="3226" t="s">
        <v>3115</v>
      </c>
      <c r="D115" s="3206" t="s">
        <v>3116</v>
      </c>
      <c r="E115" s="3227">
        <v>0.1</v>
      </c>
      <c r="F115" s="3226">
        <v>15</v>
      </c>
    </row>
    <row r="116" spans="1:6" s="801" customFormat="1" ht="24">
      <c r="A116" s="3226">
        <v>44</v>
      </c>
      <c r="B116" s="3553" t="s">
        <v>3117</v>
      </c>
      <c r="C116" s="3226" t="s">
        <v>3118</v>
      </c>
      <c r="D116" s="3206" t="s">
        <v>3119</v>
      </c>
      <c r="E116" s="3227">
        <v>0.1</v>
      </c>
      <c r="F116" s="3226">
        <v>15</v>
      </c>
    </row>
    <row r="117" spans="1:6" s="801" customFormat="1" ht="24">
      <c r="A117" s="3226">
        <v>45</v>
      </c>
      <c r="B117" s="3557"/>
      <c r="C117" s="3206" t="s">
        <v>3120</v>
      </c>
      <c r="D117" s="3206" t="s">
        <v>3121</v>
      </c>
      <c r="E117" s="3227">
        <v>0.1</v>
      </c>
      <c r="F117" s="3226">
        <v>15</v>
      </c>
    </row>
    <row r="118" spans="1:6" s="801" customFormat="1" ht="24">
      <c r="A118" s="3226">
        <v>46</v>
      </c>
      <c r="B118" s="3553" t="s">
        <v>3122</v>
      </c>
      <c r="C118" s="3226" t="s">
        <v>3123</v>
      </c>
      <c r="D118" s="3206" t="s">
        <v>3124</v>
      </c>
      <c r="E118" s="3227">
        <v>0.1</v>
      </c>
      <c r="F118" s="3226">
        <v>15</v>
      </c>
    </row>
    <row r="119" spans="1:6" s="801" customFormat="1" ht="24">
      <c r="A119" s="3226">
        <v>47</v>
      </c>
      <c r="B119" s="3557"/>
      <c r="C119" s="3226" t="s">
        <v>3125</v>
      </c>
      <c r="D119" s="3206" t="s">
        <v>3126</v>
      </c>
      <c r="E119" s="3227">
        <v>0.1</v>
      </c>
      <c r="F119" s="3226">
        <v>15</v>
      </c>
    </row>
    <row r="120" spans="1:6" s="801" customFormat="1" ht="24">
      <c r="A120" s="3226">
        <v>48</v>
      </c>
      <c r="B120" s="3553" t="s">
        <v>3127</v>
      </c>
      <c r="C120" s="3226" t="s">
        <v>3128</v>
      </c>
      <c r="D120" s="3206" t="s">
        <v>3129</v>
      </c>
      <c r="E120" s="3227">
        <v>0.1</v>
      </c>
      <c r="F120" s="3226">
        <v>15</v>
      </c>
    </row>
    <row r="121" spans="1:6" s="801" customFormat="1" ht="13.5">
      <c r="A121" s="3226">
        <v>49</v>
      </c>
      <c r="B121" s="3557"/>
      <c r="C121" s="3226" t="s">
        <v>3130</v>
      </c>
      <c r="D121" s="3206" t="s">
        <v>3131</v>
      </c>
      <c r="E121" s="3227">
        <v>0.1</v>
      </c>
      <c r="F121" s="3226">
        <v>15</v>
      </c>
    </row>
    <row r="122" spans="1:6" s="801" customFormat="1" ht="24">
      <c r="A122" s="3226">
        <v>50</v>
      </c>
      <c r="B122" s="3558" t="s">
        <v>3132</v>
      </c>
      <c r="C122" s="3226" t="s">
        <v>3133</v>
      </c>
      <c r="D122" s="3206" t="s">
        <v>3134</v>
      </c>
      <c r="E122" s="3227">
        <v>0.1</v>
      </c>
      <c r="F122" s="3226">
        <v>15</v>
      </c>
    </row>
    <row r="123" spans="1:6" s="801" customFormat="1" ht="24">
      <c r="A123" s="3226">
        <v>51</v>
      </c>
      <c r="B123" s="3558"/>
      <c r="C123" s="3226" t="s">
        <v>3135</v>
      </c>
      <c r="D123" s="3206" t="s">
        <v>3136</v>
      </c>
      <c r="E123" s="3227">
        <v>0.1</v>
      </c>
      <c r="F123" s="3226">
        <v>15</v>
      </c>
    </row>
    <row r="124" spans="1:6" s="801" customFormat="1" ht="24">
      <c r="A124" s="3226">
        <v>52</v>
      </c>
      <c r="B124" s="3558" t="s">
        <v>3137</v>
      </c>
      <c r="C124" s="3226" t="s">
        <v>3138</v>
      </c>
      <c r="D124" s="3206" t="s">
        <v>3139</v>
      </c>
      <c r="E124" s="3227">
        <v>0.1</v>
      </c>
      <c r="F124" s="3226">
        <v>15</v>
      </c>
    </row>
    <row r="125" spans="1:6" s="801" customFormat="1" ht="24">
      <c r="A125" s="3226">
        <v>53</v>
      </c>
      <c r="B125" s="3558"/>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58" t="s">
        <v>3145</v>
      </c>
      <c r="C127" s="3226" t="s">
        <v>3146</v>
      </c>
      <c r="D127" s="3206" t="s">
        <v>3147</v>
      </c>
      <c r="E127" s="3227">
        <v>0.1</v>
      </c>
      <c r="F127" s="3226">
        <v>15</v>
      </c>
    </row>
    <row r="128" spans="1:6" ht="13.5">
      <c r="A128" s="3226">
        <v>56</v>
      </c>
      <c r="B128" s="3558"/>
      <c r="C128" s="3226" t="s">
        <v>3148</v>
      </c>
      <c r="D128" s="3206" t="s">
        <v>3149</v>
      </c>
      <c r="E128" s="3227">
        <v>0.1</v>
      </c>
      <c r="F128" s="3226">
        <v>15</v>
      </c>
    </row>
    <row r="129" spans="1:6" ht="24">
      <c r="A129" s="3226">
        <v>57</v>
      </c>
      <c r="B129" s="3558"/>
      <c r="C129" s="3226" t="s">
        <v>3150</v>
      </c>
      <c r="D129" s="3206" t="s">
        <v>3151</v>
      </c>
      <c r="E129" s="3227">
        <v>0.1</v>
      </c>
      <c r="F129" s="3226">
        <v>15</v>
      </c>
    </row>
    <row r="130" spans="1:6" ht="24">
      <c r="A130" s="3226">
        <v>58</v>
      </c>
      <c r="B130" s="3558" t="s">
        <v>3152</v>
      </c>
      <c r="C130" s="3226" t="s">
        <v>3153</v>
      </c>
      <c r="D130" s="3206" t="s">
        <v>3154</v>
      </c>
      <c r="E130" s="3227">
        <v>0.1</v>
      </c>
      <c r="F130" s="3226">
        <v>15</v>
      </c>
    </row>
    <row r="131" spans="1:6" ht="24">
      <c r="A131" s="3226">
        <v>59</v>
      </c>
      <c r="B131" s="3558"/>
      <c r="C131" s="3226" t="s">
        <v>3155</v>
      </c>
      <c r="D131" s="3206" t="s">
        <v>3156</v>
      </c>
      <c r="E131" s="3227">
        <v>0.1</v>
      </c>
      <c r="F131" s="3226">
        <v>15</v>
      </c>
    </row>
    <row r="132" spans="1:6" ht="24">
      <c r="A132" s="3226">
        <v>60</v>
      </c>
      <c r="B132" s="3553" t="s">
        <v>3157</v>
      </c>
      <c r="C132" s="3226" t="s">
        <v>3158</v>
      </c>
      <c r="D132" s="3206" t="s">
        <v>3159</v>
      </c>
      <c r="E132" s="3227">
        <v>0.1</v>
      </c>
      <c r="F132" s="3226">
        <v>15</v>
      </c>
    </row>
    <row r="133" spans="1:6" ht="24">
      <c r="A133" s="3226">
        <v>61</v>
      </c>
      <c r="B133" s="3557"/>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58" t="s">
        <v>3165</v>
      </c>
      <c r="C135" s="3226" t="s">
        <v>3166</v>
      </c>
      <c r="D135" s="3206" t="s">
        <v>3167</v>
      </c>
      <c r="E135" s="3227">
        <v>0.1</v>
      </c>
      <c r="F135" s="3226">
        <v>15</v>
      </c>
    </row>
    <row r="136" spans="1:6" ht="13.5">
      <c r="A136" s="3226">
        <v>64</v>
      </c>
      <c r="B136" s="3558"/>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4"/>
      <c r="G1" s="2974"/>
      <c r="H1" s="2974"/>
      <c r="I1" s="2974"/>
      <c r="J1" s="2974"/>
      <c r="K1" s="2974"/>
      <c r="L1" s="2974"/>
      <c r="M1" s="2974"/>
      <c r="N1" s="2974"/>
      <c r="O1" s="2974"/>
      <c r="P1" s="2974"/>
    </row>
    <row r="2" spans="1:16" ht="15.75">
      <c r="A2" s="2312" t="s">
        <v>2571</v>
      </c>
      <c r="B2" s="2778" t="e">
        <f ca="1">SUMIF(B6:B13,"&lt;&gt;#ref!",B6:B13)</f>
        <v>#DIV/0!</v>
      </c>
      <c r="C2" s="2312" t="s">
        <v>2572</v>
      </c>
      <c r="D2" s="2312" t="s">
        <v>2573</v>
      </c>
      <c r="E2" s="2788">
        <f ca="1">SUMIF(E6:E13,"&lt;&gt;#ref!",E6:E13)</f>
        <v>0</v>
      </c>
      <c r="F2" s="2974"/>
      <c r="G2" s="2974"/>
      <c r="H2" s="2974"/>
      <c r="I2" s="2974"/>
      <c r="J2" s="2974"/>
      <c r="K2" s="2974"/>
      <c r="L2" s="2974"/>
      <c r="M2" s="2974"/>
      <c r="N2" s="2974"/>
      <c r="O2" s="2974"/>
      <c r="P2" s="2974"/>
    </row>
    <row r="3" spans="1:16" ht="15.75">
      <c r="A3" s="2312" t="s">
        <v>2574</v>
      </c>
      <c r="B3" s="2778" t="e">
        <f ca="1">ROUND(B2*10000/E2,0)</f>
        <v>#DIV/0!</v>
      </c>
      <c r="C3" s="2312" t="s">
        <v>2580</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2575</v>
      </c>
      <c r="B5" s="2786" t="s">
        <v>2576</v>
      </c>
      <c r="C5" s="2313"/>
      <c r="D5" s="2974"/>
      <c r="E5" s="2787" t="s">
        <v>2577</v>
      </c>
      <c r="F5" s="2974"/>
      <c r="G5" s="2974"/>
      <c r="H5" s="2974"/>
      <c r="I5" s="2974"/>
      <c r="J5" s="2974"/>
      <c r="K5" s="2974"/>
      <c r="L5" s="2974"/>
      <c r="M5" s="2974"/>
      <c r="N5" s="2974"/>
      <c r="O5" s="2974"/>
      <c r="P5" s="2974"/>
    </row>
    <row r="6" spans="1:16" ht="15.75">
      <c r="A6" s="2785" t="s">
        <v>2578</v>
      </c>
      <c r="B6" s="2778" t="e">
        <f ca="1">SUMIF(INDIRECT("'"&amp;A6&amp;"'"&amp;"!A:A"),"总价",INDIRECT("'"&amp;A6&amp;"'"&amp;"!B:B"))</f>
        <v>#DIV/0!</v>
      </c>
      <c r="C6" s="2312" t="s">
        <v>2572</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2572</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2572</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2572</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2572</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2572</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2572</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2572</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4" t="s">
        <v>877</v>
      </c>
      <c r="C1" s="3564"/>
      <c r="D1" s="3564"/>
      <c r="E1" s="3564"/>
      <c r="F1" s="3564"/>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73" t="s">
        <v>2582</v>
      </c>
      <c r="D1" s="3574"/>
      <c r="E1" s="3574"/>
      <c r="F1" s="3574"/>
      <c r="G1" s="3574"/>
      <c r="H1" s="3574"/>
      <c r="I1" s="3574"/>
      <c r="J1" s="3574"/>
      <c r="K1" s="3574"/>
      <c r="L1" s="3574"/>
      <c r="M1" s="3574"/>
      <c r="N1" s="3574"/>
      <c r="O1" s="3574"/>
      <c r="P1" s="3574"/>
      <c r="Q1" s="3574"/>
      <c r="R1" s="3574"/>
      <c r="S1" s="3575"/>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29"/>
      <c r="B4" s="3237" t="s">
        <v>1354</v>
      </c>
      <c r="C4" s="3237"/>
      <c r="D4" s="3237"/>
      <c r="E4" s="1629"/>
    </row>
    <row r="5" spans="1:5" ht="16.5" thickTop="1">
      <c r="A5" s="1627"/>
      <c r="B5" s="3235" t="s">
        <v>1346</v>
      </c>
      <c r="C5" s="1630" t="s">
        <v>1347</v>
      </c>
      <c r="D5" s="940">
        <f ca="1">结果表!H101</f>
        <v>23513</v>
      </c>
      <c r="E5" s="1627"/>
    </row>
    <row r="6" spans="1:5" ht="15.75">
      <c r="A6" s="1627"/>
      <c r="B6" s="3235"/>
      <c r="C6" s="1630" t="s">
        <v>1348</v>
      </c>
      <c r="D6" s="940" t="str">
        <f ca="1">NUMBERSTRING(INT(D5*10000),2)&amp;"元整"</f>
        <v>贰亿叁仟伍佰壹拾叁万元整</v>
      </c>
      <c r="E6" s="1627"/>
    </row>
    <row r="7" spans="1:5" ht="15.75">
      <c r="A7" s="1627"/>
      <c r="B7" s="3240"/>
      <c r="C7" s="1631" t="s">
        <v>1349</v>
      </c>
      <c r="D7" s="941">
        <f ca="1">结果表!H102</f>
        <v>6235</v>
      </c>
      <c r="E7" s="1627"/>
    </row>
    <row r="8" spans="1:5" ht="15.75">
      <c r="A8" s="1627"/>
      <c r="B8" s="3241" t="str">
        <f>结果表!E103</f>
        <v>2.估价师知悉的法定优先受偿款</v>
      </c>
      <c r="C8" s="1632" t="s">
        <v>1350</v>
      </c>
      <c r="D8" s="941">
        <f>结果表!H103</f>
        <v>0</v>
      </c>
      <c r="E8" s="1627"/>
    </row>
    <row r="9" spans="1:5" ht="15.75">
      <c r="A9" s="1627"/>
      <c r="B9" s="324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4" t="str">
        <f>结果表!E107</f>
        <v>3.房地产抵押价值</v>
      </c>
      <c r="C13" s="1635" t="s">
        <v>1347</v>
      </c>
      <c r="D13" s="943">
        <f ca="1">结果表!H107</f>
        <v>23513</v>
      </c>
      <c r="E13" s="1627"/>
    </row>
    <row r="14" spans="1:5" ht="15.75">
      <c r="A14" s="1627"/>
      <c r="B14" s="3235"/>
      <c r="C14" s="1630" t="s">
        <v>1348</v>
      </c>
      <c r="D14" s="940" t="str">
        <f ca="1">NUMBERSTRING(INT(D13*10000),2)&amp;"元整"</f>
        <v>贰亿叁仟伍佰壹拾叁万元整</v>
      </c>
      <c r="E14" s="1627"/>
    </row>
    <row r="15" spans="1:5" ht="15">
      <c r="A15" s="1627"/>
      <c r="B15" s="3240"/>
      <c r="C15" s="1631" t="s">
        <v>1358</v>
      </c>
      <c r="D15" s="949">
        <f ca="1">结果表!H108</f>
        <v>6235</v>
      </c>
      <c r="E15" s="1627"/>
    </row>
    <row r="16" spans="1:5" ht="15">
      <c r="A16" s="1627"/>
      <c r="B16" s="3241" t="str">
        <f>结果表!E109</f>
        <v>——</v>
      </c>
      <c r="C16" s="1635" t="s">
        <v>1359</v>
      </c>
      <c r="D16" s="1636" t="str">
        <f>结果表!H109</f>
        <v>——</v>
      </c>
      <c r="E16" s="1627"/>
    </row>
    <row r="17" spans="1:5" ht="15.75">
      <c r="A17" s="1627"/>
      <c r="B17" s="3242"/>
      <c r="C17" s="1630" t="s">
        <v>1360</v>
      </c>
      <c r="D17" s="940" t="e">
        <f>NUMBERSTRING(INT(D16*10000),2)&amp;"元整"</f>
        <v>#VALUE!</v>
      </c>
      <c r="E17" s="1627"/>
    </row>
    <row r="18" spans="1:5" ht="15">
      <c r="A18" s="1627"/>
      <c r="B18" s="3243"/>
      <c r="C18" s="1631" t="s">
        <v>1349</v>
      </c>
      <c r="D18" s="949" t="str">
        <f>结果表!H110</f>
        <v>——</v>
      </c>
      <c r="E18" s="1627"/>
    </row>
    <row r="19" spans="1:5" ht="15.75">
      <c r="A19" s="1627"/>
      <c r="B19" s="3234" t="str">
        <f>结果表!E111</f>
        <v>——</v>
      </c>
      <c r="C19" s="1635" t="s">
        <v>1347</v>
      </c>
      <c r="D19" s="941" t="str">
        <f>结果表!H111</f>
        <v>——</v>
      </c>
      <c r="E19" s="1627"/>
    </row>
    <row r="20" spans="1:5" ht="15.75">
      <c r="A20" s="1627"/>
      <c r="B20" s="3235"/>
      <c r="C20" s="1630" t="s">
        <v>1360</v>
      </c>
      <c r="D20" s="940" t="e">
        <f>NUMBERSTRING(INT(D19*10000),2)&amp;"元整"</f>
        <v>#VALUE!</v>
      </c>
      <c r="E20" s="1627"/>
    </row>
    <row r="21" spans="1:5" ht="15.75" thickBot="1">
      <c r="A21" s="1627"/>
      <c r="B21" s="323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41023</v>
      </c>
      <c r="C2" s="2" t="s">
        <v>133</v>
      </c>
      <c r="D2" s="205"/>
      <c r="E2" s="205"/>
      <c r="F2" s="205"/>
      <c r="G2" s="205"/>
    </row>
    <row r="3" spans="1:7" s="206" customFormat="1" ht="18" customHeight="1" thickBot="1">
      <c r="A3" s="209" t="s">
        <v>85</v>
      </c>
      <c r="B3" s="210">
        <f ca="1">ROUND(B2*10000/'数据-汇总表'!E3,0)</f>
        <v>10878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717</v>
      </c>
      <c r="D10" s="935">
        <f>'数据-汇总表'!E6</f>
        <v>37711.240000000005</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566</v>
      </c>
      <c r="D19" s="939">
        <f>'数据-汇总表'!E3</f>
        <v>37711.240000000005</v>
      </c>
      <c r="E19" s="217">
        <f>'数据-取费表'!B31</f>
        <v>150</v>
      </c>
      <c r="F19" s="237"/>
      <c r="G19" s="1" t="s">
        <v>861</v>
      </c>
    </row>
    <row r="20" spans="1:7" s="220" customFormat="1" ht="13.5" customHeight="1">
      <c r="A20" s="866" t="s">
        <v>844</v>
      </c>
      <c r="B20" s="216" t="s">
        <v>104</v>
      </c>
      <c r="C20" s="238">
        <f>ROUND((C5+C19)*F20,0)</f>
        <v>424</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890</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24</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1711</v>
      </c>
      <c r="D27" s="241">
        <f>C29</f>
        <v>1.6000000000000001E-3</v>
      </c>
      <c r="E27" s="242" t="s">
        <v>126</v>
      </c>
      <c r="F27" s="252">
        <f>'数据-取费表'!Q16</f>
        <v>0.08</v>
      </c>
      <c r="G27" s="253" t="s">
        <v>856</v>
      </c>
    </row>
    <row r="28" spans="1:7" s="220" customFormat="1" ht="13.5" customHeight="1">
      <c r="A28" s="869" t="s">
        <v>613</v>
      </c>
      <c r="B28" s="254" t="s">
        <v>849</v>
      </c>
      <c r="C28" s="255">
        <f>ROUND((C5+C19+C20)*F27*'数据-取费表'!B21/'数据-取费表'!B20,0)</f>
        <v>1711</v>
      </c>
      <c r="D28" s="241"/>
      <c r="E28" s="242"/>
      <c r="F28" s="252"/>
      <c r="G28" s="253"/>
    </row>
    <row r="29" spans="1:7" s="220" customFormat="1" ht="13.5" customHeight="1">
      <c r="A29" s="869" t="s">
        <v>611</v>
      </c>
      <c r="B29" s="254" t="s">
        <v>850</v>
      </c>
      <c r="C29" s="244">
        <f>ROUND(C21*F27*'数据-取费表'!B21/'数据-取费表'!B20,4)</f>
        <v>1.6000000000000001E-3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26146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12264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11200</v>
      </c>
      <c r="D34" s="223"/>
      <c r="E34" s="226"/>
      <c r="F34" s="263">
        <f>IF('数据-取费表'!B24=0,1,'数据-取费表'!N16)</f>
        <v>0.99</v>
      </c>
      <c r="G34" s="225" t="s">
        <v>116</v>
      </c>
    </row>
    <row r="35" spans="1:7" ht="13.5" customHeight="1">
      <c r="A35" s="869" t="s">
        <v>615</v>
      </c>
      <c r="B35" s="221" t="s">
        <v>60</v>
      </c>
      <c r="C35" s="226">
        <f>ROUND(C34*F35,0)</f>
        <v>336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560</v>
      </c>
      <c r="D37" s="223">
        <f>'数据-汇总表'!E3</f>
        <v>37711.240000000005</v>
      </c>
      <c r="E37" s="255">
        <f>'数据-取费表'!B35</f>
        <v>150</v>
      </c>
      <c r="F37" s="265"/>
      <c r="G37" s="267" t="s">
        <v>119</v>
      </c>
    </row>
    <row r="38" spans="1:7" ht="13.5" customHeight="1">
      <c r="A38" s="869" t="s">
        <v>618</v>
      </c>
      <c r="B38" s="221" t="s">
        <v>63</v>
      </c>
      <c r="C38" s="226">
        <f>ROUND(C34*F38,0)</f>
        <v>168</v>
      </c>
      <c r="D38" s="226"/>
      <c r="E38" s="226"/>
      <c r="F38" s="265">
        <f>'数据-取费表'!B36</f>
        <v>1.4999999999999999E-2</v>
      </c>
      <c r="G38" s="225" t="s">
        <v>117</v>
      </c>
    </row>
    <row r="39" spans="1:7" s="220" customFormat="1" ht="13.5" customHeight="1">
      <c r="A39" s="866" t="s">
        <v>602</v>
      </c>
      <c r="B39" s="216" t="s">
        <v>104</v>
      </c>
      <c r="C39" s="238">
        <f>ROUND(C33*F20,0)</f>
        <v>245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260</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255</v>
      </c>
      <c r="D42" s="244"/>
      <c r="E42" s="244"/>
      <c r="F42" s="245"/>
      <c r="G42" s="3422" t="s">
        <v>121</v>
      </c>
    </row>
    <row r="43" spans="1:7" ht="13.5" customHeight="1">
      <c r="A43" s="869" t="s">
        <v>611</v>
      </c>
      <c r="B43" s="221" t="s">
        <v>851</v>
      </c>
      <c r="C43" s="244">
        <f ca="1">ROUND(IF('数据-取费表'!B22&lt;=1,C39*F22*'数据-取费表'!B21/2,C39*(POWER((1+F22),'数据-取费表'!B21/2)-1)),0)</f>
        <v>5</v>
      </c>
      <c r="D43" s="244"/>
      <c r="E43" s="244"/>
      <c r="F43" s="245"/>
      <c r="G43" s="3423"/>
    </row>
    <row r="44" spans="1:7" ht="13.5" customHeight="1">
      <c r="A44" s="869" t="s">
        <v>612</v>
      </c>
      <c r="B44" s="221" t="s">
        <v>853</v>
      </c>
      <c r="C44" s="244">
        <f ca="1">ROUND(IF('数据-取费表'!B22&lt;=1,C40*F22*'数据-取费表'!B21/2,C40*(POWER((1+F22),'数据-取费表'!B21/2)-1)),4)</f>
        <v>4.0000000000000002E-4</v>
      </c>
      <c r="D44" s="244"/>
      <c r="E44" s="244"/>
      <c r="F44" s="245"/>
      <c r="G44" s="3424"/>
    </row>
    <row r="45" spans="1:7" s="220" customFormat="1" ht="13.5" customHeight="1">
      <c r="A45" s="866" t="s">
        <v>605</v>
      </c>
      <c r="B45" s="250" t="s">
        <v>112</v>
      </c>
      <c r="C45" s="251">
        <f>C46</f>
        <v>1001</v>
      </c>
      <c r="D45" s="241">
        <f>C47</f>
        <v>1.6000000000000001E-3</v>
      </c>
      <c r="E45" s="242" t="s">
        <v>129</v>
      </c>
      <c r="F45" s="252"/>
      <c r="G45" s="253" t="s">
        <v>859</v>
      </c>
    </row>
    <row r="46" spans="1:7" s="220" customFormat="1" ht="13.5" customHeight="1">
      <c r="A46" s="869" t="s">
        <v>613</v>
      </c>
      <c r="B46" s="254" t="s">
        <v>852</v>
      </c>
      <c r="C46" s="255">
        <f>ROUND((C33+C39)*F27,0)</f>
        <v>1001</v>
      </c>
      <c r="D46" s="269"/>
      <c r="E46" s="242"/>
      <c r="F46" s="252"/>
      <c r="G46" s="253"/>
    </row>
    <row r="47" spans="1:7" s="220" customFormat="1" ht="13.5" customHeight="1">
      <c r="A47" s="869" t="s">
        <v>611</v>
      </c>
      <c r="B47" s="254" t="s">
        <v>854</v>
      </c>
      <c r="C47" s="244">
        <f>ROUND(C40*F27,4)</f>
        <v>1.6000000000000001E-3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14877</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14877</v>
      </c>
      <c r="D51" s="238"/>
      <c r="E51" s="238"/>
      <c r="F51" s="270"/>
      <c r="G51" s="240" t="s">
        <v>64</v>
      </c>
    </row>
    <row r="52" spans="1:7" s="214" customFormat="1" ht="16.5" thickBot="1">
      <c r="A52" s="271" t="s">
        <v>65</v>
      </c>
      <c r="B52" s="272"/>
      <c r="C52" s="273">
        <f ca="1">C31+C51</f>
        <v>41023</v>
      </c>
      <c r="D52" s="272"/>
      <c r="E52" s="272"/>
      <c r="F52" s="272"/>
      <c r="G52" s="274"/>
    </row>
    <row r="55" spans="1:7" ht="15">
      <c r="B55" s="276" t="s">
        <v>66</v>
      </c>
      <c r="C55" s="277"/>
    </row>
    <row r="56" spans="1:7">
      <c r="B56" s="279" t="s">
        <v>67</v>
      </c>
      <c r="C56" s="280">
        <f ca="1">ROUND(C51/C52,3)</f>
        <v>0.36299999999999999</v>
      </c>
    </row>
    <row r="57" spans="1:7">
      <c r="B57" s="279" t="s">
        <v>68</v>
      </c>
      <c r="C57" s="281">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658</v>
      </c>
      <c r="B1" s="357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44768</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2813</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1365</v>
      </c>
      <c r="B2" s="3245" t="s">
        <v>1366</v>
      </c>
      <c r="C2" s="3245" t="s">
        <v>1367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37711.240000000005</v>
      </c>
      <c r="C4" s="944">
        <f>项目基本情况!C18</f>
        <v>18193.39</v>
      </c>
      <c r="D4" s="944">
        <f ca="1">结果表!D118</f>
        <v>4867</v>
      </c>
      <c r="E4" s="944">
        <f ca="1">结果表!E118</f>
        <v>1291</v>
      </c>
      <c r="F4" s="944">
        <f ca="1">结果表!F118</f>
        <v>18646</v>
      </c>
      <c r="G4" s="944">
        <f ca="1">结果表!G118</f>
        <v>4944</v>
      </c>
      <c r="H4" s="944">
        <f ca="1">结果表!H118</f>
        <v>23513</v>
      </c>
      <c r="I4" s="944">
        <f ca="1">结果表!I118</f>
        <v>6235</v>
      </c>
    </row>
    <row r="5" spans="1:9" ht="30" customHeight="1">
      <c r="A5" s="3246" t="s">
        <v>1364</v>
      </c>
      <c r="B5" s="3246"/>
      <c r="C5" s="3246"/>
      <c r="D5" s="3247" t="str">
        <f ca="1">结果表!D119</f>
        <v>肆仟捌佰陆拾柒万元整</v>
      </c>
      <c r="E5" s="3247"/>
      <c r="F5" s="3247" t="str">
        <f ca="1">结果表!F119</f>
        <v>壹亿捌仟陆佰肆拾陆万元整</v>
      </c>
      <c r="G5" s="3247"/>
      <c r="H5" s="3247" t="str">
        <f ca="1">结果表!H119</f>
        <v>贰亿叁仟伍佰壹拾叁万元整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6" t="s">
        <v>1364</v>
      </c>
      <c r="B7" s="3246"/>
      <c r="C7" s="3246"/>
      <c r="D7" s="3249" t="str">
        <f>结果表!D121</f>
        <v>零元整</v>
      </c>
      <c r="E7" s="3250"/>
      <c r="F7" s="3250"/>
      <c r="G7" s="3250"/>
      <c r="H7" s="3250"/>
      <c r="I7" s="3251"/>
    </row>
    <row r="8" spans="1:9" ht="15.75">
      <c r="A8" s="3248" t="str">
        <f>结果表!A122</f>
        <v>房地产抵押价值</v>
      </c>
      <c r="B8" s="3248"/>
      <c r="C8" s="3248"/>
      <c r="D8" s="3248">
        <f ca="1">结果表!D122</f>
        <v>23513</v>
      </c>
      <c r="E8" s="3248"/>
      <c r="F8" s="3248"/>
      <c r="G8" s="3248"/>
      <c r="H8" s="3248"/>
      <c r="I8" s="3248"/>
    </row>
    <row r="9" spans="1:9" ht="15">
      <c r="A9" s="3246" t="s">
        <v>1364</v>
      </c>
      <c r="B9" s="3246"/>
      <c r="C9" s="3246"/>
      <c r="D9" s="3247" t="str">
        <f ca="1">结果表!D123</f>
        <v>贰亿叁仟伍佰壹拾叁万元整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6" t="s">
        <v>1364</v>
      </c>
      <c r="B11" s="3246"/>
      <c r="C11" s="3246"/>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5" t="s">
        <v>1386</v>
      </c>
      <c r="B1" s="3255"/>
      <c r="C1" s="3255"/>
      <c r="D1" s="3255"/>
    </row>
    <row r="2" spans="1:4" ht="18">
      <c r="A2" s="3256" t="s">
        <v>1370</v>
      </c>
      <c r="B2" s="3256"/>
      <c r="C2" s="3256"/>
      <c r="D2" s="3256"/>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56" t="s">
        <v>1376</v>
      </c>
      <c r="B6" s="3256"/>
      <c r="C6" s="3256"/>
      <c r="D6" s="325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7"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1380</v>
      </c>
      <c r="B16" s="3261"/>
      <c r="C16" s="3261"/>
      <c r="D16" s="3261"/>
    </row>
    <row r="17" spans="1:4" ht="144" customHeight="1">
      <c r="A17" s="3261" t="s">
        <v>1381</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9" t="s">
        <v>1393</v>
      </c>
      <c r="B15" s="3264" t="s">
        <v>136</v>
      </c>
      <c r="C15" s="3265"/>
    </row>
    <row r="16" spans="1:7" ht="13.5">
      <c r="A16" s="3270"/>
      <c r="B16" s="3264" t="s">
        <v>69</v>
      </c>
      <c r="C16" s="3265"/>
    </row>
    <row r="17" spans="1:3" ht="13.5">
      <c r="A17" s="3270"/>
      <c r="B17" s="3267" t="s">
        <v>1394</v>
      </c>
      <c r="C17" s="1668" t="s">
        <v>1393</v>
      </c>
    </row>
    <row r="18" spans="1:3" ht="13.5">
      <c r="A18" s="3270"/>
      <c r="B18" s="3267"/>
      <c r="C18" s="1668" t="s">
        <v>1395</v>
      </c>
    </row>
    <row r="19" spans="1:3" ht="13.5">
      <c r="A19" s="3270"/>
      <c r="B19" s="3267"/>
      <c r="C19" s="1668" t="s">
        <v>1396</v>
      </c>
    </row>
    <row r="20" spans="1:3" ht="13.5">
      <c r="A20" s="3271"/>
      <c r="B20" s="3266" t="s">
        <v>1397</v>
      </c>
      <c r="C20" s="3265"/>
    </row>
    <row r="21" spans="1:3" ht="13.5">
      <c r="A21" s="1669" t="s">
        <v>1398</v>
      </c>
      <c r="B21" s="1670"/>
      <c r="C21" s="1671"/>
    </row>
    <row r="22" spans="1:3" ht="13.5">
      <c r="A22" s="3268" t="s">
        <v>1399</v>
      </c>
      <c r="B22" s="3266" t="s">
        <v>1400</v>
      </c>
      <c r="C22" s="3265"/>
    </row>
    <row r="23" spans="1:3" ht="13.5">
      <c r="A23" s="3268"/>
      <c r="B23" s="3266" t="s">
        <v>1401</v>
      </c>
      <c r="C23" s="3265"/>
    </row>
    <row r="24" spans="1:3" ht="13.5">
      <c r="A24" s="3268"/>
      <c r="B24" s="3266" t="s">
        <v>1402</v>
      </c>
      <c r="C24" s="3265"/>
    </row>
    <row r="25" spans="1:3" ht="13.5">
      <c r="A25" s="3268"/>
      <c r="B25" s="3267" t="s">
        <v>1403</v>
      </c>
      <c r="C25" s="1668" t="s">
        <v>1404</v>
      </c>
    </row>
    <row r="26" spans="1:3" ht="13.5">
      <c r="A26" s="3268"/>
      <c r="B26" s="3267"/>
      <c r="C26" s="1668" t="s">
        <v>1405</v>
      </c>
    </row>
    <row r="27" spans="1:3" ht="13.5">
      <c r="A27" s="3268"/>
      <c r="B27" s="3267"/>
      <c r="C27" s="1668" t="s">
        <v>1406</v>
      </c>
    </row>
    <row r="28" spans="1:3" ht="13.5">
      <c r="A28" s="3268"/>
      <c r="B28" s="3267"/>
      <c r="C28" s="1668" t="s">
        <v>1407</v>
      </c>
    </row>
    <row r="29" spans="1:3" ht="13.5">
      <c r="A29" s="3268"/>
      <c r="B29" s="3267"/>
      <c r="C29" s="1668" t="s">
        <v>1408</v>
      </c>
    </row>
    <row r="30" spans="1:3" ht="13.5">
      <c r="A30" s="3268"/>
      <c r="B30" s="3267"/>
      <c r="C30" s="1668" t="s">
        <v>1409</v>
      </c>
    </row>
    <row r="31" spans="1:3" ht="13.5">
      <c r="A31" s="3268"/>
      <c r="B31" s="3267"/>
      <c r="C31" s="1668" t="s">
        <v>1410</v>
      </c>
    </row>
    <row r="32" spans="1:3" ht="13.5">
      <c r="A32" s="3268"/>
      <c r="B32" s="3267"/>
      <c r="C32" s="1668" t="s">
        <v>1411</v>
      </c>
    </row>
    <row r="33" spans="1:3" ht="13.5">
      <c r="A33" s="3268"/>
      <c r="B33" s="326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44770</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f ca="1">IF(C11&lt;B2,"已过期",1120070131)</f>
        <v>1120070131</v>
      </c>
      <c r="C11" s="2519">
        <v>44849</v>
      </c>
      <c r="D11" s="2520" t="str">
        <f t="shared" ca="1" si="0"/>
        <v>郑燚（注册号：1120070131）</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2659</v>
      </c>
      <c r="B17" s="3272"/>
      <c r="C17" s="3272"/>
      <c r="D17" s="3272"/>
      <c r="E17" s="3272"/>
      <c r="F17" s="3272"/>
      <c r="G17" s="3272"/>
      <c r="H17" s="3272"/>
    </row>
    <row r="18" spans="1:8" ht="24" customHeight="1">
      <c r="A18" s="3273" t="s">
        <v>2660</v>
      </c>
      <c r="B18" s="3273"/>
      <c r="C18" s="3273"/>
      <c r="D18" s="2517"/>
      <c r="E18" s="3274" t="s">
        <v>2661</v>
      </c>
      <c r="F18" s="3273"/>
      <c r="G18" s="3273"/>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2022-07-28T01:51:25Z</dcterms:modified>
</cp:coreProperties>
</file>