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商业土地案例" sheetId="82" state="hidden" r:id="rId22"/>
    <sheet name="基准地价修正" sheetId="43"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4" r:id="rId47"/>
    <sheet name="Sheet2" sheetId="85"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1" hidden="1">商业土地案例!$A$1:$AD$46</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32" i="1" l="1"/>
  <c r="Q10" i="85" l="1"/>
  <c r="Q7" i="85"/>
  <c r="Q8" i="85"/>
  <c r="Q9" i="85"/>
  <c r="Q6" i="85"/>
  <c r="Q5" i="85"/>
  <c r="G44" i="43"/>
  <c r="D33" i="43"/>
  <c r="Y6" i="1"/>
  <c r="U20" i="1"/>
  <c r="N6" i="1"/>
  <c r="N21" i="1"/>
  <c r="N19" i="1"/>
  <c r="J49" i="15"/>
  <c r="C17" i="3"/>
  <c r="N25" i="1" l="1"/>
  <c r="U2" i="43" l="1"/>
  <c r="U3" i="43" l="1"/>
  <c r="U4" i="43"/>
  <c r="U5" i="43" l="1"/>
  <c r="F19" i="6" l="1"/>
  <c r="N62" i="77" l="1"/>
  <c r="N61" i="77"/>
  <c r="N60" i="77"/>
  <c r="X69" i="82"/>
  <c r="Y69" i="82"/>
  <c r="Z69" i="82"/>
  <c r="AA69" i="82"/>
  <c r="AB69" i="82"/>
  <c r="X68" i="82"/>
  <c r="Y68" i="82"/>
  <c r="Z68" i="82"/>
  <c r="AA68" i="82"/>
  <c r="AB68" i="82"/>
  <c r="Z67" i="82"/>
  <c r="AA67" i="82"/>
  <c r="AA70" i="82" s="1"/>
  <c r="AB67" i="82"/>
  <c r="X67" i="82"/>
  <c r="X70" i="82" s="1"/>
  <c r="Y67" i="82"/>
  <c r="Y70" i="82" s="1"/>
  <c r="W69" i="82"/>
  <c r="AG69" i="82" s="1"/>
  <c r="W68" i="82"/>
  <c r="AG68" i="82" s="1"/>
  <c r="W67" i="82"/>
  <c r="AG67" i="82" s="1"/>
  <c r="V69" i="82"/>
  <c r="V68" i="82"/>
  <c r="V67" i="82"/>
  <c r="Z64" i="82"/>
  <c r="AA64" i="82"/>
  <c r="AB64" i="82"/>
  <c r="W64" i="82"/>
  <c r="X64" i="82"/>
  <c r="Y64" i="82"/>
  <c r="AD58" i="82"/>
  <c r="AD59" i="82"/>
  <c r="AD60" i="82"/>
  <c r="AD61" i="82"/>
  <c r="AD62" i="82"/>
  <c r="AD63" i="82"/>
  <c r="AC58" i="82"/>
  <c r="AC59" i="82"/>
  <c r="AC60" i="82"/>
  <c r="AC61" i="82"/>
  <c r="AC62" i="82"/>
  <c r="AC63" i="82"/>
  <c r="AD57" i="82"/>
  <c r="AC57" i="82"/>
  <c r="V64" i="82"/>
  <c r="AB70" i="82" l="1"/>
  <c r="AC67" i="82"/>
  <c r="Z72" i="82"/>
  <c r="V72" i="82"/>
  <c r="AC69" i="82"/>
  <c r="AC68" i="82"/>
  <c r="Y72" i="82"/>
  <c r="W72" i="82"/>
  <c r="AB72" i="82"/>
  <c r="X72" i="82"/>
  <c r="Z70" i="82"/>
  <c r="V70" i="82"/>
  <c r="W70" i="82"/>
  <c r="AE70" i="82" s="1"/>
  <c r="AA72" i="82"/>
  <c r="AG70" i="82"/>
  <c r="AD67" i="82" s="1"/>
  <c r="AD64" i="82"/>
  <c r="AC64" i="82"/>
  <c r="AC72" i="82" l="1"/>
  <c r="AC70" i="82"/>
  <c r="AD68" i="82"/>
  <c r="AE68" i="82" s="1"/>
  <c r="AD72" i="82"/>
  <c r="AE72" i="82" s="1"/>
  <c r="AE67" i="82"/>
  <c r="AD69" i="82"/>
  <c r="AE69" i="82" s="1"/>
  <c r="I6" i="39"/>
  <c r="G6" i="39"/>
  <c r="E6" i="39"/>
  <c r="I46" i="39"/>
  <c r="I38" i="39"/>
  <c r="I7" i="39"/>
  <c r="I5" i="39"/>
  <c r="G46" i="39"/>
  <c r="G38" i="39"/>
  <c r="G7" i="39"/>
  <c r="G5" i="39"/>
  <c r="E46" i="39"/>
  <c r="E38" i="39"/>
  <c r="E7" i="39"/>
  <c r="E5" i="39"/>
  <c r="C34" i="77" l="1"/>
  <c r="D34" i="77" l="1"/>
  <c r="E34" i="77"/>
  <c r="O29" i="1" l="1"/>
  <c r="P29" i="1" l="1"/>
  <c r="D3" i="4"/>
  <c r="P26" i="1" l="1"/>
  <c r="C60" i="78"/>
  <c r="D60" i="78" s="1"/>
  <c r="D53" i="78"/>
  <c r="D52" i="78"/>
  <c r="B51" i="78"/>
  <c r="B56" i="78" s="1"/>
  <c r="D51" i="78" l="1"/>
  <c r="C51" i="78" s="1"/>
  <c r="C56" i="78" s="1"/>
  <c r="C58" i="78" s="1"/>
  <c r="P25" i="1"/>
  <c r="P24" i="1" s="1"/>
  <c r="N24" i="1"/>
  <c r="B55" i="78"/>
  <c r="D55" i="78" s="1"/>
  <c r="B62" i="78"/>
  <c r="B54" i="78"/>
  <c r="D54" i="78" s="1"/>
  <c r="N30" i="1" l="1"/>
  <c r="N27" i="1"/>
  <c r="P27" i="1" s="1"/>
  <c r="N28" i="1"/>
  <c r="P28" i="1" s="1"/>
  <c r="O24" i="1"/>
  <c r="D56" i="78"/>
  <c r="D58" i="78" s="1"/>
  <c r="D62" i="78" s="1"/>
  <c r="C62" i="78" s="1"/>
  <c r="P30" i="1" l="1"/>
  <c r="G14" i="73"/>
  <c r="F14" i="73"/>
  <c r="E14" i="73"/>
  <c r="P31" i="1" l="1"/>
  <c r="O30"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8" i="43"/>
  <c r="D95"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U44" i="79"/>
  <c r="AD45" i="79"/>
  <c r="S17" i="79"/>
  <c r="AA28" i="79"/>
  <c r="AD28" i="79" s="1"/>
  <c r="AD41" i="79"/>
  <c r="N28" i="79"/>
  <c r="T19" i="79"/>
  <c r="W19" i="79" s="1"/>
  <c r="U40"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5" i="43" s="1"/>
  <c r="G95" i="43" s="1"/>
  <c r="C18" i="78"/>
  <c r="C15" i="78"/>
  <c r="G23" i="78"/>
  <c r="G24" i="78"/>
  <c r="G25" i="78"/>
  <c r="B15" i="78"/>
  <c r="B18" i="78"/>
  <c r="G19" i="73"/>
  <c r="F19" i="73"/>
  <c r="E19" i="73"/>
  <c r="M95" i="43" l="1"/>
  <c r="N95" i="43" s="1"/>
  <c r="K95" i="43"/>
  <c r="J95" i="43" s="1"/>
  <c r="H93" i="43"/>
  <c r="G93" i="43" s="1"/>
  <c r="H96" i="43"/>
  <c r="G96" i="43" s="1"/>
  <c r="H98" i="43"/>
  <c r="G98" i="43" s="1"/>
  <c r="H100" i="43"/>
  <c r="G100" i="43" s="1"/>
  <c r="H97" i="43"/>
  <c r="G97" i="43" s="1"/>
  <c r="H99" i="43"/>
  <c r="G99" i="43" s="1"/>
  <c r="H94" i="43"/>
  <c r="G94" i="43" s="1"/>
  <c r="H101" i="43"/>
  <c r="G101" i="43" s="1"/>
  <c r="G20" i="73"/>
  <c r="F20" i="73"/>
  <c r="E20" i="73"/>
  <c r="M101" i="43" l="1"/>
  <c r="K101" i="43"/>
  <c r="J101" i="43" s="1"/>
  <c r="M99" i="43"/>
  <c r="K99" i="43"/>
  <c r="J99" i="43" s="1"/>
  <c r="K96" i="43"/>
  <c r="M96" i="43"/>
  <c r="N96" i="43" s="1"/>
  <c r="M97" i="43"/>
  <c r="K97" i="43"/>
  <c r="J97" i="43" s="1"/>
  <c r="M93" i="43"/>
  <c r="K93" i="43"/>
  <c r="J93" i="43" s="1"/>
  <c r="K100" i="43"/>
  <c r="J100" i="43" s="1"/>
  <c r="M100" i="43"/>
  <c r="K94" i="43"/>
  <c r="J94" i="43" s="1"/>
  <c r="M94" i="43"/>
  <c r="K98" i="43"/>
  <c r="J98" i="43" s="1"/>
  <c r="M98" i="43"/>
  <c r="N98" i="43" s="1"/>
  <c r="G21" i="73"/>
  <c r="F21" i="73"/>
  <c r="E21" i="73"/>
  <c r="N94" i="43" l="1"/>
  <c r="D94" i="43"/>
  <c r="N100" i="43"/>
  <c r="D100" i="43"/>
  <c r="N99" i="43"/>
  <c r="D99" i="43"/>
  <c r="N97" i="43"/>
  <c r="D97" i="43"/>
  <c r="N93" i="43"/>
  <c r="D93" i="43"/>
  <c r="J96" i="43"/>
  <c r="D96" i="43"/>
  <c r="N101" i="43"/>
  <c r="D101" i="43"/>
  <c r="G13" i="73"/>
  <c r="F13" i="73"/>
  <c r="E13" i="73"/>
  <c r="E93" i="43" l="1"/>
  <c r="B91" i="43" s="1"/>
  <c r="AH8" i="7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D18" i="77" l="1"/>
  <c r="D16" i="77"/>
  <c r="D10" i="77"/>
  <c r="D15" i="77"/>
  <c r="D17" i="77"/>
  <c r="D9" i="77"/>
  <c r="C23"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9" i="77" l="1"/>
  <c r="E23" i="77"/>
  <c r="E29"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B39" i="71" s="1"/>
  <c r="D37" i="71"/>
  <c r="Q36" i="71"/>
  <c r="P36" i="71"/>
  <c r="O36" i="71"/>
  <c r="N36" i="71"/>
  <c r="Q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28" i="71" s="1"/>
  <c r="B27" i="71" s="1"/>
  <c r="B26" i="71" s="1"/>
  <c r="B30" i="71"/>
  <c r="B31" i="71" s="1"/>
  <c r="B32" i="71" s="1"/>
  <c r="S32" i="71" s="1"/>
  <c r="E30" i="71"/>
  <c r="E31" i="71" s="1"/>
  <c r="E32" i="71" s="1"/>
  <c r="U32" i="71" s="1"/>
  <c r="N68" i="71"/>
  <c r="E34" i="71"/>
  <c r="C34" i="71"/>
  <c r="D34" i="71" s="1"/>
  <c r="C38" i="71"/>
  <c r="D38" i="71" s="1"/>
  <c r="P28" i="71"/>
  <c r="E28" i="71" s="1"/>
  <c r="U68" i="71"/>
  <c r="E67" i="71"/>
  <c r="P67" i="71" s="1"/>
  <c r="Q28" i="71"/>
  <c r="F28" i="71" s="1"/>
  <c r="F27" i="71" s="1"/>
  <c r="F26" i="71" s="1"/>
  <c r="D62" i="71"/>
  <c r="O68" i="71"/>
  <c r="D68" i="71"/>
  <c r="C67" i="71"/>
  <c r="D67" i="71" s="1"/>
  <c r="D72" i="71"/>
  <c r="D76" i="71"/>
  <c r="E79" i="71"/>
  <c r="E78" i="71"/>
  <c r="C87" i="71"/>
  <c r="C86" i="71" s="1"/>
  <c r="D86" i="71" s="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J18" i="36"/>
  <c r="AC18" i="36" s="1"/>
  <c r="H18" i="35"/>
  <c r="AB18" i="35" s="1"/>
  <c r="J18" i="35"/>
  <c r="AC18" i="35" s="1"/>
  <c r="H21" i="37"/>
  <c r="U21" i="37" s="1"/>
  <c r="F21" i="37"/>
  <c r="AA21" i="37" s="1"/>
  <c r="F84" i="34"/>
  <c r="G84" i="34" s="1"/>
  <c r="H21" i="34"/>
  <c r="AB21" i="34" s="1"/>
  <c r="H21" i="33"/>
  <c r="U21" i="33" s="1"/>
  <c r="F21" i="33"/>
  <c r="AA21" i="33" s="1"/>
  <c r="H1" i="69"/>
  <c r="AC25" i="40"/>
  <c r="U29" i="39"/>
  <c r="W18" i="36"/>
  <c r="AB21" i="37"/>
  <c r="AB21" i="33"/>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H496" i="3"/>
  <c r="BI496" i="3"/>
  <c r="BJ496" i="3"/>
  <c r="BK496" i="3"/>
  <c r="BK5" i="3" s="1"/>
  <c r="BM496" i="3"/>
  <c r="BN496" i="3"/>
  <c r="BO496" i="3"/>
  <c r="BP496" i="3"/>
  <c r="BL496" i="3" s="1"/>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L504" i="3" s="1"/>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A506" i="3" s="1"/>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L532" i="3" s="1"/>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B97" i="35"/>
  <c r="H34" i="35" s="1"/>
  <c r="B77" i="35"/>
  <c r="B75" i="35"/>
  <c r="J24" i="35" s="1"/>
  <c r="AC24" i="35" s="1"/>
  <c r="B73" i="35"/>
  <c r="B57" i="35"/>
  <c r="F11" i="35" s="1"/>
  <c r="S11" i="35" s="1"/>
  <c r="B61" i="35"/>
  <c r="B59" i="35"/>
  <c r="F12" i="35" s="1"/>
  <c r="B131" i="34"/>
  <c r="B129" i="34"/>
  <c r="F46" i="34" s="1"/>
  <c r="B127" i="34"/>
  <c r="B99" i="34"/>
  <c r="B97" i="34"/>
  <c r="B95" i="34"/>
  <c r="H30" i="34" s="1"/>
  <c r="B93" i="34"/>
  <c r="B75" i="34"/>
  <c r="B73" i="34"/>
  <c r="B71" i="34"/>
  <c r="B130" i="33"/>
  <c r="B128" i="33"/>
  <c r="B126" i="33"/>
  <c r="B98" i="33"/>
  <c r="H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c r="J39" i="33"/>
  <c r="Q38" i="33"/>
  <c r="Z38" i="33" s="1"/>
  <c r="J38" i="33"/>
  <c r="AC38" i="33" s="1"/>
  <c r="H38" i="33"/>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Q14" i="33"/>
  <c r="Z14" i="33" s="1"/>
  <c r="Q13" i="33"/>
  <c r="Z13" i="33" s="1"/>
  <c r="Q12" i="33"/>
  <c r="Z12" i="33"/>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54" i="43" s="1"/>
  <c r="C21" i="20"/>
  <c r="B99" i="43" s="1"/>
  <c r="C20" i="20"/>
  <c r="B101" i="43" s="1"/>
  <c r="B79" i="43"/>
  <c r="C18" i="20"/>
  <c r="B51"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F42"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H45" i="21" s="1"/>
  <c r="B126" i="21"/>
  <c r="B98" i="21"/>
  <c r="H31" i="21"/>
  <c r="U31" i="21" s="1"/>
  <c r="B96" i="21"/>
  <c r="H30" i="21" s="1"/>
  <c r="U30" i="21" s="1"/>
  <c r="B94" i="21"/>
  <c r="J29" i="21" s="1"/>
  <c r="AC29" i="21" s="1"/>
  <c r="B92" i="21"/>
  <c r="F28" i="21" s="1"/>
  <c r="AA28" i="21" s="1"/>
  <c r="B90"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H42" i="43" s="1"/>
  <c r="F34" i="21"/>
  <c r="AA34" i="21" s="1"/>
  <c r="H34" i="21"/>
  <c r="AB34" i="21" s="1"/>
  <c r="F43" i="21"/>
  <c r="S43" i="21" s="1"/>
  <c r="H38" i="21"/>
  <c r="U38" i="21" s="1"/>
  <c r="H43" i="21"/>
  <c r="AB43" i="21" s="1"/>
  <c r="F38" i="21"/>
  <c r="S38" i="21" s="1"/>
  <c r="F36" i="21"/>
  <c r="F39" i="21"/>
  <c r="AA39" i="21"/>
  <c r="J40" i="21"/>
  <c r="W40" i="21" s="1"/>
  <c r="H35" i="21"/>
  <c r="J8" i="21"/>
  <c r="AC8" i="21" s="1"/>
  <c r="H8" i="21"/>
  <c r="U8" i="21" s="1"/>
  <c r="H10" i="21"/>
  <c r="AB10" i="21" s="1"/>
  <c r="H39" i="21"/>
  <c r="J34" i="21"/>
  <c r="H36" i="21"/>
  <c r="U36" i="21" s="1"/>
  <c r="F35" i="21"/>
  <c r="AA35" i="21" s="1"/>
  <c r="J10" i="21"/>
  <c r="AC10" i="21" s="1"/>
  <c r="H26" i="21"/>
  <c r="AB26" i="21" s="1"/>
  <c r="AB19" i="21"/>
  <c r="J19" i="21"/>
  <c r="W19" i="21" s="1"/>
  <c r="J26" i="21"/>
  <c r="W26" i="21" s="1"/>
  <c r="F26" i="21"/>
  <c r="S26" i="21" s="1"/>
  <c r="AB41" i="21"/>
  <c r="F45" i="39"/>
  <c r="J45" i="39"/>
  <c r="W45" i="39" s="1"/>
  <c r="J35" i="39"/>
  <c r="AC35" i="39" s="1"/>
  <c r="F35" i="39"/>
  <c r="W40" i="39"/>
  <c r="U30" i="37"/>
  <c r="F39" i="37"/>
  <c r="S39" i="37" s="1"/>
  <c r="F29" i="36"/>
  <c r="AA29" i="36" s="1"/>
  <c r="F16" i="36"/>
  <c r="U31" i="36"/>
  <c r="J33" i="36"/>
  <c r="AC33" i="36" s="1"/>
  <c r="H22" i="35"/>
  <c r="AB22" i="35" s="1"/>
  <c r="AC27" i="35"/>
  <c r="U31" i="35"/>
  <c r="F36" i="34"/>
  <c r="J35" i="34"/>
  <c r="H39" i="33"/>
  <c r="AB39" i="33" s="1"/>
  <c r="F26" i="33"/>
  <c r="AA26" i="33" s="1"/>
  <c r="S40" i="33"/>
  <c r="H39" i="37"/>
  <c r="AB39" i="37" s="1"/>
  <c r="F11" i="40"/>
  <c r="H11" i="40"/>
  <c r="AB11" i="40" s="1"/>
  <c r="U9" i="40"/>
  <c r="S34" i="40"/>
  <c r="W31" i="40"/>
  <c r="F42" i="39"/>
  <c r="AA42" i="39" s="1"/>
  <c r="F41" i="39"/>
  <c r="S41" i="39" s="1"/>
  <c r="H40" i="39"/>
  <c r="AB40" i="39" s="1"/>
  <c r="H34" i="39"/>
  <c r="U34" i="39" s="1"/>
  <c r="E108" i="39"/>
  <c r="F31" i="39"/>
  <c r="AA31" i="39" s="1"/>
  <c r="H19" i="39"/>
  <c r="AB19" i="39" s="1"/>
  <c r="F19" i="39"/>
  <c r="AA19" i="39" s="1"/>
  <c r="H17" i="39"/>
  <c r="AB17" i="39" s="1"/>
  <c r="F17" i="39"/>
  <c r="AA17" i="39" s="1"/>
  <c r="J23" i="40"/>
  <c r="AC23" i="40" s="1"/>
  <c r="F21" i="40"/>
  <c r="AA21" i="40" s="1"/>
  <c r="J21" i="40"/>
  <c r="H42" i="39"/>
  <c r="AB42" i="39" s="1"/>
  <c r="J34" i="39"/>
  <c r="F108" i="39"/>
  <c r="G108" i="39" s="1"/>
  <c r="H108" i="39" s="1"/>
  <c r="I108" i="39" s="1"/>
  <c r="J108" i="39" s="1"/>
  <c r="K108" i="39" s="1"/>
  <c r="L108" i="39" s="1"/>
  <c r="M108" i="39" s="1"/>
  <c r="J19" i="39"/>
  <c r="AC19" i="39" s="1"/>
  <c r="J17" i="39"/>
  <c r="W17" i="39" s="1"/>
  <c r="F11" i="21"/>
  <c r="S11" i="21" s="1"/>
  <c r="U34" i="21"/>
  <c r="C25" i="39"/>
  <c r="S40" i="39"/>
  <c r="H32" i="33"/>
  <c r="H11" i="21"/>
  <c r="U11" i="21" s="1"/>
  <c r="J11" i="21"/>
  <c r="W11" i="21" s="1"/>
  <c r="H37" i="40"/>
  <c r="H36" i="40"/>
  <c r="AB36" i="40" s="1"/>
  <c r="F35" i="40"/>
  <c r="AA35" i="40" s="1"/>
  <c r="H23" i="40"/>
  <c r="AB23" i="40" s="1"/>
  <c r="H17" i="40"/>
  <c r="U17" i="40" s="1"/>
  <c r="J15" i="40"/>
  <c r="W15" i="40" s="1"/>
  <c r="J11" i="40"/>
  <c r="AB8" i="39"/>
  <c r="W32" i="40"/>
  <c r="J34" i="36"/>
  <c r="W34" i="36" s="1"/>
  <c r="U30" i="36"/>
  <c r="J30" i="35"/>
  <c r="W30" i="35" s="1"/>
  <c r="H30" i="35"/>
  <c r="AB30" i="35" s="1"/>
  <c r="F22" i="35"/>
  <c r="H10" i="35"/>
  <c r="U10" i="35" s="1"/>
  <c r="F33" i="36"/>
  <c r="AA33" i="36" s="1"/>
  <c r="H16" i="36"/>
  <c r="AB16" i="36" s="1"/>
  <c r="E85" i="36"/>
  <c r="F85" i="36" s="1"/>
  <c r="G85" i="36" s="1"/>
  <c r="H85" i="36" s="1"/>
  <c r="I85" i="36" s="1"/>
  <c r="J85" i="36" s="1"/>
  <c r="K85" i="36" s="1"/>
  <c r="L85" i="36" s="1"/>
  <c r="M85" i="36" s="1"/>
  <c r="J29" i="36"/>
  <c r="F24" i="36"/>
  <c r="F34" i="36"/>
  <c r="S34" i="36" s="1"/>
  <c r="F14" i="35"/>
  <c r="AA14" i="35" s="1"/>
  <c r="F23" i="35"/>
  <c r="AA23" i="35" s="1"/>
  <c r="J32" i="35"/>
  <c r="AC32" i="35" s="1"/>
  <c r="J16" i="35"/>
  <c r="AC16" i="35" s="1"/>
  <c r="H16" i="35"/>
  <c r="U16" i="35" s="1"/>
  <c r="F16" i="35"/>
  <c r="H14" i="35"/>
  <c r="AB14" i="35" s="1"/>
  <c r="J29" i="35"/>
  <c r="H33" i="35"/>
  <c r="J20" i="35"/>
  <c r="F35" i="37"/>
  <c r="S35" i="37" s="1"/>
  <c r="F101" i="37"/>
  <c r="G101" i="37" s="1"/>
  <c r="H101" i="37" s="1"/>
  <c r="I101" i="37" s="1"/>
  <c r="J101" i="37" s="1"/>
  <c r="K101" i="37" s="1"/>
  <c r="L101" i="37" s="1"/>
  <c r="M101" i="37" s="1"/>
  <c r="J34" i="37"/>
  <c r="J33" i="37"/>
  <c r="AC33" i="37" s="1"/>
  <c r="U42" i="34"/>
  <c r="H40" i="34"/>
  <c r="H36" i="34"/>
  <c r="U36" i="34" s="1"/>
  <c r="F37" i="34"/>
  <c r="F25" i="34"/>
  <c r="S25" i="34" s="1"/>
  <c r="H23" i="34"/>
  <c r="U23" i="34" s="1"/>
  <c r="J23" i="34"/>
  <c r="W23" i="34" s="1"/>
  <c r="F19" i="34"/>
  <c r="H17" i="34"/>
  <c r="U17" i="34" s="1"/>
  <c r="F15" i="34"/>
  <c r="AA15" i="34" s="1"/>
  <c r="J15" i="34"/>
  <c r="W15" i="34" s="1"/>
  <c r="H15" i="34"/>
  <c r="AB15" i="34" s="1"/>
  <c r="J28" i="34"/>
  <c r="W28" i="34" s="1"/>
  <c r="F41" i="33"/>
  <c r="AA41" i="33" s="1"/>
  <c r="S38" i="33"/>
  <c r="F32" i="33"/>
  <c r="J19" i="33"/>
  <c r="AC19" i="33" s="1"/>
  <c r="J15" i="33"/>
  <c r="AC15" i="33" s="1"/>
  <c r="F11" i="33"/>
  <c r="AA11" i="33" s="1"/>
  <c r="S26" i="33"/>
  <c r="U40" i="33"/>
  <c r="F37" i="40"/>
  <c r="AA37" i="40" s="1"/>
  <c r="F36" i="40"/>
  <c r="AA36" i="40" s="1"/>
  <c r="H28" i="40"/>
  <c r="F23" i="40"/>
  <c r="AA23" i="40" s="1"/>
  <c r="F17" i="40"/>
  <c r="AA17" i="40" s="1"/>
  <c r="J17" i="40"/>
  <c r="W17" i="40"/>
  <c r="F15" i="40"/>
  <c r="S15" i="40" s="1"/>
  <c r="H15" i="40"/>
  <c r="AB15" i="40" s="1"/>
  <c r="F29" i="35"/>
  <c r="S29" i="35" s="1"/>
  <c r="H29" i="35"/>
  <c r="H33" i="37"/>
  <c r="F33" i="37"/>
  <c r="AA33" i="37" s="1"/>
  <c r="U34" i="37"/>
  <c r="S34" i="37"/>
  <c r="AA34" i="37"/>
  <c r="J43" i="34"/>
  <c r="AB42" i="34"/>
  <c r="J40" i="34"/>
  <c r="AC40" i="34" s="1"/>
  <c r="H38" i="34"/>
  <c r="AB38" i="34" s="1"/>
  <c r="J36" i="34"/>
  <c r="W36" i="34" s="1"/>
  <c r="H37" i="34"/>
  <c r="U37" i="34" s="1"/>
  <c r="H25" i="34"/>
  <c r="AB25" i="34" s="1"/>
  <c r="J25" i="34"/>
  <c r="AC25" i="34" s="1"/>
  <c r="F23" i="34"/>
  <c r="AA23" i="34" s="1"/>
  <c r="J19" i="34"/>
  <c r="AC19" i="34" s="1"/>
  <c r="F17" i="34"/>
  <c r="J17" i="34"/>
  <c r="F113" i="33"/>
  <c r="G113" i="33" s="1"/>
  <c r="H113" i="33" s="1"/>
  <c r="I113" i="33" s="1"/>
  <c r="J113" i="33" s="1"/>
  <c r="K113" i="33" s="1"/>
  <c r="L113" i="33" s="1"/>
  <c r="M113" i="33" s="1"/>
  <c r="H37" i="33"/>
  <c r="AB37" i="33"/>
  <c r="H15" i="33"/>
  <c r="AB15" i="33" s="1"/>
  <c r="H11" i="33"/>
  <c r="AB11" i="33" s="1"/>
  <c r="F28" i="40"/>
  <c r="AA28" i="40"/>
  <c r="AA42" i="34"/>
  <c r="S42" i="34"/>
  <c r="J37" i="34"/>
  <c r="AC37" i="34" s="1"/>
  <c r="J11" i="33"/>
  <c r="I123" i="21"/>
  <c r="J123" i="21" s="1"/>
  <c r="K123" i="21" s="1"/>
  <c r="L123" i="21" s="1"/>
  <c r="M123" i="21" s="1"/>
  <c r="J42" i="21"/>
  <c r="AC42" i="21" s="1"/>
  <c r="H42" i="21"/>
  <c r="J44" i="34"/>
  <c r="F44" i="34"/>
  <c r="AA44" i="34" s="1"/>
  <c r="J10" i="35"/>
  <c r="AC10" i="35" s="1"/>
  <c r="H14" i="21"/>
  <c r="H28" i="21"/>
  <c r="J28" i="21"/>
  <c r="W28" i="21" s="1"/>
  <c r="J44" i="21"/>
  <c r="AC44" i="21" s="1"/>
  <c r="H44" i="21"/>
  <c r="F44" i="21"/>
  <c r="AA44" i="21" s="1"/>
  <c r="H26" i="33"/>
  <c r="U26" i="33" s="1"/>
  <c r="F28" i="33"/>
  <c r="AA28" i="33" s="1"/>
  <c r="F33" i="35"/>
  <c r="J33" i="35"/>
  <c r="AC33" i="35" s="1"/>
  <c r="F30" i="35"/>
  <c r="S30" i="35" s="1"/>
  <c r="E89" i="35"/>
  <c r="F89" i="35" s="1"/>
  <c r="G89" i="35" s="1"/>
  <c r="H89" i="35" s="1"/>
  <c r="I89" i="35" s="1"/>
  <c r="J89" i="35" s="1"/>
  <c r="K89" i="35" s="1"/>
  <c r="L89" i="35" s="1"/>
  <c r="M89" i="35" s="1"/>
  <c r="H10" i="36"/>
  <c r="AB10" i="36" s="1"/>
  <c r="J14" i="36"/>
  <c r="AC14" i="36" s="1"/>
  <c r="H14" i="36"/>
  <c r="F28" i="36"/>
  <c r="AA28" i="36" s="1"/>
  <c r="J13" i="21"/>
  <c r="H29" i="21"/>
  <c r="U29" i="21" s="1"/>
  <c r="J31" i="21"/>
  <c r="AC31" i="21" s="1"/>
  <c r="F31" i="21"/>
  <c r="S31" i="21" s="1"/>
  <c r="F27" i="33"/>
  <c r="AA27" i="33" s="1"/>
  <c r="J13" i="33"/>
  <c r="AC13" i="33" s="1"/>
  <c r="F13" i="33"/>
  <c r="H29" i="33"/>
  <c r="J31" i="33"/>
  <c r="W31" i="33" s="1"/>
  <c r="F31" i="33"/>
  <c r="J45" i="33"/>
  <c r="F14" i="34"/>
  <c r="S14" i="34" s="1"/>
  <c r="F30" i="34"/>
  <c r="S30" i="34" s="1"/>
  <c r="J30" i="34"/>
  <c r="H46" i="34"/>
  <c r="U46" i="34" s="1"/>
  <c r="J46" i="34"/>
  <c r="H11" i="35"/>
  <c r="AB11" i="35" s="1"/>
  <c r="J11" i="35"/>
  <c r="J26" i="36"/>
  <c r="H28" i="36"/>
  <c r="U28" i="36" s="1"/>
  <c r="H11" i="36"/>
  <c r="U11" i="36" s="1"/>
  <c r="J13" i="36"/>
  <c r="F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J40" i="37"/>
  <c r="AC40" i="37" s="1"/>
  <c r="AC12" i="40"/>
  <c r="W12" i="40"/>
  <c r="H14" i="33"/>
  <c r="F14" i="33"/>
  <c r="S14" i="33"/>
  <c r="J14" i="33"/>
  <c r="H44" i="33"/>
  <c r="J44" i="33"/>
  <c r="F44" i="33"/>
  <c r="H13" i="34"/>
  <c r="U13" i="34" s="1"/>
  <c r="J13" i="34"/>
  <c r="F13" i="34"/>
  <c r="AA13" i="34" s="1"/>
  <c r="J31" i="34"/>
  <c r="H31" i="34"/>
  <c r="F31" i="34"/>
  <c r="H47" i="34"/>
  <c r="U47" i="34" s="1"/>
  <c r="F47" i="34"/>
  <c r="S47" i="34" s="1"/>
  <c r="J47" i="34"/>
  <c r="AC47" i="34"/>
  <c r="J35" i="35"/>
  <c r="AC35" i="35" s="1"/>
  <c r="J25" i="36"/>
  <c r="F25" i="36"/>
  <c r="S25" i="36" s="1"/>
  <c r="H25" i="36"/>
  <c r="H13" i="37"/>
  <c r="AB13" i="37" s="1"/>
  <c r="F13" i="37"/>
  <c r="J13" i="37"/>
  <c r="F28" i="37"/>
  <c r="AA28" i="37" s="1"/>
  <c r="J28" i="37"/>
  <c r="H28" i="37"/>
  <c r="H38" i="37"/>
  <c r="J38" i="37"/>
  <c r="F38" i="37"/>
  <c r="S38" i="37" s="1"/>
  <c r="F43" i="39"/>
  <c r="H43" i="39"/>
  <c r="J14" i="39"/>
  <c r="AC14" i="39" s="1"/>
  <c r="F12" i="40"/>
  <c r="S12" i="40" s="1"/>
  <c r="H12" i="40"/>
  <c r="H30" i="40"/>
  <c r="AB30" i="40" s="1"/>
  <c r="F33" i="40"/>
  <c r="AA33" i="40" s="1"/>
  <c r="H33" i="40"/>
  <c r="U33" i="40" s="1"/>
  <c r="J35" i="40"/>
  <c r="J37" i="40"/>
  <c r="AC37" i="40" s="1"/>
  <c r="H13" i="40"/>
  <c r="U13" i="40" s="1"/>
  <c r="F13" i="40"/>
  <c r="F14" i="37"/>
  <c r="S14" i="37" s="1"/>
  <c r="F27" i="37"/>
  <c r="AA27" i="37" s="1"/>
  <c r="F13" i="39"/>
  <c r="J13" i="39"/>
  <c r="W13" i="39" s="1"/>
  <c r="H13" i="39"/>
  <c r="U13" i="39" s="1"/>
  <c r="H14" i="40"/>
  <c r="AB14" i="40" s="1"/>
  <c r="J14" i="40"/>
  <c r="W14" i="40" s="1"/>
  <c r="F14" i="40"/>
  <c r="AA14" i="40" s="1"/>
  <c r="J14" i="37"/>
  <c r="AA14" i="33"/>
  <c r="J36" i="37"/>
  <c r="J10" i="36"/>
  <c r="AC10" i="36" s="1"/>
  <c r="AB26" i="33"/>
  <c r="AC28" i="21"/>
  <c r="F17" i="21"/>
  <c r="H17" i="21"/>
  <c r="F15" i="21"/>
  <c r="S15" i="21" s="1"/>
  <c r="J41" i="39"/>
  <c r="W41" i="39" s="1"/>
  <c r="G532" i="3"/>
  <c r="G523" i="3"/>
  <c r="G584" i="3"/>
  <c r="G576" i="3"/>
  <c r="G568" i="3"/>
  <c r="G560" i="3"/>
  <c r="BL566" i="3"/>
  <c r="BA546" i="3"/>
  <c r="BA563" i="3"/>
  <c r="G579" i="3"/>
  <c r="G577" i="3"/>
  <c r="G571" i="3"/>
  <c r="G563" i="3"/>
  <c r="AC557" i="3"/>
  <c r="G557" i="3" s="1"/>
  <c r="BQ557" i="3"/>
  <c r="BQ583" i="3"/>
  <c r="BQ581" i="3"/>
  <c r="BQ579" i="3"/>
  <c r="BQ577" i="3"/>
  <c r="BQ575" i="3"/>
  <c r="BQ573" i="3"/>
  <c r="BQ571" i="3"/>
  <c r="BQ569" i="3"/>
  <c r="BQ567" i="3"/>
  <c r="BQ565" i="3"/>
  <c r="BQ563" i="3"/>
  <c r="BQ561" i="3"/>
  <c r="BQ559" i="3"/>
  <c r="G555" i="3"/>
  <c r="G549" i="3"/>
  <c r="G541" i="3"/>
  <c r="BQ555" i="3"/>
  <c r="BQ553" i="3"/>
  <c r="BQ551" i="3"/>
  <c r="BQ549" i="3"/>
  <c r="BQ547" i="3"/>
  <c r="BQ545" i="3"/>
  <c r="BQ543" i="3"/>
  <c r="BQ541" i="3"/>
  <c r="BQ539" i="3"/>
  <c r="BQ537" i="3"/>
  <c r="BQ535" i="3"/>
  <c r="BQ533" i="3"/>
  <c r="BQ531" i="3"/>
  <c r="BQ529" i="3"/>
  <c r="BQ527" i="3"/>
  <c r="BQ525" i="3"/>
  <c r="BQ523" i="3"/>
  <c r="AC521" i="3"/>
  <c r="BQ521" i="3"/>
  <c r="G517" i="3"/>
  <c r="BQ519" i="3"/>
  <c r="BQ517" i="3"/>
  <c r="BQ515" i="3"/>
  <c r="BQ513" i="3"/>
  <c r="BQ511" i="3"/>
  <c r="AC509" i="3"/>
  <c r="BQ509" i="3"/>
  <c r="G507"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F10" i="35"/>
  <c r="S10" i="35" s="1"/>
  <c r="F24" i="35"/>
  <c r="H24" i="35"/>
  <c r="AB24" i="35" s="1"/>
  <c r="H23" i="37"/>
  <c r="J32" i="37"/>
  <c r="AC32" i="37" s="1"/>
  <c r="F36" i="37"/>
  <c r="F37" i="37"/>
  <c r="AA37" i="37" s="1"/>
  <c r="F31" i="40"/>
  <c r="H31" i="40"/>
  <c r="U31" i="40" s="1"/>
  <c r="F32" i="40"/>
  <c r="S32" i="40" s="1"/>
  <c r="H32" i="40"/>
  <c r="AB32" i="40" s="1"/>
  <c r="J36" i="40"/>
  <c r="W36" i="40" s="1"/>
  <c r="H19" i="37"/>
  <c r="AB19" i="37" s="1"/>
  <c r="H42" i="33"/>
  <c r="J43" i="33"/>
  <c r="AC43" i="33"/>
  <c r="S28" i="31"/>
  <c r="S27" i="31"/>
  <c r="S26" i="31"/>
  <c r="U14" i="40"/>
  <c r="U39" i="37"/>
  <c r="W47" i="34"/>
  <c r="U11" i="33"/>
  <c r="U19" i="21"/>
  <c r="W44" i="21"/>
  <c r="AB38" i="21"/>
  <c r="F43" i="33"/>
  <c r="AC15" i="34"/>
  <c r="W16" i="35"/>
  <c r="W40" i="37"/>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W23" i="39"/>
  <c r="AC43" i="39"/>
  <c r="W43" i="39"/>
  <c r="U45" i="39"/>
  <c r="AB45" i="39"/>
  <c r="H37" i="39"/>
  <c r="AB37" i="39" s="1"/>
  <c r="AC37" i="39"/>
  <c r="W37" i="39"/>
  <c r="H25" i="39"/>
  <c r="AB25" i="39" s="1"/>
  <c r="F25" i="39"/>
  <c r="AA25" i="39" s="1"/>
  <c r="F15" i="39"/>
  <c r="AA15" i="39" s="1"/>
  <c r="H15" i="39"/>
  <c r="U15" i="39" s="1"/>
  <c r="J15" i="39"/>
  <c r="W15" i="39" s="1"/>
  <c r="H41" i="39"/>
  <c r="AB41" i="39" s="1"/>
  <c r="AB34" i="39"/>
  <c r="J19" i="40"/>
  <c r="J50" i="40"/>
  <c r="H103" i="9"/>
  <c r="B16" i="53"/>
  <c r="B33" i="72" s="1"/>
  <c r="C7" i="34"/>
  <c r="A118" i="9"/>
  <c r="A4" i="52"/>
  <c r="B41" i="72" s="1"/>
  <c r="J11" i="39"/>
  <c r="F11" i="39"/>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1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AZ380" i="3" s="1"/>
  <c r="G381" i="3"/>
  <c r="BA383" i="3"/>
  <c r="BL384" i="3"/>
  <c r="G385" i="3"/>
  <c r="BA387" i="3"/>
  <c r="BL388" i="3"/>
  <c r="G389" i="3"/>
  <c r="BA391" i="3"/>
  <c r="BL392" i="3"/>
  <c r="G393" i="3"/>
  <c r="BM5" i="3"/>
  <c r="G538" i="3"/>
  <c r="G502" i="3"/>
  <c r="G17" i="3"/>
  <c r="BA17" i="3"/>
  <c r="BA15" i="3"/>
  <c r="G509" i="3"/>
  <c r="U36" i="40"/>
  <c r="F83" i="43"/>
  <c r="H85" i="43" s="1"/>
  <c r="F50" i="43"/>
  <c r="H54" i="43" s="1"/>
  <c r="G54" i="43" s="1"/>
  <c r="M54" i="43" s="1"/>
  <c r="N54" i="43" s="1"/>
  <c r="F72" i="43"/>
  <c r="H75" i="43" s="1"/>
  <c r="U17" i="39"/>
  <c r="S14" i="35"/>
  <c r="U43" i="21"/>
  <c r="AC35" i="21"/>
  <c r="W37" i="37"/>
  <c r="W44" i="34"/>
  <c r="AC44" i="34"/>
  <c r="S15" i="37"/>
  <c r="U13" i="37"/>
  <c r="AA12" i="40"/>
  <c r="J37" i="33"/>
  <c r="W37" i="33"/>
  <c r="F106" i="33"/>
  <c r="G106" i="33" s="1"/>
  <c r="H106" i="33" s="1"/>
  <c r="I106" i="33" s="1"/>
  <c r="J106" i="33" s="1"/>
  <c r="K106" i="33" s="1"/>
  <c r="L106" i="33" s="1"/>
  <c r="M106" i="33" s="1"/>
  <c r="J34" i="33"/>
  <c r="W34" i="33" s="1"/>
  <c r="F33" i="34"/>
  <c r="S33" i="34" s="1"/>
  <c r="H20" i="36"/>
  <c r="J20" i="36"/>
  <c r="W20" i="36" s="1"/>
  <c r="J27" i="36"/>
  <c r="W27" i="36" s="1"/>
  <c r="AC33" i="40"/>
  <c r="F111" i="40"/>
  <c r="G111" i="40" s="1"/>
  <c r="H111" i="40" s="1"/>
  <c r="I111" i="40" s="1"/>
  <c r="J111" i="40" s="1"/>
  <c r="K111" i="40" s="1"/>
  <c r="L111" i="40" s="1"/>
  <c r="M111" i="40" s="1"/>
  <c r="H35" i="40"/>
  <c r="AC29" i="35"/>
  <c r="W29" i="35"/>
  <c r="H35" i="37"/>
  <c r="AC14" i="35"/>
  <c r="H20" i="35"/>
  <c r="U20" i="35"/>
  <c r="F20" i="35"/>
  <c r="AB29" i="36"/>
  <c r="H32" i="37"/>
  <c r="F96" i="37"/>
  <c r="H27" i="40"/>
  <c r="U27" i="40" s="1"/>
  <c r="J27" i="40"/>
  <c r="F27" i="40"/>
  <c r="J30" i="40"/>
  <c r="F30" i="40"/>
  <c r="S31" i="39"/>
  <c r="E98" i="40"/>
  <c r="F98" i="40" s="1"/>
  <c r="G98" i="40" s="1"/>
  <c r="H98" i="40" s="1"/>
  <c r="I98" i="40" s="1"/>
  <c r="J98" i="40" s="1"/>
  <c r="K98" i="40" s="1"/>
  <c r="L98" i="40" s="1"/>
  <c r="M98" i="40" s="1"/>
  <c r="F10" i="33"/>
  <c r="S10" i="33" s="1"/>
  <c r="F34" i="33"/>
  <c r="H34" i="33"/>
  <c r="U34" i="33" s="1"/>
  <c r="F35" i="33"/>
  <c r="F39" i="34"/>
  <c r="AA39" i="34" s="1"/>
  <c r="J39" i="34"/>
  <c r="W39" i="34" s="1"/>
  <c r="F40" i="34"/>
  <c r="F43" i="34"/>
  <c r="AA43" i="34" s="1"/>
  <c r="H44" i="34"/>
  <c r="U44" i="34" s="1"/>
  <c r="AC38" i="39"/>
  <c r="F39" i="39"/>
  <c r="S39" i="39" s="1"/>
  <c r="E96" i="39"/>
  <c r="F96" i="39" s="1"/>
  <c r="G96" i="39" s="1"/>
  <c r="C40" i="11"/>
  <c r="F23" i="39"/>
  <c r="S23" i="39" s="1"/>
  <c r="H27" i="36"/>
  <c r="U27" i="36" s="1"/>
  <c r="F27" i="36"/>
  <c r="AA27" i="36" s="1"/>
  <c r="H33" i="34"/>
  <c r="F32" i="37"/>
  <c r="AA32" i="37" s="1"/>
  <c r="G96" i="37"/>
  <c r="H96" i="37" s="1"/>
  <c r="I96" i="37" s="1"/>
  <c r="J96" i="37" s="1"/>
  <c r="K96" i="37" s="1"/>
  <c r="L96" i="37" s="1"/>
  <c r="M96" i="37" s="1"/>
  <c r="F20" i="36"/>
  <c r="AA20" i="36" s="1"/>
  <c r="J33" i="34"/>
  <c r="H23" i="39"/>
  <c r="U23" i="39" s="1"/>
  <c r="D48" i="9"/>
  <c r="M52" i="9" s="1"/>
  <c r="K9" i="1"/>
  <c r="M9" i="1" s="1"/>
  <c r="D93" i="9"/>
  <c r="AC26" i="33"/>
  <c r="W26" i="33"/>
  <c r="W27" i="34"/>
  <c r="AB34" i="36"/>
  <c r="U34" i="36"/>
  <c r="AB33" i="36"/>
  <c r="U33" i="36"/>
  <c r="AC39" i="40"/>
  <c r="W39" i="40"/>
  <c r="BL14" i="3"/>
  <c r="AA47" i="34"/>
  <c r="S19" i="39"/>
  <c r="F39" i="40"/>
  <c r="BA14" i="3"/>
  <c r="B12" i="1"/>
  <c r="E12" i="1" s="1"/>
  <c r="B10" i="1"/>
  <c r="E10" i="1" s="1"/>
  <c r="K12" i="1"/>
  <c r="M12" i="1" s="1"/>
  <c r="S13" i="1"/>
  <c r="AR13" i="1" s="1"/>
  <c r="R13" i="1"/>
  <c r="J51" i="67"/>
  <c r="AC34" i="33"/>
  <c r="B41" i="1"/>
  <c r="S35" i="40"/>
  <c r="AC36" i="40"/>
  <c r="S17" i="40"/>
  <c r="S23" i="40"/>
  <c r="AC17" i="40"/>
  <c r="AC15" i="40"/>
  <c r="AA19" i="40"/>
  <c r="S28" i="40"/>
  <c r="U21" i="40"/>
  <c r="U37" i="39"/>
  <c r="F32" i="39"/>
  <c r="AA32" i="39" s="1"/>
  <c r="F106" i="39"/>
  <c r="G106" i="39" s="1"/>
  <c r="H106" i="39" s="1"/>
  <c r="I106" i="39" s="1"/>
  <c r="J106" i="39" s="1"/>
  <c r="K106" i="39" s="1"/>
  <c r="L106" i="39" s="1"/>
  <c r="M106" i="39" s="1"/>
  <c r="F21" i="39"/>
  <c r="AA21" i="39" s="1"/>
  <c r="H21" i="39"/>
  <c r="U21" i="39" s="1"/>
  <c r="W19" i="39"/>
  <c r="S17" i="39"/>
  <c r="S9" i="39"/>
  <c r="AC13" i="39"/>
  <c r="S23" i="36"/>
  <c r="U13" i="36"/>
  <c r="U26" i="36"/>
  <c r="S33" i="36"/>
  <c r="AA26" i="36"/>
  <c r="AA34" i="36"/>
  <c r="W14" i="36"/>
  <c r="U22" i="36"/>
  <c r="AA25" i="36"/>
  <c r="U16" i="36"/>
  <c r="S14" i="36"/>
  <c r="S23" i="35"/>
  <c r="W24" i="35"/>
  <c r="U28" i="35"/>
  <c r="U36" i="35"/>
  <c r="U32" i="35"/>
  <c r="AC30" i="35"/>
  <c r="S32" i="35"/>
  <c r="AA36" i="35"/>
  <c r="S28" i="35"/>
  <c r="AB16" i="35"/>
  <c r="U22" i="35"/>
  <c r="U14" i="35"/>
  <c r="AA11" i="35"/>
  <c r="AC9" i="35"/>
  <c r="W9" i="35"/>
  <c r="F9" i="35"/>
  <c r="S9" i="35" s="1"/>
  <c r="H9" i="35"/>
  <c r="U9" i="35" s="1"/>
  <c r="AC29" i="37"/>
  <c r="S32" i="37"/>
  <c r="AB31" i="37"/>
  <c r="AA38" i="37"/>
  <c r="AC35" i="37"/>
  <c r="W39" i="37"/>
  <c r="S30" i="37"/>
  <c r="S37" i="37"/>
  <c r="AC15" i="37"/>
  <c r="J17" i="37"/>
  <c r="W17" i="37" s="1"/>
  <c r="G73" i="37"/>
  <c r="F17" i="37"/>
  <c r="AB17" i="37"/>
  <c r="F75" i="37"/>
  <c r="F19" i="37"/>
  <c r="S19" i="37" s="1"/>
  <c r="F79" i="37"/>
  <c r="F23" i="37"/>
  <c r="U15" i="37"/>
  <c r="H10" i="37"/>
  <c r="AB10" i="37" s="1"/>
  <c r="F63" i="37"/>
  <c r="G63" i="37" s="1"/>
  <c r="H63" i="37" s="1"/>
  <c r="I63" i="37" s="1"/>
  <c r="F11" i="37"/>
  <c r="S11" i="37" s="1"/>
  <c r="W25" i="34"/>
  <c r="AB8" i="34"/>
  <c r="AA33" i="34"/>
  <c r="U43" i="34"/>
  <c r="AC39" i="34"/>
  <c r="AC42" i="34"/>
  <c r="AB35" i="34"/>
  <c r="U39" i="34"/>
  <c r="AB41" i="34"/>
  <c r="AA25" i="34"/>
  <c r="U28" i="34"/>
  <c r="S23" i="34"/>
  <c r="U15" i="34"/>
  <c r="S13" i="34"/>
  <c r="H10" i="34"/>
  <c r="AB10" i="34" s="1"/>
  <c r="F11" i="34"/>
  <c r="S11" i="34" s="1"/>
  <c r="F70" i="34"/>
  <c r="W42" i="33"/>
  <c r="S27"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F91" i="33"/>
  <c r="H27" i="33"/>
  <c r="AB27" i="33" s="1"/>
  <c r="F87" i="33"/>
  <c r="G87" i="33" s="1"/>
  <c r="H87" i="33" s="1"/>
  <c r="I87" i="33" s="1"/>
  <c r="J87" i="33" s="1"/>
  <c r="K87" i="33" s="1"/>
  <c r="L87" i="33" s="1"/>
  <c r="M87" i="33" s="1"/>
  <c r="H25" i="33"/>
  <c r="F25" i="33"/>
  <c r="S25" i="33" s="1"/>
  <c r="J23" i="33"/>
  <c r="AC23" i="33" s="1"/>
  <c r="F85" i="33"/>
  <c r="G85" i="33" s="1"/>
  <c r="H23" i="33"/>
  <c r="U23" i="33" s="1"/>
  <c r="F81" i="33"/>
  <c r="G81" i="33" s="1"/>
  <c r="F19" i="33"/>
  <c r="S19" i="33" s="1"/>
  <c r="W19" i="33"/>
  <c r="J17" i="33"/>
  <c r="AC17" i="33" s="1"/>
  <c r="F79" i="33"/>
  <c r="G79" i="33" s="1"/>
  <c r="W15" i="33"/>
  <c r="J10" i="33"/>
  <c r="W10" i="33" s="1"/>
  <c r="H10" i="33"/>
  <c r="U10" i="33" s="1"/>
  <c r="W43" i="21"/>
  <c r="W41" i="21"/>
  <c r="AA43" i="21"/>
  <c r="S39" i="21"/>
  <c r="AA38" i="21"/>
  <c r="AC40" i="21"/>
  <c r="J15" i="21"/>
  <c r="W15" i="21" s="1"/>
  <c r="F77" i="21"/>
  <c r="G77" i="21" s="1"/>
  <c r="F23" i="21"/>
  <c r="S23" i="21" s="1"/>
  <c r="E85" i="21"/>
  <c r="F85" i="21" s="1"/>
  <c r="G85" i="21" s="1"/>
  <c r="C18" i="9"/>
  <c r="D18" i="9" s="1"/>
  <c r="F34" i="15"/>
  <c r="F62" i="15" s="1"/>
  <c r="BL17" i="3"/>
  <c r="AZ17" i="3" s="1"/>
  <c r="BL13"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G1" i="15"/>
  <c r="G1" i="69"/>
  <c r="G1" i="67"/>
  <c r="W23" i="40"/>
  <c r="U32" i="40"/>
  <c r="AB31" i="40"/>
  <c r="S37" i="40"/>
  <c r="W28" i="40"/>
  <c r="W34" i="40"/>
  <c r="S36" i="40"/>
  <c r="W37" i="40"/>
  <c r="AC14" i="40"/>
  <c r="S33" i="40"/>
  <c r="AA15" i="40"/>
  <c r="U11" i="40"/>
  <c r="AB13" i="40"/>
  <c r="U15" i="40"/>
  <c r="AB17" i="40"/>
  <c r="U8" i="40"/>
  <c r="S8" i="40"/>
  <c r="AB13" i="39"/>
  <c r="AA13" i="39"/>
  <c r="S13" i="39"/>
  <c r="U43" i="39"/>
  <c r="AB43" i="39"/>
  <c r="AC17" i="39"/>
  <c r="S8" i="39"/>
  <c r="AC20" i="36"/>
  <c r="AB28" i="36"/>
  <c r="W9" i="36"/>
  <c r="W22" i="36"/>
  <c r="AB20" i="35"/>
  <c r="U24" i="35"/>
  <c r="W35" i="35"/>
  <c r="AA35" i="37"/>
  <c r="S27" i="37"/>
  <c r="S28" i="37"/>
  <c r="W32" i="37"/>
  <c r="U36" i="37"/>
  <c r="U19" i="37"/>
  <c r="AA29" i="37"/>
  <c r="U8" i="37"/>
  <c r="U19" i="34"/>
  <c r="W19" i="34"/>
  <c r="AA30" i="34"/>
  <c r="AB47" i="34"/>
  <c r="AB36" i="34"/>
  <c r="W46" i="34"/>
  <c r="AC46" i="34"/>
  <c r="U30" i="34"/>
  <c r="AB30" i="34"/>
  <c r="U38" i="34"/>
  <c r="W40" i="34"/>
  <c r="AA19" i="34"/>
  <c r="S19" i="34"/>
  <c r="AA36" i="34"/>
  <c r="S36" i="34"/>
  <c r="AA8" i="34"/>
  <c r="S8" i="34"/>
  <c r="AB9" i="34"/>
  <c r="U9" i="34"/>
  <c r="S46" i="34"/>
  <c r="AA46" i="34"/>
  <c r="AC43" i="34"/>
  <c r="W43" i="34"/>
  <c r="AC23" i="34"/>
  <c r="AC35" i="34"/>
  <c r="W35" i="34"/>
  <c r="AC37" i="33"/>
  <c r="U39" i="33"/>
  <c r="S33" i="33"/>
  <c r="AB34" i="33"/>
  <c r="U44" i="33"/>
  <c r="AB44" i="33"/>
  <c r="AC14" i="33"/>
  <c r="W14" i="33"/>
  <c r="S31" i="33"/>
  <c r="AA31" i="33"/>
  <c r="W13" i="33"/>
  <c r="U15" i="33"/>
  <c r="S11" i="33"/>
  <c r="U37" i="33"/>
  <c r="S28" i="33"/>
  <c r="S44" i="21"/>
  <c r="F33" i="21"/>
  <c r="AA33" i="21" s="1"/>
  <c r="J33" i="21"/>
  <c r="AC33" i="21" s="1"/>
  <c r="H33" i="21"/>
  <c r="AB33" i="21" s="1"/>
  <c r="F37" i="21"/>
  <c r="AA37" i="21" s="1"/>
  <c r="AA26" i="21"/>
  <c r="U40" i="21"/>
  <c r="AB31" i="21"/>
  <c r="AC15" i="21"/>
  <c r="U13" i="21"/>
  <c r="AB13" i="21"/>
  <c r="S35" i="21"/>
  <c r="J37" i="21"/>
  <c r="W37" i="21" s="1"/>
  <c r="H15" i="21"/>
  <c r="U15" i="21" s="1"/>
  <c r="J17" i="21"/>
  <c r="AC19" i="21"/>
  <c r="W39" i="21"/>
  <c r="F29" i="21"/>
  <c r="AA29" i="21" s="1"/>
  <c r="F13" i="21"/>
  <c r="AC38" i="21"/>
  <c r="H32" i="21"/>
  <c r="H9" i="21"/>
  <c r="U9" i="21" s="1"/>
  <c r="J32" i="21"/>
  <c r="W32" i="21" s="1"/>
  <c r="F32" i="21"/>
  <c r="AA31" i="21"/>
  <c r="W29" i="21"/>
  <c r="S19" i="21"/>
  <c r="K141" i="21"/>
  <c r="K144" i="21"/>
  <c r="K143" i="21"/>
  <c r="W42" i="21"/>
  <c r="F10" i="21"/>
  <c r="AA10" i="21" s="1"/>
  <c r="K145" i="21"/>
  <c r="W25" i="21"/>
  <c r="W31" i="21"/>
  <c r="AA15" i="21"/>
  <c r="AC26" i="21"/>
  <c r="AB29" i="21"/>
  <c r="S28" i="21"/>
  <c r="AB36" i="21"/>
  <c r="C19" i="39"/>
  <c r="C15" i="40"/>
  <c r="C17" i="40"/>
  <c r="C23" i="40"/>
  <c r="C21" i="40"/>
  <c r="U30" i="40"/>
  <c r="B56" i="43"/>
  <c r="B67" i="43"/>
  <c r="B58" i="43"/>
  <c r="B65" i="43"/>
  <c r="B69" i="43"/>
  <c r="D23" i="15"/>
  <c r="D22" i="15"/>
  <c r="E4" i="4"/>
  <c r="B5" i="62" s="1"/>
  <c r="B73" i="72" s="1"/>
  <c r="C4" i="4"/>
  <c r="AA39" i="40"/>
  <c r="S39" i="40"/>
  <c r="J32" i="39"/>
  <c r="W32" i="39" s="1"/>
  <c r="H32" i="39"/>
  <c r="S32"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U27" i="33"/>
  <c r="G91" i="33"/>
  <c r="H91" i="33" s="1"/>
  <c r="I91" i="33" s="1"/>
  <c r="J91" i="33" s="1"/>
  <c r="K91" i="33" s="1"/>
  <c r="L91" i="33" s="1"/>
  <c r="M91" i="33" s="1"/>
  <c r="J27" i="33"/>
  <c r="AC27" i="33" s="1"/>
  <c r="U25" i="33"/>
  <c r="AB25" i="33"/>
  <c r="AA25" i="33"/>
  <c r="J25" i="33"/>
  <c r="AC25" i="33" s="1"/>
  <c r="AB23" i="33"/>
  <c r="F23" i="33"/>
  <c r="AA19" i="33"/>
  <c r="H19" i="33"/>
  <c r="U19" i="33" s="1"/>
  <c r="H17" i="33"/>
  <c r="U17" i="33" s="1"/>
  <c r="F17" i="33"/>
  <c r="W17" i="33"/>
  <c r="J23" i="21"/>
  <c r="W23" i="21" s="1"/>
  <c r="H23" i="21"/>
  <c r="U23" i="21" s="1"/>
  <c r="AP7" i="1"/>
  <c r="AB9" i="21"/>
  <c r="AA32" i="21"/>
  <c r="S32" i="21"/>
  <c r="AB32" i="21"/>
  <c r="U32" i="21"/>
  <c r="AC32" i="39"/>
  <c r="W23" i="37"/>
  <c r="J63" i="37"/>
  <c r="K63" i="37" s="1"/>
  <c r="L63" i="37" s="1"/>
  <c r="M63" i="37" s="1"/>
  <c r="J11" i="37"/>
  <c r="AC11" i="37" s="1"/>
  <c r="J11" i="34"/>
  <c r="W11" i="34" s="1"/>
  <c r="W27" i="33"/>
  <c r="W25" i="33"/>
  <c r="AB19"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F9" i="15"/>
  <c r="F3" i="73"/>
  <c r="F43" i="15"/>
  <c r="B13" i="76"/>
  <c r="B11" i="76"/>
  <c r="E2" i="68"/>
  <c r="F20" i="31"/>
  <c r="F13" i="15"/>
  <c r="E8" i="76"/>
  <c r="M28" i="15"/>
  <c r="B12" i="76"/>
  <c r="J15" i="15"/>
  <c r="M29" i="15"/>
  <c r="E12" i="76"/>
  <c r="F7" i="73"/>
  <c r="M24" i="15"/>
  <c r="E10" i="76"/>
  <c r="B7" i="76"/>
  <c r="F6" i="73"/>
  <c r="F38" i="15"/>
  <c r="F26" i="15"/>
  <c r="F37" i="15"/>
  <c r="AO13" i="1"/>
  <c r="M28" i="67"/>
  <c r="E2" i="69"/>
  <c r="E9" i="76"/>
  <c r="M8" i="15"/>
  <c r="L47" i="15"/>
  <c r="M22" i="67"/>
  <c r="E7" i="76"/>
  <c r="F5" i="73"/>
  <c r="B9" i="76"/>
  <c r="F36" i="67"/>
  <c r="E11" i="76"/>
  <c r="M29" i="67"/>
  <c r="M8" i="67"/>
  <c r="F43" i="67"/>
  <c r="B10" i="76"/>
  <c r="B8" i="76"/>
  <c r="J15" i="67"/>
  <c r="F7" i="15"/>
  <c r="F4" i="73"/>
  <c r="M23" i="15"/>
  <c r="E13" i="76"/>
  <c r="C76" i="67"/>
  <c r="K54" i="43" l="1"/>
  <c r="J54" i="43" s="1"/>
  <c r="J1" i="73"/>
  <c r="C7" i="12"/>
  <c r="AA13" i="21"/>
  <c r="S13" i="21"/>
  <c r="U20" i="36"/>
  <c r="AB20" i="36"/>
  <c r="U42" i="21"/>
  <c r="AB42" i="21"/>
  <c r="AA11" i="40"/>
  <c r="S11" i="40"/>
  <c r="S36" i="21"/>
  <c r="AA36" i="21"/>
  <c r="BL580" i="3"/>
  <c r="BA580" i="3"/>
  <c r="AZ580" i="3" s="1"/>
  <c r="BA576" i="3"/>
  <c r="BL561" i="3"/>
  <c r="BA560" i="3"/>
  <c r="BA559" i="3"/>
  <c r="BL544" i="3"/>
  <c r="BA539" i="3"/>
  <c r="BA526" i="3"/>
  <c r="BA518" i="3"/>
  <c r="BA517" i="3"/>
  <c r="BL516" i="3"/>
  <c r="BH5" i="3"/>
  <c r="BA498" i="3"/>
  <c r="BD5" i="3"/>
  <c r="G493" i="3"/>
  <c r="AC5" i="3"/>
  <c r="U25" i="34"/>
  <c r="F48" i="9"/>
  <c r="O52" i="9" s="1"/>
  <c r="F30" i="68"/>
  <c r="F48" i="68" s="1"/>
  <c r="AC30" i="40"/>
  <c r="W30" i="40"/>
  <c r="S45" i="39"/>
  <c r="AA45" i="39"/>
  <c r="AA40" i="21"/>
  <c r="S40" i="21"/>
  <c r="AC8" i="33"/>
  <c r="W8" i="33"/>
  <c r="AA15" i="33"/>
  <c r="S15" i="33"/>
  <c r="AC33" i="33"/>
  <c r="W33" i="33"/>
  <c r="S17" i="33"/>
  <c r="AA17" i="33"/>
  <c r="U35" i="37"/>
  <c r="AB35" i="37"/>
  <c r="F30" i="33"/>
  <c r="J30" i="33"/>
  <c r="J29" i="34"/>
  <c r="F29" i="34"/>
  <c r="F25" i="35"/>
  <c r="H25" i="35"/>
  <c r="AB29" i="37"/>
  <c r="U29" i="37"/>
  <c r="BA579" i="3"/>
  <c r="BA572" i="3"/>
  <c r="BL558" i="3"/>
  <c r="BL542" i="3"/>
  <c r="BA542" i="3"/>
  <c r="BA538" i="3"/>
  <c r="BL534" i="3"/>
  <c r="BA534" i="3"/>
  <c r="BA527" i="3"/>
  <c r="BL520" i="3"/>
  <c r="BL513" i="3"/>
  <c r="BG5" i="3"/>
  <c r="AB32" i="39"/>
  <c r="U32" i="39"/>
  <c r="AB19" i="40"/>
  <c r="AA32" i="40"/>
  <c r="U25" i="21"/>
  <c r="AB25" i="21"/>
  <c r="BL501" i="3"/>
  <c r="AA17" i="21"/>
  <c r="S17" i="21"/>
  <c r="J25" i="35"/>
  <c r="H30" i="33"/>
  <c r="U37" i="37"/>
  <c r="AB37" i="37"/>
  <c r="W26" i="36"/>
  <c r="AC26" i="36"/>
  <c r="W45" i="33"/>
  <c r="AC45" i="33"/>
  <c r="S13" i="33"/>
  <c r="AA13" i="33"/>
  <c r="AC36" i="21"/>
  <c r="W36" i="21"/>
  <c r="W32" i="33"/>
  <c r="AC32" i="33"/>
  <c r="AA20" i="35"/>
  <c r="S20" i="35"/>
  <c r="S13" i="37"/>
  <c r="AA13" i="37"/>
  <c r="AC13" i="21"/>
  <c r="W13" i="21"/>
  <c r="S33" i="35"/>
  <c r="AA33" i="35"/>
  <c r="U44" i="21"/>
  <c r="AB44" i="21"/>
  <c r="U14" i="21"/>
  <c r="AB14" i="21"/>
  <c r="U39" i="21"/>
  <c r="AB39" i="21"/>
  <c r="AB35" i="21"/>
  <c r="U35" i="21"/>
  <c r="J27" i="21"/>
  <c r="H27" i="21"/>
  <c r="F27" i="21"/>
  <c r="H12" i="33"/>
  <c r="U12" i="33" s="1"/>
  <c r="J12" i="33"/>
  <c r="F12" i="33"/>
  <c r="J46" i="33"/>
  <c r="F46" i="33"/>
  <c r="H46" i="33"/>
  <c r="J45" i="34"/>
  <c r="F45" i="34"/>
  <c r="H13" i="35"/>
  <c r="F13" i="35"/>
  <c r="J13" i="35"/>
  <c r="AC30" i="37"/>
  <c r="W30" i="37"/>
  <c r="H36" i="39"/>
  <c r="J36" i="39"/>
  <c r="AC36" i="39" s="1"/>
  <c r="F36" i="39"/>
  <c r="BA584" i="3"/>
  <c r="BL574" i="3"/>
  <c r="BL567" i="3"/>
  <c r="BA567" i="3"/>
  <c r="BL564" i="3"/>
  <c r="BA564" i="3"/>
  <c r="AZ564" i="3" s="1"/>
  <c r="BL556" i="3"/>
  <c r="BA553" i="3"/>
  <c r="BA552" i="3"/>
  <c r="BA543" i="3"/>
  <c r="BL536" i="3"/>
  <c r="BA536" i="3"/>
  <c r="AZ536" i="3" s="1"/>
  <c r="BA531" i="3"/>
  <c r="BA530" i="3"/>
  <c r="AZ530" i="3" s="1"/>
  <c r="BL528" i="3"/>
  <c r="BL524" i="3"/>
  <c r="BA523" i="3"/>
  <c r="BA522" i="3"/>
  <c r="BA514" i="3"/>
  <c r="BA507" i="3"/>
  <c r="BL506" i="3"/>
  <c r="AZ506" i="3" s="1"/>
  <c r="BA503" i="3"/>
  <c r="BA499" i="3"/>
  <c r="BP5" i="3"/>
  <c r="BB5" i="3"/>
  <c r="BA494" i="3"/>
  <c r="U26" i="37"/>
  <c r="BL523" i="3"/>
  <c r="BL531" i="3"/>
  <c r="H45" i="34"/>
  <c r="H29" i="34"/>
  <c r="W11" i="33"/>
  <c r="AC11" i="33"/>
  <c r="AA17" i="34"/>
  <c r="S17" i="34"/>
  <c r="U28" i="40"/>
  <c r="AB28" i="40"/>
  <c r="W20" i="35"/>
  <c r="AC20" i="35"/>
  <c r="AC29" i="36"/>
  <c r="W29" i="36"/>
  <c r="W22" i="35"/>
  <c r="BA585" i="3"/>
  <c r="U45" i="21"/>
  <c r="AB45" i="21"/>
  <c r="AZ313" i="3"/>
  <c r="AZ394" i="3"/>
  <c r="BL509" i="3"/>
  <c r="BL519" i="3"/>
  <c r="AZ519" i="3" s="1"/>
  <c r="BL573" i="3"/>
  <c r="U35" i="33"/>
  <c r="U34" i="34"/>
  <c r="J12" i="34"/>
  <c r="H12" i="34"/>
  <c r="F12" i="34"/>
  <c r="S12" i="34" s="1"/>
  <c r="S41" i="21"/>
  <c r="AA41" i="21"/>
  <c r="AZ387" i="3"/>
  <c r="BL497" i="3"/>
  <c r="BL505" i="3"/>
  <c r="BL527" i="3"/>
  <c r="BL547" i="3"/>
  <c r="BL583" i="3"/>
  <c r="F14" i="21"/>
  <c r="J14" i="21"/>
  <c r="AA35" i="34"/>
  <c r="S35" i="34"/>
  <c r="J36" i="35"/>
  <c r="AC36" i="35" s="1"/>
  <c r="AZ377" i="3"/>
  <c r="AZ361" i="3"/>
  <c r="AZ338" i="3"/>
  <c r="AZ327" i="3"/>
  <c r="AZ356" i="3"/>
  <c r="AZ336" i="3"/>
  <c r="AZ305" i="3"/>
  <c r="AZ325" i="3"/>
  <c r="BL515" i="3"/>
  <c r="G521" i="3"/>
  <c r="BL537" i="3"/>
  <c r="BL569" i="3"/>
  <c r="AC31" i="34"/>
  <c r="W31" i="34"/>
  <c r="AA35" i="39"/>
  <c r="S35" i="39"/>
  <c r="F14" i="39"/>
  <c r="H14" i="39"/>
  <c r="G552" i="3"/>
  <c r="BA569" i="3"/>
  <c r="G569" i="3"/>
  <c r="BL568" i="3"/>
  <c r="BA566" i="3"/>
  <c r="BA565" i="3"/>
  <c r="BL562" i="3"/>
  <c r="BA562" i="3"/>
  <c r="BA561" i="3"/>
  <c r="G561" i="3"/>
  <c r="BL560" i="3"/>
  <c r="BA558" i="3"/>
  <c r="BA557" i="3"/>
  <c r="BA555" i="3"/>
  <c r="BA554" i="3"/>
  <c r="G554" i="3"/>
  <c r="BL552" i="3"/>
  <c r="BL549" i="3"/>
  <c r="AZ549" i="3" s="1"/>
  <c r="BA549" i="3"/>
  <c r="BA548" i="3"/>
  <c r="G547" i="3"/>
  <c r="BL546" i="3"/>
  <c r="BA545" i="3"/>
  <c r="BA544" i="3"/>
  <c r="BA541" i="3"/>
  <c r="AZ541" i="3" s="1"/>
  <c r="BL540" i="3"/>
  <c r="AZ540" i="3" s="1"/>
  <c r="BA540" i="3"/>
  <c r="BL579" i="3"/>
  <c r="AA38" i="34"/>
  <c r="F37" i="39"/>
  <c r="H11" i="39"/>
  <c r="S38" i="40"/>
  <c r="W8" i="40"/>
  <c r="S27" i="35"/>
  <c r="S31" i="35"/>
  <c r="J38" i="40"/>
  <c r="BL584" i="3"/>
  <c r="BA582" i="3"/>
  <c r="BA581" i="3"/>
  <c r="G581" i="3"/>
  <c r="G580" i="3"/>
  <c r="BL578" i="3"/>
  <c r="BA578" i="3"/>
  <c r="BA403" i="3"/>
  <c r="G424" i="3"/>
  <c r="BA424" i="3"/>
  <c r="BA437" i="3"/>
  <c r="BA441" i="3"/>
  <c r="BL443" i="3"/>
  <c r="G457" i="3"/>
  <c r="BL472" i="3"/>
  <c r="BA482" i="3"/>
  <c r="BA484" i="3"/>
  <c r="AZ484" i="3" s="1"/>
  <c r="BA487" i="3"/>
  <c r="BA489" i="3"/>
  <c r="BL489" i="3"/>
  <c r="BL491" i="3"/>
  <c r="BL492" i="3"/>
  <c r="BL350" i="3"/>
  <c r="BL395" i="3"/>
  <c r="BA217" i="3"/>
  <c r="G225" i="3"/>
  <c r="BA225" i="3"/>
  <c r="G243" i="3"/>
  <c r="BA245" i="3"/>
  <c r="BL245" i="3"/>
  <c r="BA275" i="3"/>
  <c r="BA116" i="3"/>
  <c r="AZ116" i="3" s="1"/>
  <c r="BA121" i="3"/>
  <c r="BL121" i="3"/>
  <c r="BA125" i="3"/>
  <c r="BA129" i="3"/>
  <c r="BL166" i="3"/>
  <c r="G190" i="3"/>
  <c r="D87" i="71"/>
  <c r="B40" i="71"/>
  <c r="S40" i="71" s="1"/>
  <c r="AB35" i="71"/>
  <c r="E47" i="71"/>
  <c r="E48" i="71" s="1"/>
  <c r="U48" i="71" s="1"/>
  <c r="B59" i="71"/>
  <c r="B60" i="71" s="1"/>
  <c r="S60" i="71" s="1"/>
  <c r="S68" i="71"/>
  <c r="V68" i="71"/>
  <c r="G539" i="3"/>
  <c r="BL538" i="3"/>
  <c r="BA537" i="3"/>
  <c r="BA533" i="3"/>
  <c r="G531" i="3"/>
  <c r="BL530" i="3"/>
  <c r="BA529" i="3"/>
  <c r="BA528" i="3"/>
  <c r="BA525" i="3"/>
  <c r="BA524" i="3"/>
  <c r="BL522" i="3"/>
  <c r="G522" i="3"/>
  <c r="BA521" i="3"/>
  <c r="BA520" i="3"/>
  <c r="BA519" i="3"/>
  <c r="BL518" i="3"/>
  <c r="BA516" i="3"/>
  <c r="BA515" i="3"/>
  <c r="BL512" i="3"/>
  <c r="BA512" i="3"/>
  <c r="BA511" i="3"/>
  <c r="BL510" i="3"/>
  <c r="AZ510" i="3" s="1"/>
  <c r="BL508" i="3"/>
  <c r="BA508" i="3"/>
  <c r="BA505" i="3"/>
  <c r="BA504" i="3"/>
  <c r="BL502" i="3"/>
  <c r="BA501" i="3"/>
  <c r="BL500" i="3"/>
  <c r="BA500" i="3"/>
  <c r="BA497" i="3"/>
  <c r="AZ497" i="3" s="1"/>
  <c r="BN5" i="3"/>
  <c r="BI5" i="3"/>
  <c r="BA496" i="3"/>
  <c r="AZ496" i="3" s="1"/>
  <c r="BR5" i="3"/>
  <c r="G28" i="6" s="1"/>
  <c r="G30" i="6" s="1"/>
  <c r="G31" i="6" s="1"/>
  <c r="BL494" i="3"/>
  <c r="BA493" i="3"/>
  <c r="G411" i="3"/>
  <c r="G419" i="3"/>
  <c r="BA456" i="3"/>
  <c r="BL467" i="3"/>
  <c r="BL468" i="3"/>
  <c r="BA208" i="3"/>
  <c r="AZ208" i="3" s="1"/>
  <c r="BL222" i="3"/>
  <c r="BA228" i="3"/>
  <c r="G232" i="3"/>
  <c r="BA233" i="3"/>
  <c r="BL267" i="3"/>
  <c r="BA288" i="3"/>
  <c r="BL292" i="3"/>
  <c r="BA298" i="3"/>
  <c r="AZ298" i="3" s="1"/>
  <c r="BA149" i="3"/>
  <c r="BA189" i="3"/>
  <c r="G196" i="3"/>
  <c r="G23" i="3"/>
  <c r="BL35" i="3"/>
  <c r="BA37" i="3"/>
  <c r="G39" i="3"/>
  <c r="BL39" i="3"/>
  <c r="G48" i="3"/>
  <c r="BL64" i="3"/>
  <c r="BL69" i="3"/>
  <c r="BA70" i="3"/>
  <c r="BL79" i="3"/>
  <c r="G89" i="3"/>
  <c r="BA95" i="3"/>
  <c r="G103" i="3"/>
  <c r="S25" i="40"/>
  <c r="X31" i="71"/>
  <c r="F35" i="71"/>
  <c r="F36" i="71" s="1"/>
  <c r="V36" i="71" s="1"/>
  <c r="AA3" i="71"/>
  <c r="BA577" i="3"/>
  <c r="BL576" i="3"/>
  <c r="BA574" i="3"/>
  <c r="BA573" i="3"/>
  <c r="G573" i="3"/>
  <c r="G572" i="3"/>
  <c r="BL570" i="3"/>
  <c r="BA570" i="3"/>
  <c r="G404" i="3"/>
  <c r="BL409" i="3"/>
  <c r="BA410" i="3"/>
  <c r="G413" i="3"/>
  <c r="BA419" i="3"/>
  <c r="G425" i="3"/>
  <c r="G434" i="3"/>
  <c r="G438" i="3"/>
  <c r="G443" i="3"/>
  <c r="BA448" i="3"/>
  <c r="G451" i="3"/>
  <c r="BA451" i="3"/>
  <c r="BL462" i="3"/>
  <c r="BA463" i="3"/>
  <c r="BA476" i="3"/>
  <c r="G349" i="3"/>
  <c r="G209" i="3"/>
  <c r="G218" i="3"/>
  <c r="G222" i="3"/>
  <c r="G223" i="3"/>
  <c r="G231" i="3"/>
  <c r="G234" i="3"/>
  <c r="G241" i="3"/>
  <c r="G244" i="3"/>
  <c r="BA257" i="3"/>
  <c r="BL257" i="3"/>
  <c r="BL258" i="3"/>
  <c r="G259" i="3"/>
  <c r="G263" i="3"/>
  <c r="BL280" i="3"/>
  <c r="BL283" i="3"/>
  <c r="BL284" i="3"/>
  <c r="G285" i="3"/>
  <c r="G134" i="3"/>
  <c r="BL135" i="3"/>
  <c r="AZ135" i="3" s="1"/>
  <c r="G143" i="3"/>
  <c r="BA148" i="3"/>
  <c r="AZ148" i="3" s="1"/>
  <c r="BL154" i="3"/>
  <c r="G156" i="3"/>
  <c r="BL175" i="3"/>
  <c r="AZ175" i="3" s="1"/>
  <c r="BL177" i="3"/>
  <c r="G179" i="3"/>
  <c r="G183" i="3"/>
  <c r="G191" i="3"/>
  <c r="BA22" i="3"/>
  <c r="BL29" i="3"/>
  <c r="BA65" i="3"/>
  <c r="BA77" i="3"/>
  <c r="BL82" i="3"/>
  <c r="BA84" i="3"/>
  <c r="BL96" i="3"/>
  <c r="BL100" i="3"/>
  <c r="BA106" i="3"/>
  <c r="B68" i="43"/>
  <c r="G202" i="3"/>
  <c r="BL205" i="3"/>
  <c r="BA207" i="3"/>
  <c r="G20" i="3"/>
  <c r="G28" i="3"/>
  <c r="G47" i="3"/>
  <c r="BA55" i="3"/>
  <c r="G66" i="3"/>
  <c r="G78" i="3"/>
  <c r="G82" i="3"/>
  <c r="G86" i="3"/>
  <c r="G87" i="3"/>
  <c r="G92" i="3"/>
  <c r="G108" i="3"/>
  <c r="AC21" i="37"/>
  <c r="U38" i="39"/>
  <c r="S38" i="39"/>
  <c r="U9" i="39"/>
  <c r="W9" i="39"/>
  <c r="F12" i="39"/>
  <c r="J12" i="39"/>
  <c r="W35" i="33"/>
  <c r="AC17" i="21"/>
  <c r="W17" i="21"/>
  <c r="S20" i="36"/>
  <c r="AB12" i="39"/>
  <c r="U12" i="39"/>
  <c r="AB35" i="40"/>
  <c r="U35" i="40"/>
  <c r="AZ498" i="3"/>
  <c r="AZ514" i="3"/>
  <c r="AZ556" i="3"/>
  <c r="AZ572" i="3"/>
  <c r="AB17" i="21"/>
  <c r="U17" i="21"/>
  <c r="AC36" i="37"/>
  <c r="W36" i="37"/>
  <c r="AC35" i="40"/>
  <c r="W35" i="40"/>
  <c r="AB12" i="40"/>
  <c r="U12" i="40"/>
  <c r="AB38" i="37"/>
  <c r="U38" i="37"/>
  <c r="W13" i="37"/>
  <c r="AC13" i="37"/>
  <c r="AC44" i="33"/>
  <c r="W44" i="33"/>
  <c r="U14" i="33"/>
  <c r="AB14" i="33"/>
  <c r="W11" i="35"/>
  <c r="AC11" i="35"/>
  <c r="AA32" i="33"/>
  <c r="S32" i="33"/>
  <c r="U40" i="34"/>
  <c r="AB40" i="34"/>
  <c r="AA22" i="35"/>
  <c r="S22" i="35"/>
  <c r="U37" i="40"/>
  <c r="AB37" i="40"/>
  <c r="AA42" i="21"/>
  <c r="S42" i="21"/>
  <c r="F9" i="21"/>
  <c r="J9" i="21"/>
  <c r="AC9" i="21" s="1"/>
  <c r="AC8" i="34"/>
  <c r="W8" i="34"/>
  <c r="AC24" i="36"/>
  <c r="W24" i="36"/>
  <c r="AC31" i="37"/>
  <c r="W31" i="37"/>
  <c r="H27" i="37"/>
  <c r="J27" i="37"/>
  <c r="F40" i="37"/>
  <c r="H40" i="37"/>
  <c r="AC8" i="39"/>
  <c r="W8" i="39"/>
  <c r="AB34" i="40"/>
  <c r="U34" i="40"/>
  <c r="W13" i="40"/>
  <c r="AC13" i="40"/>
  <c r="AC23" i="21"/>
  <c r="AA23" i="21"/>
  <c r="AB33" i="34"/>
  <c r="U33" i="34"/>
  <c r="S35" i="33"/>
  <c r="AA35" i="33"/>
  <c r="AZ371" i="3"/>
  <c r="D8" i="53"/>
  <c r="D120" i="9"/>
  <c r="S31" i="37"/>
  <c r="AA31" i="37"/>
  <c r="AA43" i="33"/>
  <c r="S43" i="33"/>
  <c r="AB42" i="33"/>
  <c r="U42" i="33"/>
  <c r="AA36" i="37"/>
  <c r="S36" i="37"/>
  <c r="AA24" i="35"/>
  <c r="S24" i="35"/>
  <c r="S22" i="36"/>
  <c r="AA22" i="36"/>
  <c r="AZ563" i="3"/>
  <c r="AA13" i="40"/>
  <c r="S13" i="40"/>
  <c r="AA43" i="39"/>
  <c r="S43" i="39"/>
  <c r="W25" i="36"/>
  <c r="AC25" i="36"/>
  <c r="S25" i="35"/>
  <c r="AA25" i="35"/>
  <c r="S31" i="34"/>
  <c r="AA31" i="34"/>
  <c r="W13" i="34"/>
  <c r="AC13" i="34"/>
  <c r="AA46" i="33"/>
  <c r="S46" i="33"/>
  <c r="S13" i="36"/>
  <c r="AA13" i="36"/>
  <c r="U29" i="33"/>
  <c r="AB29" i="33"/>
  <c r="W11" i="40"/>
  <c r="AC11" i="40"/>
  <c r="AC34" i="39"/>
  <c r="W34" i="39"/>
  <c r="BA587" i="3"/>
  <c r="BA586" i="3"/>
  <c r="AZ586" i="3" s="1"/>
  <c r="AB33" i="33"/>
  <c r="U33" i="33"/>
  <c r="AC28" i="35"/>
  <c r="W28" i="35"/>
  <c r="F29" i="33"/>
  <c r="J29" i="33"/>
  <c r="H45" i="33"/>
  <c r="U45" i="33" s="1"/>
  <c r="F45" i="33"/>
  <c r="J14" i="34"/>
  <c r="H14" i="34"/>
  <c r="F32" i="34"/>
  <c r="J32" i="34"/>
  <c r="H32" i="34"/>
  <c r="F35" i="35"/>
  <c r="H35" i="35"/>
  <c r="U27" i="35"/>
  <c r="AB27" i="35"/>
  <c r="J11" i="36"/>
  <c r="AC11" i="36" s="1"/>
  <c r="F11" i="36"/>
  <c r="AZ566" i="3"/>
  <c r="AZ560" i="3"/>
  <c r="AZ558" i="3"/>
  <c r="AZ554" i="3"/>
  <c r="AZ544" i="3"/>
  <c r="BL533" i="3"/>
  <c r="AZ533" i="3" s="1"/>
  <c r="AZ528" i="3"/>
  <c r="AZ524" i="3"/>
  <c r="AZ520" i="3"/>
  <c r="AZ516" i="3"/>
  <c r="AZ512" i="3"/>
  <c r="AZ508" i="3"/>
  <c r="AZ504" i="3"/>
  <c r="BO5" i="3"/>
  <c r="BJ5" i="3"/>
  <c r="BF5" i="3"/>
  <c r="BS5" i="3"/>
  <c r="G29" i="6"/>
  <c r="BL493" i="3"/>
  <c r="AZ493" i="3" s="1"/>
  <c r="S27" i="40"/>
  <c r="AA27" i="40"/>
  <c r="AB14" i="39"/>
  <c r="U14" i="39"/>
  <c r="AC28" i="37"/>
  <c r="W28" i="37"/>
  <c r="W25" i="35"/>
  <c r="AC25" i="35"/>
  <c r="U14" i="36"/>
  <c r="AB14" i="36"/>
  <c r="AB28" i="21"/>
  <c r="U28" i="21"/>
  <c r="W17" i="34"/>
  <c r="AC17" i="34"/>
  <c r="AA37" i="34"/>
  <c r="S37" i="34"/>
  <c r="AA24" i="36"/>
  <c r="S24" i="36"/>
  <c r="AA16" i="36"/>
  <c r="S16" i="36"/>
  <c r="B94" i="43"/>
  <c r="B62" i="43"/>
  <c r="AB38" i="33"/>
  <c r="U38" i="33"/>
  <c r="AC39" i="33"/>
  <c r="W39" i="33"/>
  <c r="AC40" i="33"/>
  <c r="W40" i="33"/>
  <c r="H9" i="33"/>
  <c r="F9" i="33"/>
  <c r="AA9" i="33" s="1"/>
  <c r="J9" i="33"/>
  <c r="H28" i="33"/>
  <c r="J28" i="33"/>
  <c r="H12" i="35"/>
  <c r="F32" i="36"/>
  <c r="J32" i="36"/>
  <c r="W32" i="36" s="1"/>
  <c r="H32" i="36"/>
  <c r="AA9" i="40"/>
  <c r="S9" i="40"/>
  <c r="W38" i="34"/>
  <c r="AC38" i="34"/>
  <c r="AZ584" i="3"/>
  <c r="AZ582" i="3"/>
  <c r="BL575" i="3"/>
  <c r="AZ575" i="3" s="1"/>
  <c r="AZ574" i="3"/>
  <c r="AZ570" i="3"/>
  <c r="S34" i="33"/>
  <c r="AA34" i="33"/>
  <c r="AZ389" i="3"/>
  <c r="AC19" i="40"/>
  <c r="W19" i="40"/>
  <c r="AA31" i="40"/>
  <c r="S31" i="40"/>
  <c r="AB23" i="37"/>
  <c r="U23" i="37"/>
  <c r="AC41" i="34"/>
  <c r="W41" i="34"/>
  <c r="AB27" i="34"/>
  <c r="U27" i="34"/>
  <c r="AZ509" i="3"/>
  <c r="AZ526" i="3"/>
  <c r="AC38" i="37"/>
  <c r="W38" i="37"/>
  <c r="AB25" i="36"/>
  <c r="U25" i="36"/>
  <c r="S44" i="33"/>
  <c r="AA44" i="33"/>
  <c r="AB29" i="35"/>
  <c r="U29" i="35"/>
  <c r="W34" i="37"/>
  <c r="AC34" i="37"/>
  <c r="S16" i="35"/>
  <c r="AA16" i="35"/>
  <c r="AB32" i="33"/>
  <c r="U32" i="33"/>
  <c r="W21" i="40"/>
  <c r="AC21" i="40"/>
  <c r="W34" i="21"/>
  <c r="AC34" i="21"/>
  <c r="J46" i="21"/>
  <c r="F46" i="21"/>
  <c r="H46" i="21"/>
  <c r="U12" i="36"/>
  <c r="AB12" i="36"/>
  <c r="AC28" i="36"/>
  <c r="W28" i="36"/>
  <c r="J21" i="39"/>
  <c r="W21" i="39" s="1"/>
  <c r="G94" i="39"/>
  <c r="AB35" i="39"/>
  <c r="U35" i="39"/>
  <c r="H44" i="39"/>
  <c r="F44" i="39"/>
  <c r="J44" i="39"/>
  <c r="G98" i="39"/>
  <c r="J25" i="39"/>
  <c r="AA34" i="39"/>
  <c r="S34" i="39"/>
  <c r="BE5" i="3"/>
  <c r="AZ379" i="3"/>
  <c r="AZ373" i="3"/>
  <c r="AZ362" i="3"/>
  <c r="AZ357" i="3"/>
  <c r="AZ322" i="3"/>
  <c r="AZ311" i="3"/>
  <c r="AZ344" i="3"/>
  <c r="AZ304" i="3"/>
  <c r="AZ378" i="3"/>
  <c r="AZ360" i="3"/>
  <c r="AZ341" i="3"/>
  <c r="BL495" i="3"/>
  <c r="BL503" i="3"/>
  <c r="AZ503" i="3" s="1"/>
  <c r="BL529" i="3"/>
  <c r="BL535" i="3"/>
  <c r="AZ535" i="3" s="1"/>
  <c r="BL559" i="3"/>
  <c r="AZ559" i="3" s="1"/>
  <c r="BL581" i="3"/>
  <c r="F30" i="21"/>
  <c r="J30" i="21"/>
  <c r="J45" i="21"/>
  <c r="F45" i="21"/>
  <c r="F9" i="34"/>
  <c r="AA9" i="34" s="1"/>
  <c r="J9" i="34"/>
  <c r="AA28" i="34"/>
  <c r="S28" i="34"/>
  <c r="J12" i="36"/>
  <c r="F12" i="36"/>
  <c r="BL499" i="3"/>
  <c r="AZ499" i="3" s="1"/>
  <c r="BL511" i="3"/>
  <c r="AZ511" i="3" s="1"/>
  <c r="BL517" i="3"/>
  <c r="BL521" i="3"/>
  <c r="AZ521" i="3" s="1"/>
  <c r="BL525" i="3"/>
  <c r="AZ525" i="3" s="1"/>
  <c r="BL539" i="3"/>
  <c r="BL543" i="3"/>
  <c r="AZ543" i="3" s="1"/>
  <c r="BL553" i="3"/>
  <c r="AZ553" i="3" s="1"/>
  <c r="BL565" i="3"/>
  <c r="AZ565" i="3" s="1"/>
  <c r="BL571" i="3"/>
  <c r="BL577" i="3"/>
  <c r="AZ577" i="3" s="1"/>
  <c r="BL557" i="3"/>
  <c r="AZ557" i="3" s="1"/>
  <c r="W41" i="33"/>
  <c r="J23" i="35"/>
  <c r="H23" i="35"/>
  <c r="H25" i="37"/>
  <c r="J25" i="37"/>
  <c r="F25" i="37"/>
  <c r="H31" i="39"/>
  <c r="J31" i="39"/>
  <c r="E119" i="39"/>
  <c r="H39" i="39"/>
  <c r="U39" i="39" s="1"/>
  <c r="G556" i="3"/>
  <c r="A15" i="62"/>
  <c r="B61" i="72" s="1"/>
  <c r="G582" i="3"/>
  <c r="G574" i="3"/>
  <c r="G566" i="3"/>
  <c r="G14" i="3"/>
  <c r="BL16" i="3"/>
  <c r="AZ16" i="3" s="1"/>
  <c r="BL399" i="3"/>
  <c r="BA444" i="3"/>
  <c r="BL458" i="3"/>
  <c r="BA480" i="3"/>
  <c r="H5" i="3"/>
  <c r="F11" i="1"/>
  <c r="G11" i="1" s="1"/>
  <c r="E36" i="77"/>
  <c r="F36" i="77" s="1"/>
  <c r="BA400" i="3"/>
  <c r="G402" i="3"/>
  <c r="BA402" i="3"/>
  <c r="G405" i="3"/>
  <c r="G406" i="3"/>
  <c r="BA406" i="3"/>
  <c r="G410" i="3"/>
  <c r="BA413" i="3"/>
  <c r="BA420" i="3"/>
  <c r="BA422" i="3"/>
  <c r="BL427" i="3"/>
  <c r="G429" i="3"/>
  <c r="G430" i="3"/>
  <c r="BL433" i="3"/>
  <c r="BL434" i="3"/>
  <c r="G436" i="3"/>
  <c r="G437" i="3"/>
  <c r="BL440" i="3"/>
  <c r="G441" i="3"/>
  <c r="G447" i="3"/>
  <c r="BA452" i="3"/>
  <c r="BL455" i="3"/>
  <c r="G456" i="3"/>
  <c r="BA458" i="3"/>
  <c r="G463" i="3"/>
  <c r="G469" i="3"/>
  <c r="BA469" i="3"/>
  <c r="BL473" i="3"/>
  <c r="BL474" i="3"/>
  <c r="G475" i="3"/>
  <c r="BA315" i="3"/>
  <c r="AZ315" i="3" s="1"/>
  <c r="BA331" i="3"/>
  <c r="AZ331" i="3" s="1"/>
  <c r="BA333" i="3"/>
  <c r="BL367" i="3"/>
  <c r="G374" i="3"/>
  <c r="BL383" i="3"/>
  <c r="AZ383" i="3" s="1"/>
  <c r="BA211" i="3"/>
  <c r="AZ211" i="3" s="1"/>
  <c r="BL215" i="3"/>
  <c r="G226" i="3"/>
  <c r="BA226" i="3"/>
  <c r="BA235" i="3"/>
  <c r="BA237" i="3"/>
  <c r="AZ237" i="3" s="1"/>
  <c r="G249" i="3"/>
  <c r="BL259" i="3"/>
  <c r="G262" i="3"/>
  <c r="G264" i="3"/>
  <c r="BL269" i="3"/>
  <c r="G271" i="3"/>
  <c r="G276" i="3"/>
  <c r="BA278" i="3"/>
  <c r="AZ278" i="3" s="1"/>
  <c r="G280" i="3"/>
  <c r="G281" i="3"/>
  <c r="G287" i="3"/>
  <c r="G288" i="3"/>
  <c r="G292" i="3"/>
  <c r="BA293" i="3"/>
  <c r="BA126" i="3"/>
  <c r="BA132" i="3"/>
  <c r="AZ132" i="3" s="1"/>
  <c r="BL139" i="3"/>
  <c r="AZ139" i="3" s="1"/>
  <c r="G140" i="3"/>
  <c r="BL141" i="3"/>
  <c r="BL143" i="3"/>
  <c r="AZ143" i="3" s="1"/>
  <c r="G158" i="3"/>
  <c r="BL161" i="3"/>
  <c r="G163" i="3"/>
  <c r="BA33" i="3"/>
  <c r="BA109" i="3"/>
  <c r="C64" i="71"/>
  <c r="D63" i="71"/>
  <c r="BA401" i="3"/>
  <c r="BL402" i="3"/>
  <c r="G403" i="3"/>
  <c r="BA404" i="3"/>
  <c r="BA405" i="3"/>
  <c r="BL406" i="3"/>
  <c r="G407" i="3"/>
  <c r="G408" i="3"/>
  <c r="G409" i="3"/>
  <c r="BL412" i="3"/>
  <c r="G414" i="3"/>
  <c r="BL419" i="3"/>
  <c r="G421" i="3"/>
  <c r="BL430" i="3"/>
  <c r="G431" i="3"/>
  <c r="G440" i="3"/>
  <c r="BL447" i="3"/>
  <c r="G448" i="3"/>
  <c r="G449" i="3"/>
  <c r="BL449" i="3"/>
  <c r="BL450" i="3"/>
  <c r="BL452" i="3"/>
  <c r="G454" i="3"/>
  <c r="G455" i="3"/>
  <c r="G460" i="3"/>
  <c r="BL465" i="3"/>
  <c r="G470" i="3"/>
  <c r="BL477" i="3"/>
  <c r="BL478" i="3"/>
  <c r="G479" i="3"/>
  <c r="G485" i="3"/>
  <c r="G489" i="3"/>
  <c r="G491" i="3"/>
  <c r="BA319" i="3"/>
  <c r="AZ319" i="3" s="1"/>
  <c r="G364" i="3"/>
  <c r="BL381" i="3"/>
  <c r="AZ381" i="3" s="1"/>
  <c r="BA385" i="3"/>
  <c r="G392" i="3"/>
  <c r="BA395" i="3"/>
  <c r="AZ395" i="3" s="1"/>
  <c r="G210" i="3"/>
  <c r="BL213" i="3"/>
  <c r="G216" i="3"/>
  <c r="G217" i="3"/>
  <c r="BA220" i="3"/>
  <c r="BA222" i="3"/>
  <c r="AZ222" i="3" s="1"/>
  <c r="BA224" i="3"/>
  <c r="AZ224" i="3" s="1"/>
  <c r="G227" i="3"/>
  <c r="G228" i="3"/>
  <c r="BA231" i="3"/>
  <c r="G235" i="3"/>
  <c r="BA242" i="3"/>
  <c r="AZ242" i="3" s="1"/>
  <c r="BA255" i="3"/>
  <c r="BL255" i="3"/>
  <c r="G257" i="3"/>
  <c r="BA260" i="3"/>
  <c r="BA265" i="3"/>
  <c r="BL265" i="3"/>
  <c r="G267" i="3"/>
  <c r="BA270" i="3"/>
  <c r="G273" i="3"/>
  <c r="G277" i="3"/>
  <c r="G279" i="3"/>
  <c r="G283" i="3"/>
  <c r="BL289" i="3"/>
  <c r="G291" i="3"/>
  <c r="BA291" i="3"/>
  <c r="BL410" i="3"/>
  <c r="BL416" i="3"/>
  <c r="BL423" i="3"/>
  <c r="BA431" i="3"/>
  <c r="BL438" i="3"/>
  <c r="BL439" i="3"/>
  <c r="BA443" i="3"/>
  <c r="BL451" i="3"/>
  <c r="AZ451" i="3" s="1"/>
  <c r="BL456" i="3"/>
  <c r="BL463" i="3"/>
  <c r="BL464" i="3"/>
  <c r="BA485" i="3"/>
  <c r="BL316" i="3"/>
  <c r="BL340" i="3"/>
  <c r="AZ340" i="3" s="1"/>
  <c r="BL346" i="3"/>
  <c r="AZ346" i="3" s="1"/>
  <c r="BA384" i="3"/>
  <c r="AZ384" i="3" s="1"/>
  <c r="G387" i="3"/>
  <c r="BA392" i="3"/>
  <c r="AZ392" i="3" s="1"/>
  <c r="BA212" i="3"/>
  <c r="G215" i="3"/>
  <c r="BL216" i="3"/>
  <c r="BL219" i="3"/>
  <c r="BL227" i="3"/>
  <c r="BL230" i="3"/>
  <c r="BA240" i="3"/>
  <c r="AZ240" i="3" s="1"/>
  <c r="BL240" i="3"/>
  <c r="BL254" i="3"/>
  <c r="BA262" i="3"/>
  <c r="AZ262" i="3" s="1"/>
  <c r="BL272" i="3"/>
  <c r="BA273" i="3"/>
  <c r="BA280" i="3"/>
  <c r="AZ280" i="3" s="1"/>
  <c r="BA294" i="3"/>
  <c r="G130" i="3"/>
  <c r="BA133" i="3"/>
  <c r="BL133" i="3"/>
  <c r="BL158" i="3"/>
  <c r="BL169" i="3"/>
  <c r="BA43" i="3"/>
  <c r="G294" i="3"/>
  <c r="BL295" i="3"/>
  <c r="G299" i="3"/>
  <c r="BL122" i="3"/>
  <c r="G123" i="3"/>
  <c r="BA124" i="3"/>
  <c r="AZ124" i="3" s="1"/>
  <c r="G127" i="3"/>
  <c r="BL127" i="3"/>
  <c r="AZ127" i="3" s="1"/>
  <c r="BL146" i="3"/>
  <c r="G147" i="3"/>
  <c r="BA157" i="3"/>
  <c r="AZ157" i="3" s="1"/>
  <c r="BL157" i="3"/>
  <c r="BL159" i="3"/>
  <c r="AZ159" i="3" s="1"/>
  <c r="G160" i="3"/>
  <c r="G172" i="3"/>
  <c r="G175" i="3"/>
  <c r="G176" i="3"/>
  <c r="BA177" i="3"/>
  <c r="AZ177" i="3" s="1"/>
  <c r="BL186" i="3"/>
  <c r="G195" i="3"/>
  <c r="BL198" i="3"/>
  <c r="BL23" i="3"/>
  <c r="G32" i="3"/>
  <c r="G33" i="3"/>
  <c r="G34" i="3"/>
  <c r="G38" i="3"/>
  <c r="G42" i="3"/>
  <c r="G43" i="3"/>
  <c r="G44" i="3"/>
  <c r="BL50" i="3"/>
  <c r="AZ50" i="3" s="1"/>
  <c r="BL51" i="3"/>
  <c r="BA62" i="3"/>
  <c r="BA67" i="3"/>
  <c r="BL74" i="3"/>
  <c r="G75" i="3"/>
  <c r="BL75" i="3"/>
  <c r="BA79" i="3"/>
  <c r="AZ79" i="3" s="1"/>
  <c r="BA88" i="3"/>
  <c r="BA98" i="3"/>
  <c r="G99" i="3"/>
  <c r="BL103" i="3"/>
  <c r="BA104" i="3"/>
  <c r="G107" i="3"/>
  <c r="G112" i="3"/>
  <c r="BL112" i="3"/>
  <c r="W18" i="35"/>
  <c r="U25" i="40"/>
  <c r="C29" i="39"/>
  <c r="B88" i="43"/>
  <c r="AA21" i="34"/>
  <c r="D80" i="71"/>
  <c r="C75" i="71"/>
  <c r="Q68" i="71"/>
  <c r="C59" i="71"/>
  <c r="AA34" i="71"/>
  <c r="C43" i="71"/>
  <c r="E51" i="71"/>
  <c r="E52" i="71" s="1"/>
  <c r="U52" i="71" s="1"/>
  <c r="C51" i="71"/>
  <c r="B71" i="71"/>
  <c r="B70" i="71" s="1"/>
  <c r="U72" i="71"/>
  <c r="S76" i="71"/>
  <c r="BA145" i="3"/>
  <c r="G146" i="3"/>
  <c r="G152" i="3"/>
  <c r="BA156" i="3"/>
  <c r="AZ156" i="3" s="1"/>
  <c r="G159" i="3"/>
  <c r="BL163" i="3"/>
  <c r="AZ163" i="3" s="1"/>
  <c r="G170" i="3"/>
  <c r="G174" i="3"/>
  <c r="BL183" i="3"/>
  <c r="AZ183" i="3" s="1"/>
  <c r="BA186" i="3"/>
  <c r="AZ186" i="3" s="1"/>
  <c r="BA190" i="3"/>
  <c r="G198" i="3"/>
  <c r="BL201" i="3"/>
  <c r="BL203" i="3"/>
  <c r="AZ203" i="3" s="1"/>
  <c r="BA204" i="3"/>
  <c r="AZ204" i="3" s="1"/>
  <c r="BA18" i="3"/>
  <c r="G21" i="3"/>
  <c r="BL21" i="3"/>
  <c r="G31" i="3"/>
  <c r="G41" i="3"/>
  <c r="G46" i="3"/>
  <c r="BL49" i="3"/>
  <c r="BA56" i="3"/>
  <c r="BA57" i="3"/>
  <c r="BL58" i="3"/>
  <c r="BA60" i="3"/>
  <c r="G63" i="3"/>
  <c r="BA66" i="3"/>
  <c r="G68" i="3"/>
  <c r="BA71" i="3"/>
  <c r="BL72" i="3"/>
  <c r="G74" i="3"/>
  <c r="G79" i="3"/>
  <c r="BL88" i="3"/>
  <c r="G90" i="3"/>
  <c r="BL93" i="3"/>
  <c r="G98" i="3"/>
  <c r="G102" i="3"/>
  <c r="BL110" i="3"/>
  <c r="G111" i="3"/>
  <c r="B57" i="43"/>
  <c r="P66" i="71"/>
  <c r="Y29" i="71"/>
  <c r="Z29" i="71" s="1"/>
  <c r="X25" i="71"/>
  <c r="AA35" i="71"/>
  <c r="Y35" i="71"/>
  <c r="Z35" i="71" s="1"/>
  <c r="X36" i="71"/>
  <c r="B79" i="71"/>
  <c r="B78" i="71" s="1"/>
  <c r="BL173" i="3"/>
  <c r="BL181" i="3"/>
  <c r="BA188" i="3"/>
  <c r="AZ188" i="3" s="1"/>
  <c r="BL195" i="3"/>
  <c r="AZ195" i="3" s="1"/>
  <c r="BA197" i="3"/>
  <c r="BA201" i="3"/>
  <c r="G206" i="3"/>
  <c r="BL24" i="3"/>
  <c r="BL34" i="3"/>
  <c r="BL44" i="3"/>
  <c r="BA45" i="3"/>
  <c r="BA46" i="3"/>
  <c r="BL52" i="3"/>
  <c r="BL53" i="3"/>
  <c r="G58" i="3"/>
  <c r="BA63" i="3"/>
  <c r="G67" i="3"/>
  <c r="BL76" i="3"/>
  <c r="BL91" i="3"/>
  <c r="G95" i="3"/>
  <c r="G109" i="3"/>
  <c r="U21" i="34"/>
  <c r="P27" i="6"/>
  <c r="C30" i="71"/>
  <c r="D30" i="71" s="1"/>
  <c r="Y26" i="71"/>
  <c r="Z26" i="71" s="1"/>
  <c r="AB36" i="71"/>
  <c r="AA37" i="71"/>
  <c r="C23" i="71"/>
  <c r="U42" i="39"/>
  <c r="S42" i="39"/>
  <c r="AC41" i="39"/>
  <c r="AA41" i="39"/>
  <c r="J27" i="39"/>
  <c r="H27" i="39"/>
  <c r="G100" i="39"/>
  <c r="F27" i="39"/>
  <c r="U25" i="39"/>
  <c r="AA23" i="39"/>
  <c r="S21" i="39"/>
  <c r="AB21" i="39"/>
  <c r="U19" i="39"/>
  <c r="S15" i="39"/>
  <c r="U41" i="39"/>
  <c r="U40" i="39"/>
  <c r="AA39" i="39"/>
  <c r="M7" i="1"/>
  <c r="O7" i="1" s="1"/>
  <c r="P7" i="1" s="1"/>
  <c r="AP6" i="1"/>
  <c r="M8" i="1"/>
  <c r="O8" i="1" s="1"/>
  <c r="P8" i="1" s="1"/>
  <c r="M20" i="67"/>
  <c r="F34" i="67"/>
  <c r="F62" i="67" s="1"/>
  <c r="F52" i="9"/>
  <c r="F54" i="9"/>
  <c r="F32" i="15"/>
  <c r="F60" i="15" s="1"/>
  <c r="M18" i="15"/>
  <c r="M18" i="67"/>
  <c r="F30" i="11"/>
  <c r="C48" i="11" s="1"/>
  <c r="D68" i="9"/>
  <c r="F30" i="69"/>
  <c r="F48" i="69" s="1"/>
  <c r="F31" i="12"/>
  <c r="F28" i="15"/>
  <c r="F32" i="67"/>
  <c r="F60" i="67" s="1"/>
  <c r="F28" i="67"/>
  <c r="F7" i="1"/>
  <c r="G7" i="1" s="1"/>
  <c r="BA13" i="3"/>
  <c r="AZ13" i="3" s="1"/>
  <c r="BC5" i="3"/>
  <c r="G13" i="3"/>
  <c r="C7" i="40"/>
  <c r="C63" i="40" s="1"/>
  <c r="C7" i="39"/>
  <c r="C67" i="39" s="1"/>
  <c r="C42" i="1"/>
  <c r="C24" i="12" s="1"/>
  <c r="C7" i="36"/>
  <c r="C46" i="36" s="1"/>
  <c r="D46" i="36" s="1"/>
  <c r="E46" i="36" s="1"/>
  <c r="F46" i="36" s="1"/>
  <c r="G46" i="36" s="1"/>
  <c r="H46" i="36" s="1"/>
  <c r="I46" i="36" s="1"/>
  <c r="J46" i="36" s="1"/>
  <c r="K46" i="36" s="1"/>
  <c r="L46" i="36" s="1"/>
  <c r="M46" i="36" s="1"/>
  <c r="N46" i="36" s="1"/>
  <c r="O46" i="36" s="1"/>
  <c r="G23" i="43"/>
  <c r="C23" i="43" s="1"/>
  <c r="C7" i="33"/>
  <c r="AB23" i="21"/>
  <c r="AA17" i="37"/>
  <c r="S17" i="37"/>
  <c r="AB27" i="40"/>
  <c r="AB32" i="37"/>
  <c r="U32" i="37"/>
  <c r="S11" i="39"/>
  <c r="AA11" i="39"/>
  <c r="AB15" i="21"/>
  <c r="AC33" i="34"/>
  <c r="W33" i="34"/>
  <c r="AC27" i="40"/>
  <c r="W27" i="40"/>
  <c r="W11" i="39"/>
  <c r="AC11" i="39"/>
  <c r="W45" i="21"/>
  <c r="AC45" i="21"/>
  <c r="AB34" i="35"/>
  <c r="U34" i="35"/>
  <c r="D121" i="9"/>
  <c r="D7" i="52" s="1"/>
  <c r="D6" i="52"/>
  <c r="AA36" i="33"/>
  <c r="S36" i="33"/>
  <c r="S30" i="40"/>
  <c r="AA30" i="40"/>
  <c r="AB36" i="33"/>
  <c r="W9" i="21"/>
  <c r="S37" i="21"/>
  <c r="S23" i="37"/>
  <c r="AA23" i="37"/>
  <c r="S40" i="34"/>
  <c r="AA40" i="34"/>
  <c r="F29" i="6"/>
  <c r="AZ391" i="3"/>
  <c r="AZ318" i="3"/>
  <c r="AZ364" i="3"/>
  <c r="AZ329" i="3"/>
  <c r="AZ306" i="3"/>
  <c r="AZ513" i="3"/>
  <c r="AZ502" i="3"/>
  <c r="AC36" i="34"/>
  <c r="AZ531" i="3"/>
  <c r="AZ583" i="3"/>
  <c r="AZ568" i="3"/>
  <c r="AZ576" i="3"/>
  <c r="S44" i="34"/>
  <c r="AA14" i="34"/>
  <c r="AA14" i="37"/>
  <c r="G587" i="3"/>
  <c r="H23" i="36"/>
  <c r="J23" i="36"/>
  <c r="S43" i="34"/>
  <c r="AZ14" i="3"/>
  <c r="AZ345" i="3"/>
  <c r="AZ334" i="3"/>
  <c r="AZ372" i="3"/>
  <c r="AZ347" i="3"/>
  <c r="AZ337" i="3"/>
  <c r="AZ376" i="3"/>
  <c r="AZ309" i="3"/>
  <c r="AZ523" i="3"/>
  <c r="AZ547" i="3"/>
  <c r="AZ571" i="3"/>
  <c r="AZ579" i="3"/>
  <c r="AB46" i="34"/>
  <c r="AB30" i="21"/>
  <c r="S41" i="33"/>
  <c r="AB23" i="34"/>
  <c r="G586" i="3"/>
  <c r="B97" i="43"/>
  <c r="B75" i="43"/>
  <c r="J12" i="35"/>
  <c r="AB33" i="40"/>
  <c r="AC31" i="33"/>
  <c r="AZ539" i="3"/>
  <c r="AZ529" i="3"/>
  <c r="AZ537" i="3"/>
  <c r="AZ518" i="3"/>
  <c r="AZ546" i="3"/>
  <c r="AB45" i="33"/>
  <c r="AA29" i="35"/>
  <c r="AB17" i="34"/>
  <c r="BL587" i="3"/>
  <c r="AZ587" i="3" s="1"/>
  <c r="AZ443" i="3"/>
  <c r="BA551" i="3"/>
  <c r="AZ551" i="3" s="1"/>
  <c r="BA550" i="3"/>
  <c r="BL548" i="3"/>
  <c r="AZ548" i="3" s="1"/>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2" i="3"/>
  <c r="AZ462" i="3" s="1"/>
  <c r="BA464" i="3"/>
  <c r="AZ464" i="3" s="1"/>
  <c r="BL469" i="3"/>
  <c r="AZ469" i="3" s="1"/>
  <c r="BL470" i="3"/>
  <c r="BA486" i="3"/>
  <c r="BL488" i="3"/>
  <c r="G380" i="3"/>
  <c r="G384" i="3"/>
  <c r="BL585" i="3"/>
  <c r="AZ585" i="3" s="1"/>
  <c r="AC31" i="35"/>
  <c r="H24" i="36"/>
  <c r="H38" i="40"/>
  <c r="G558" i="3"/>
  <c r="BL398" i="3"/>
  <c r="BL403" i="3"/>
  <c r="AZ403" i="3" s="1"/>
  <c r="BA408" i="3"/>
  <c r="BA409" i="3"/>
  <c r="AZ409" i="3" s="1"/>
  <c r="BA411" i="3"/>
  <c r="BL414" i="3"/>
  <c r="BL415" i="3"/>
  <c r="BA417" i="3"/>
  <c r="BL421" i="3"/>
  <c r="BL422" i="3"/>
  <c r="AZ422" i="3" s="1"/>
  <c r="BL425" i="3"/>
  <c r="BL426" i="3"/>
  <c r="BA428" i="3"/>
  <c r="BA429" i="3"/>
  <c r="AZ429" i="3" s="1"/>
  <c r="BA430" i="3"/>
  <c r="AZ430" i="3" s="1"/>
  <c r="BA432" i="3"/>
  <c r="BA434" i="3"/>
  <c r="BA436" i="3"/>
  <c r="BA438" i="3"/>
  <c r="G442" i="3"/>
  <c r="BA446" i="3"/>
  <c r="BA450" i="3"/>
  <c r="BA453" i="3"/>
  <c r="BA455" i="3"/>
  <c r="AZ455" i="3" s="1"/>
  <c r="BL457" i="3"/>
  <c r="BL460" i="3"/>
  <c r="BL461" i="3"/>
  <c r="G466" i="3"/>
  <c r="BL466" i="3"/>
  <c r="AZ466" i="3" s="1"/>
  <c r="G468" i="3"/>
  <c r="BA473" i="3"/>
  <c r="AZ473" i="3" s="1"/>
  <c r="BL479" i="3"/>
  <c r="G480" i="3"/>
  <c r="BL480" i="3"/>
  <c r="AZ480" i="3" s="1"/>
  <c r="G482" i="3"/>
  <c r="BA483" i="3"/>
  <c r="BL483" i="3"/>
  <c r="BL487" i="3"/>
  <c r="AZ487" i="3" s="1"/>
  <c r="BL308" i="3"/>
  <c r="AZ308" i="3" s="1"/>
  <c r="H39" i="40"/>
  <c r="BL550" i="3"/>
  <c r="BL15" i="3"/>
  <c r="AZ15" i="3" s="1"/>
  <c r="BA398" i="3"/>
  <c r="BA399" i="3"/>
  <c r="AZ399" i="3" s="1"/>
  <c r="BL401" i="3"/>
  <c r="AZ401" i="3" s="1"/>
  <c r="BL404" i="3"/>
  <c r="AZ404" i="3" s="1"/>
  <c r="BL405" i="3"/>
  <c r="AZ405" i="3" s="1"/>
  <c r="BL407" i="3"/>
  <c r="BA412" i="3"/>
  <c r="AZ412" i="3" s="1"/>
  <c r="BA414" i="3"/>
  <c r="AZ414" i="3" s="1"/>
  <c r="BA415" i="3"/>
  <c r="AZ415" i="3" s="1"/>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BA459" i="3"/>
  <c r="BA460" i="3"/>
  <c r="BA461" i="3"/>
  <c r="BA470" i="3"/>
  <c r="AZ470" i="3" s="1"/>
  <c r="BL476" i="3"/>
  <c r="AZ476" i="3" s="1"/>
  <c r="G382" i="3"/>
  <c r="AZ407" i="3"/>
  <c r="AZ419" i="3"/>
  <c r="BA283" i="3"/>
  <c r="AZ283" i="3" s="1"/>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BL297" i="3"/>
  <c r="G116"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BL228" i="3"/>
  <c r="AZ228" i="3" s="1"/>
  <c r="BA230" i="3"/>
  <c r="AZ230" i="3" s="1"/>
  <c r="BL232" i="3"/>
  <c r="BL234" i="3"/>
  <c r="BA236" i="3"/>
  <c r="BA238" i="3"/>
  <c r="BA243" i="3"/>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BA296" i="3"/>
  <c r="BA301" i="3"/>
  <c r="BA134" i="3"/>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BL275" i="3"/>
  <c r="AZ275" i="3" s="1"/>
  <c r="G282" i="3"/>
  <c r="BL285" i="3"/>
  <c r="BL287" i="3"/>
  <c r="BL301" i="3"/>
  <c r="BL302" i="3"/>
  <c r="BA114" i="3"/>
  <c r="G126" i="3"/>
  <c r="G136"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BA182" i="3"/>
  <c r="AZ182" i="3" s="1"/>
  <c r="BL185" i="3"/>
  <c r="AZ185" i="3" s="1"/>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BA68" i="3"/>
  <c r="G76" i="3"/>
  <c r="BL77" i="3"/>
  <c r="AZ77" i="3" s="1"/>
  <c r="BL81" i="3"/>
  <c r="BA82" i="3"/>
  <c r="AZ82" i="3" s="1"/>
  <c r="BL83" i="3"/>
  <c r="G88" i="3"/>
  <c r="BA90" i="3"/>
  <c r="BA94" i="3"/>
  <c r="BL99" i="3"/>
  <c r="G101" i="3"/>
  <c r="BA101" i="3"/>
  <c r="BA105" i="3"/>
  <c r="F40" i="68"/>
  <c r="C21" i="68"/>
  <c r="C47" i="71"/>
  <c r="D47" i="71" s="1"/>
  <c r="D46" i="71"/>
  <c r="V24" i="71"/>
  <c r="E23" i="71"/>
  <c r="E22" i="71" s="1"/>
  <c r="E21" i="71" s="1"/>
  <c r="E20" i="71" s="1"/>
  <c r="E19" i="71" s="1"/>
  <c r="E18" i="71" s="1"/>
  <c r="E17" i="71" s="1"/>
  <c r="E16" i="71" s="1"/>
  <c r="AC29" i="39"/>
  <c r="W29" i="39"/>
  <c r="C55" i="71"/>
  <c r="D54" i="71"/>
  <c r="N67" i="71"/>
  <c r="B66" i="71"/>
  <c r="F66" i="71"/>
  <c r="Q67" i="7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BA25" i="3"/>
  <c r="BA26" i="3"/>
  <c r="BL28" i="3"/>
  <c r="BA29" i="3"/>
  <c r="AZ29" i="3" s="1"/>
  <c r="BA36" i="3"/>
  <c r="BL38" i="3"/>
  <c r="BA39" i="3"/>
  <c r="AZ39" i="3" s="1"/>
  <c r="BL47" i="3"/>
  <c r="AZ47" i="3" s="1"/>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AZ70" i="3" s="1"/>
  <c r="BL71" i="3"/>
  <c r="AZ71" i="3" s="1"/>
  <c r="BA78" i="3"/>
  <c r="BA80" i="3"/>
  <c r="G84" i="3"/>
  <c r="BL84" i="3"/>
  <c r="AZ84" i="3" s="1"/>
  <c r="BA89" i="3"/>
  <c r="BL92" i="3"/>
  <c r="BA103" i="3"/>
  <c r="AZ103" i="3" s="1"/>
  <c r="BA290" i="3"/>
  <c r="G297" i="3"/>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41" i="3"/>
  <c r="AZ41" i="3" s="1"/>
  <c r="BA42" i="3"/>
  <c r="BL48" i="3"/>
  <c r="BL54" i="3"/>
  <c r="BL55" i="3"/>
  <c r="AZ55" i="3" s="1"/>
  <c r="BA59" i="3"/>
  <c r="BL61" i="3"/>
  <c r="BA64" i="3"/>
  <c r="AZ64" i="3" s="1"/>
  <c r="BL68" i="3"/>
  <c r="BA69" i="3"/>
  <c r="AZ69" i="3" s="1"/>
  <c r="BA72" i="3"/>
  <c r="AZ72" i="3" s="1"/>
  <c r="BA73" i="3"/>
  <c r="BL90" i="3"/>
  <c r="C44" i="71"/>
  <c r="D43" i="71"/>
  <c r="C52" i="71"/>
  <c r="D51" i="7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1" i="43" s="1"/>
  <c r="E12" i="6"/>
  <c r="E57" i="40" s="1"/>
  <c r="E15" i="6"/>
  <c r="E64" i="39" s="1"/>
  <c r="E11" i="6"/>
  <c r="E60" i="39" s="1"/>
  <c r="E10" i="6"/>
  <c r="E13" i="6"/>
  <c r="P11" i="1"/>
  <c r="D9" i="11"/>
  <c r="C9" i="11" s="1"/>
  <c r="D19" i="12"/>
  <c r="C19" i="12" s="1"/>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F71" i="15"/>
  <c r="N59" i="15"/>
  <c r="F66" i="15"/>
  <c r="Q71" i="67"/>
  <c r="F71" i="67"/>
  <c r="C27" i="15"/>
  <c r="F65" i="15"/>
  <c r="B13" i="70"/>
  <c r="F64" i="67"/>
  <c r="D9" i="69"/>
  <c r="C36" i="69"/>
  <c r="D9" i="68"/>
  <c r="F38" i="67"/>
  <c r="F42" i="67"/>
  <c r="F8" i="67"/>
  <c r="M24" i="67"/>
  <c r="L48" i="15"/>
  <c r="F42" i="15"/>
  <c r="F9" i="67"/>
  <c r="F8" i="15"/>
  <c r="M6" i="15"/>
  <c r="F7" i="67"/>
  <c r="F40" i="67"/>
  <c r="D7" i="73"/>
  <c r="M26" i="67"/>
  <c r="F6" i="15"/>
  <c r="L47" i="67"/>
  <c r="F36" i="15"/>
  <c r="F13" i="67"/>
  <c r="D6" i="73"/>
  <c r="C76" i="15"/>
  <c r="M23" i="67"/>
  <c r="D3" i="73"/>
  <c r="L48" i="67"/>
  <c r="F26" i="67"/>
  <c r="F37" i="67"/>
  <c r="F6" i="67"/>
  <c r="F16" i="15"/>
  <c r="D5" i="73"/>
  <c r="F16" i="67"/>
  <c r="M22" i="15"/>
  <c r="M26" i="15"/>
  <c r="F40" i="15"/>
  <c r="M9" i="67"/>
  <c r="D4" i="73"/>
  <c r="M6" i="67"/>
  <c r="M57" i="43" l="1"/>
  <c r="N57" i="43" s="1"/>
  <c r="K57" i="43"/>
  <c r="J57" i="43" s="1"/>
  <c r="D57" i="43" s="1"/>
  <c r="M51" i="43"/>
  <c r="K51" i="43"/>
  <c r="J51" i="43" s="1"/>
  <c r="K50" i="43"/>
  <c r="J50" i="43" s="1"/>
  <c r="M50" i="43"/>
  <c r="M52" i="43"/>
  <c r="N52" i="43" s="1"/>
  <c r="K52" i="43"/>
  <c r="M56" i="43"/>
  <c r="K56" i="43"/>
  <c r="J56" i="43" s="1"/>
  <c r="M53" i="43"/>
  <c r="N53" i="43" s="1"/>
  <c r="K53" i="43"/>
  <c r="M55" i="43"/>
  <c r="N55" i="43" s="1"/>
  <c r="K55" i="43"/>
  <c r="M58" i="43"/>
  <c r="K58" i="43"/>
  <c r="J58" i="43" s="1"/>
  <c r="E28" i="6"/>
  <c r="K14" i="1" s="1"/>
  <c r="F65" i="67"/>
  <c r="N59" i="67"/>
  <c r="L59" i="67"/>
  <c r="Q61" i="67" s="1"/>
  <c r="C27" i="67"/>
  <c r="F68" i="67"/>
  <c r="AA37" i="39"/>
  <c r="S37" i="39"/>
  <c r="AZ569" i="3"/>
  <c r="W14" i="21"/>
  <c r="AC14" i="21"/>
  <c r="W12" i="34"/>
  <c r="AC12" i="34"/>
  <c r="S36" i="39"/>
  <c r="AA36" i="39"/>
  <c r="S45" i="34"/>
  <c r="AA45" i="34"/>
  <c r="AC46" i="33"/>
  <c r="W46" i="33"/>
  <c r="AA27" i="21"/>
  <c r="S27" i="21"/>
  <c r="AZ527" i="3"/>
  <c r="AB25" i="35"/>
  <c r="U25" i="35"/>
  <c r="W30" i="33"/>
  <c r="AC30" i="33"/>
  <c r="AZ561" i="3"/>
  <c r="AZ88" i="3"/>
  <c r="AZ257" i="3"/>
  <c r="AZ121" i="3"/>
  <c r="AZ245" i="3"/>
  <c r="S14" i="21"/>
  <c r="AA14" i="21"/>
  <c r="AZ505" i="3"/>
  <c r="AB29" i="34"/>
  <c r="U29" i="34"/>
  <c r="AC13" i="35"/>
  <c r="W13" i="35"/>
  <c r="W45" i="34"/>
  <c r="AC45" i="34"/>
  <c r="S12" i="33"/>
  <c r="AA12" i="33"/>
  <c r="AB27" i="21"/>
  <c r="U27" i="21"/>
  <c r="AZ534" i="3"/>
  <c r="AZ542" i="3"/>
  <c r="S30" i="33"/>
  <c r="AA30" i="33"/>
  <c r="AZ27" i="3"/>
  <c r="AZ271" i="3"/>
  <c r="AZ461" i="3"/>
  <c r="AZ454" i="3"/>
  <c r="AZ428" i="3"/>
  <c r="AZ411" i="3"/>
  <c r="AC38" i="40"/>
  <c r="W38" i="40"/>
  <c r="U45" i="34"/>
  <c r="AB45" i="34"/>
  <c r="AZ494" i="3"/>
  <c r="AZ522" i="3"/>
  <c r="AB36" i="39"/>
  <c r="U36" i="39"/>
  <c r="AB46" i="33"/>
  <c r="U46" i="33"/>
  <c r="W12" i="33"/>
  <c r="AC12" i="33"/>
  <c r="W27" i="21"/>
  <c r="AC27" i="21"/>
  <c r="S29" i="34"/>
  <c r="AA29" i="34"/>
  <c r="AZ300" i="3"/>
  <c r="AZ21" i="3"/>
  <c r="AZ5" i="3" s="1"/>
  <c r="AZ51" i="3"/>
  <c r="AZ181" i="3"/>
  <c r="AZ173" i="3"/>
  <c r="AZ272" i="3"/>
  <c r="AZ259" i="3"/>
  <c r="AZ353" i="3"/>
  <c r="AZ244" i="3"/>
  <c r="AZ239" i="3"/>
  <c r="AZ413" i="3"/>
  <c r="F119" i="39"/>
  <c r="G119" i="39" s="1"/>
  <c r="H119" i="39" s="1"/>
  <c r="I119" i="39" s="1"/>
  <c r="J119" i="39" s="1"/>
  <c r="K119" i="39" s="1"/>
  <c r="L119" i="39" s="1"/>
  <c r="M119" i="39" s="1"/>
  <c r="J39" i="39"/>
  <c r="AZ500" i="3"/>
  <c r="U11" i="39"/>
  <c r="AB11" i="39"/>
  <c r="AA14" i="39"/>
  <c r="S14" i="39"/>
  <c r="AZ515" i="3"/>
  <c r="AB12" i="34"/>
  <c r="U12" i="34"/>
  <c r="AZ573" i="3"/>
  <c r="AZ552" i="3"/>
  <c r="U13" i="35"/>
  <c r="AB13" i="35"/>
  <c r="AB30" i="33"/>
  <c r="U30" i="33"/>
  <c r="AZ501" i="3"/>
  <c r="AZ538" i="3"/>
  <c r="AC29" i="34"/>
  <c r="W29" i="34"/>
  <c r="AB39" i="39"/>
  <c r="W12" i="39"/>
  <c r="AC12" i="39"/>
  <c r="S12" i="39"/>
  <c r="AA12" i="39"/>
  <c r="AZ111" i="3"/>
  <c r="AZ130" i="3"/>
  <c r="AZ251" i="3"/>
  <c r="AZ247" i="3"/>
  <c r="AZ229" i="3"/>
  <c r="AZ332" i="3"/>
  <c r="AZ282" i="3"/>
  <c r="AZ397" i="3"/>
  <c r="AZ460" i="3"/>
  <c r="AZ435" i="3"/>
  <c r="AZ425" i="3"/>
  <c r="AZ432" i="3"/>
  <c r="AZ417" i="3"/>
  <c r="AZ201" i="3"/>
  <c r="D75" i="71"/>
  <c r="C74" i="71"/>
  <c r="D74" i="71" s="1"/>
  <c r="AZ133" i="3"/>
  <c r="AZ265" i="3"/>
  <c r="AA25" i="37"/>
  <c r="S25" i="37"/>
  <c r="AC23" i="35"/>
  <c r="W23" i="35"/>
  <c r="AB46" i="21"/>
  <c r="U46" i="21"/>
  <c r="AB28" i="33"/>
  <c r="U28" i="33"/>
  <c r="AA11" i="36"/>
  <c r="S11" i="36"/>
  <c r="S32" i="34"/>
  <c r="AA32" i="34"/>
  <c r="U27" i="37"/>
  <c r="AB27" i="37"/>
  <c r="AA9" i="21"/>
  <c r="S9" i="21"/>
  <c r="AZ459" i="3"/>
  <c r="AZ398" i="3"/>
  <c r="AZ458" i="3"/>
  <c r="AC25" i="37"/>
  <c r="W25" i="37"/>
  <c r="AA12" i="36"/>
  <c r="S12" i="36"/>
  <c r="AC9" i="34"/>
  <c r="W9" i="34"/>
  <c r="W30" i="21"/>
  <c r="AC30" i="21"/>
  <c r="AC44" i="39"/>
  <c r="W44" i="39"/>
  <c r="AA46" i="21"/>
  <c r="S46" i="21"/>
  <c r="AA32" i="36"/>
  <c r="S32" i="36"/>
  <c r="AC9" i="33"/>
  <c r="W9" i="33"/>
  <c r="S35" i="35"/>
  <c r="AA35" i="35"/>
  <c r="U14" i="34"/>
  <c r="AB14" i="34"/>
  <c r="U40" i="37"/>
  <c r="AB40" i="37"/>
  <c r="AZ38" i="3"/>
  <c r="AZ238" i="3"/>
  <c r="D23" i="71"/>
  <c r="C22" i="71"/>
  <c r="C60" i="71"/>
  <c r="D59" i="71"/>
  <c r="AZ402" i="3"/>
  <c r="AC31" i="39"/>
  <c r="W31" i="39"/>
  <c r="U25" i="37"/>
  <c r="AB25" i="37"/>
  <c r="W12" i="36"/>
  <c r="AC12" i="36"/>
  <c r="S30" i="21"/>
  <c r="AA30" i="21"/>
  <c r="AA44" i="39"/>
  <c r="S44" i="39"/>
  <c r="U12" i="35"/>
  <c r="AB12" i="35"/>
  <c r="U32" i="34"/>
  <c r="AB32" i="34"/>
  <c r="W14" i="34"/>
  <c r="AC14" i="34"/>
  <c r="S29" i="33"/>
  <c r="AA29" i="33"/>
  <c r="AA40" i="37"/>
  <c r="S40" i="37"/>
  <c r="J7" i="36"/>
  <c r="AZ550" i="3"/>
  <c r="C31" i="71"/>
  <c r="AZ406" i="3"/>
  <c r="AB31" i="39"/>
  <c r="U31" i="39"/>
  <c r="U23" i="35"/>
  <c r="AB23" i="35"/>
  <c r="AA45" i="21"/>
  <c r="S45" i="21"/>
  <c r="AC25" i="39"/>
  <c r="W25" i="39"/>
  <c r="AB44" i="39"/>
  <c r="U44" i="39"/>
  <c r="AB32" i="36"/>
  <c r="U32" i="36"/>
  <c r="W28" i="33"/>
  <c r="AC28" i="33"/>
  <c r="AB9" i="33"/>
  <c r="U9" i="33"/>
  <c r="W32" i="34"/>
  <c r="AC32" i="34"/>
  <c r="AA45" i="33"/>
  <c r="S45" i="33"/>
  <c r="W27" i="37"/>
  <c r="AC27" i="37"/>
  <c r="AA27" i="39"/>
  <c r="S27" i="39"/>
  <c r="U27" i="39"/>
  <c r="AB27" i="39"/>
  <c r="W27" i="39"/>
  <c r="AC27" i="39"/>
  <c r="C48" i="69"/>
  <c r="C30" i="69"/>
  <c r="E59" i="40"/>
  <c r="J57" i="67"/>
  <c r="J55" i="67" s="1"/>
  <c r="J58" i="67" s="1"/>
  <c r="Q50" i="67" s="1"/>
  <c r="L58" i="67"/>
  <c r="Q73" i="67" s="1"/>
  <c r="L56" i="67"/>
  <c r="J53" i="67"/>
  <c r="F1" i="67" s="1"/>
  <c r="I54" i="67"/>
  <c r="G8" i="1"/>
  <c r="G16" i="1" s="1"/>
  <c r="F10" i="39" s="1"/>
  <c r="S10" i="39" s="1"/>
  <c r="P6" i="1"/>
  <c r="C13" i="12" s="1"/>
  <c r="G26" i="43"/>
  <c r="H16" i="1"/>
  <c r="J26" i="43"/>
  <c r="N94" i="46"/>
  <c r="Q16" i="1"/>
  <c r="F27" i="11" s="1"/>
  <c r="N370" i="46"/>
  <c r="F26" i="43"/>
  <c r="E26" i="43"/>
  <c r="F51" i="67"/>
  <c r="C6" i="67"/>
  <c r="C32" i="67" s="1"/>
  <c r="F66" i="67"/>
  <c r="J57" i="15"/>
  <c r="J55" i="15" s="1"/>
  <c r="J58" i="15" s="1"/>
  <c r="Q50" i="15" s="1"/>
  <c r="I54" i="15"/>
  <c r="L58" i="15"/>
  <c r="Q60" i="15" s="1"/>
  <c r="Q71" i="15"/>
  <c r="F64" i="15"/>
  <c r="F68" i="15"/>
  <c r="C6" i="15"/>
  <c r="C32" i="15" s="1"/>
  <c r="F31" i="15"/>
  <c r="F31" i="67"/>
  <c r="F50" i="67"/>
  <c r="M7" i="67"/>
  <c r="J6" i="67" s="1"/>
  <c r="J18" i="67" s="1"/>
  <c r="F51" i="15"/>
  <c r="C49" i="15" s="1"/>
  <c r="C40" i="71"/>
  <c r="D39" i="71"/>
  <c r="AZ108" i="3"/>
  <c r="AZ150" i="3"/>
  <c r="N65" i="71"/>
  <c r="N66" i="71"/>
  <c r="AZ101" i="3"/>
  <c r="AZ61" i="3"/>
  <c r="AZ302" i="3"/>
  <c r="AZ263" i="3"/>
  <c r="AZ243" i="3"/>
  <c r="AZ368" i="3"/>
  <c r="AZ277" i="3"/>
  <c r="AZ256" i="3"/>
  <c r="AZ210" i="3"/>
  <c r="AB24" i="36"/>
  <c r="U24" i="36"/>
  <c r="C70" i="71"/>
  <c r="D70" i="71" s="1"/>
  <c r="D71" i="71"/>
  <c r="C36" i="71"/>
  <c r="D35" i="71"/>
  <c r="D44" i="71"/>
  <c r="T44" i="71"/>
  <c r="AZ59" i="3"/>
  <c r="AZ31" i="3"/>
  <c r="AZ301" i="3"/>
  <c r="AZ488" i="3"/>
  <c r="U39" i="40"/>
  <c r="AB39" i="40"/>
  <c r="AZ483" i="3"/>
  <c r="AC23" i="36"/>
  <c r="W23" i="36"/>
  <c r="J6" i="15"/>
  <c r="J18" i="15" s="1"/>
  <c r="G5" i="3"/>
  <c r="B3" i="3" s="1"/>
  <c r="E399" i="3" s="1"/>
  <c r="T28" i="71"/>
  <c r="D28" i="71"/>
  <c r="U28" i="71" s="1"/>
  <c r="C27" i="71"/>
  <c r="D79" i="71"/>
  <c r="C78" i="71"/>
  <c r="D78" i="71" s="1"/>
  <c r="AZ19" i="3"/>
  <c r="W12" i="35"/>
  <c r="AC12" i="35"/>
  <c r="AB23" i="36"/>
  <c r="U23" i="36"/>
  <c r="D83" i="71"/>
  <c r="C82" i="71"/>
  <c r="D82" i="71" s="1"/>
  <c r="O65" i="71"/>
  <c r="D66" i="71"/>
  <c r="O66" i="71"/>
  <c r="T52" i="71"/>
  <c r="D52" i="71"/>
  <c r="AZ118" i="3"/>
  <c r="AZ25" i="3"/>
  <c r="C56" i="71"/>
  <c r="D55" i="71"/>
  <c r="AZ105" i="3"/>
  <c r="AZ94" i="3"/>
  <c r="AZ137" i="3"/>
  <c r="AZ249" i="3"/>
  <c r="AZ218" i="3"/>
  <c r="AZ274" i="3"/>
  <c r="AZ223" i="3"/>
  <c r="AZ297" i="3"/>
  <c r="AZ241" i="3"/>
  <c r="AZ457" i="3"/>
  <c r="AZ421" i="3"/>
  <c r="AZ453" i="3"/>
  <c r="AZ408" i="3"/>
  <c r="AB38" i="40"/>
  <c r="U38"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M11" i="67"/>
  <c r="J10" i="67" s="1"/>
  <c r="F11" i="15"/>
  <c r="M11" i="15"/>
  <c r="J10" i="15" s="1"/>
  <c r="F11" i="67"/>
  <c r="AE11" i="1"/>
  <c r="AE9" i="1"/>
  <c r="AE7" i="1"/>
  <c r="AE12" i="1"/>
  <c r="AE10" i="1"/>
  <c r="C16" i="67"/>
  <c r="G1" i="73"/>
  <c r="C16" i="15"/>
  <c r="AA7" i="36" l="1"/>
  <c r="R36" i="36" s="1"/>
  <c r="J53" i="43"/>
  <c r="D53" i="43"/>
  <c r="J52" i="43"/>
  <c r="D52" i="43"/>
  <c r="N58" i="43"/>
  <c r="D58" i="43"/>
  <c r="N51" i="43"/>
  <c r="D51" i="43"/>
  <c r="D55" i="43"/>
  <c r="J55" i="43"/>
  <c r="N50" i="43"/>
  <c r="D50" i="43"/>
  <c r="N56" i="43"/>
  <c r="D56" i="43"/>
  <c r="AC7" i="37"/>
  <c r="M14" i="1"/>
  <c r="Q74" i="67"/>
  <c r="K16" i="1"/>
  <c r="AC39" i="39"/>
  <c r="W39" i="39"/>
  <c r="B70" i="39"/>
  <c r="U7" i="36"/>
  <c r="F27" i="68"/>
  <c r="F45" i="68" s="1"/>
  <c r="T60" i="71"/>
  <c r="D60" i="71"/>
  <c r="C21" i="71"/>
  <c r="D22" i="71"/>
  <c r="F67" i="39"/>
  <c r="D31" i="71"/>
  <c r="C32" i="71"/>
  <c r="F27" i="69"/>
  <c r="F45" i="69" s="1"/>
  <c r="Q18" i="1"/>
  <c r="Q60" i="67"/>
  <c r="F28" i="12"/>
  <c r="Q52" i="67"/>
  <c r="E296" i="3"/>
  <c r="E215" i="3"/>
  <c r="E273" i="3"/>
  <c r="E214" i="3"/>
  <c r="E301" i="3"/>
  <c r="E131" i="3"/>
  <c r="X6" i="3"/>
  <c r="E263" i="3"/>
  <c r="E431" i="3"/>
  <c r="AO6" i="3"/>
  <c r="E560" i="3"/>
  <c r="E445" i="3"/>
  <c r="E526" i="3"/>
  <c r="E368" i="3"/>
  <c r="AK6" i="3"/>
  <c r="E570" i="3"/>
  <c r="E489" i="3"/>
  <c r="E577" i="3"/>
  <c r="E198" i="3"/>
  <c r="E419" i="3"/>
  <c r="AQ6" i="3"/>
  <c r="E58" i="3"/>
  <c r="E436" i="3"/>
  <c r="E195" i="3"/>
  <c r="E224" i="3"/>
  <c r="E14" i="3"/>
  <c r="E71" i="3"/>
  <c r="E328" i="3"/>
  <c r="E237" i="3"/>
  <c r="AA6" i="3"/>
  <c r="E481" i="3"/>
  <c r="E203" i="3"/>
  <c r="E164" i="3"/>
  <c r="E121" i="3"/>
  <c r="E553" i="3"/>
  <c r="E151" i="3"/>
  <c r="E130" i="3"/>
  <c r="E290" i="3"/>
  <c r="E336" i="3"/>
  <c r="E45" i="3"/>
  <c r="E457" i="3"/>
  <c r="E150" i="3"/>
  <c r="E271" i="3"/>
  <c r="E505" i="3"/>
  <c r="E186" i="3"/>
  <c r="E343" i="3"/>
  <c r="E337" i="3"/>
  <c r="E561" i="3"/>
  <c r="E185" i="3"/>
  <c r="E503" i="3"/>
  <c r="E350" i="3"/>
  <c r="E77" i="3"/>
  <c r="E228" i="3"/>
  <c r="E472" i="3"/>
  <c r="E454" i="3"/>
  <c r="E315" i="3"/>
  <c r="E89" i="3"/>
  <c r="E400" i="3"/>
  <c r="E28" i="3"/>
  <c r="E377" i="3"/>
  <c r="E322" i="3"/>
  <c r="E247" i="3"/>
  <c r="M6" i="3"/>
  <c r="E69" i="3"/>
  <c r="E535" i="3"/>
  <c r="E423" i="3"/>
  <c r="E200" i="3"/>
  <c r="E275" i="3"/>
  <c r="E118" i="3"/>
  <c r="E369" i="3"/>
  <c r="E139" i="3"/>
  <c r="E22" i="3"/>
  <c r="E346" i="3"/>
  <c r="E62" i="3"/>
  <c r="E416" i="3"/>
  <c r="E341" i="3"/>
  <c r="E504" i="3"/>
  <c r="W6" i="3"/>
  <c r="E145" i="3"/>
  <c r="E317" i="3"/>
  <c r="E97" i="3"/>
  <c r="E302" i="3"/>
  <c r="E434" i="3"/>
  <c r="E424" i="3"/>
  <c r="E394" i="3"/>
  <c r="P6" i="3"/>
  <c r="E166" i="3"/>
  <c r="N6" i="3"/>
  <c r="V6" i="3"/>
  <c r="E415" i="3"/>
  <c r="E61" i="3"/>
  <c r="E253" i="3"/>
  <c r="E193" i="3"/>
  <c r="E571" i="3"/>
  <c r="E318" i="3"/>
  <c r="E107" i="3"/>
  <c r="AS6" i="3"/>
  <c r="E384" i="3"/>
  <c r="E508" i="3"/>
  <c r="E143" i="3"/>
  <c r="E439" i="3"/>
  <c r="E261" i="3"/>
  <c r="E180" i="3"/>
  <c r="E495" i="3"/>
  <c r="E568" i="3"/>
  <c r="E277" i="3"/>
  <c r="E465" i="3"/>
  <c r="E106" i="3"/>
  <c r="E362" i="3"/>
  <c r="E327" i="3"/>
  <c r="E345" i="3"/>
  <c r="E70" i="3"/>
  <c r="E109" i="3"/>
  <c r="AJ6" i="3"/>
  <c r="E201" i="3"/>
  <c r="E387" i="3"/>
  <c r="E278" i="3"/>
  <c r="E161" i="3"/>
  <c r="E385" i="3"/>
  <c r="E148" i="3"/>
  <c r="E242" i="3"/>
  <c r="E487" i="3"/>
  <c r="E78" i="3"/>
  <c r="E60" i="3"/>
  <c r="E176" i="3"/>
  <c r="E446" i="3"/>
  <c r="E374" i="3"/>
  <c r="E307" i="3"/>
  <c r="E471" i="3"/>
  <c r="U6" i="3"/>
  <c r="AM6" i="3"/>
  <c r="E523" i="3"/>
  <c r="E221" i="3"/>
  <c r="E120" i="3"/>
  <c r="AE6" i="3"/>
  <c r="E32" i="3"/>
  <c r="E558" i="3"/>
  <c r="E334" i="3"/>
  <c r="E396" i="3"/>
  <c r="E407" i="3"/>
  <c r="E395" i="3"/>
  <c r="E578" i="3"/>
  <c r="E85" i="3"/>
  <c r="E519" i="3"/>
  <c r="E433" i="3"/>
  <c r="E31" i="3"/>
  <c r="E515" i="3"/>
  <c r="E27" i="3"/>
  <c r="E44" i="3"/>
  <c r="E388" i="3"/>
  <c r="E533" i="3"/>
  <c r="E380" i="3"/>
  <c r="E528" i="3"/>
  <c r="E134" i="3"/>
  <c r="E124" i="3"/>
  <c r="E181" i="3"/>
  <c r="K6" i="3"/>
  <c r="E587" i="3"/>
  <c r="E146" i="3"/>
  <c r="E227" i="3"/>
  <c r="Z6" i="3"/>
  <c r="E557" i="3"/>
  <c r="E211" i="3"/>
  <c r="E217" i="3"/>
  <c r="E509" i="3"/>
  <c r="E514" i="3"/>
  <c r="E335" i="3"/>
  <c r="E563" i="3"/>
  <c r="E191" i="3"/>
  <c r="E246" i="3"/>
  <c r="E119" i="3"/>
  <c r="E219" i="3"/>
  <c r="E94" i="3"/>
  <c r="E248" i="3"/>
  <c r="E378" i="3"/>
  <c r="E510" i="3"/>
  <c r="E564" i="3"/>
  <c r="E234" i="3"/>
  <c r="E460" i="3"/>
  <c r="E464" i="3"/>
  <c r="E179" i="3"/>
  <c r="E157" i="3"/>
  <c r="E357" i="3"/>
  <c r="E547" i="3"/>
  <c r="E426" i="3"/>
  <c r="E298" i="3"/>
  <c r="E353" i="3"/>
  <c r="E177" i="3"/>
  <c r="E73" i="3"/>
  <c r="E252" i="3"/>
  <c r="E581" i="3"/>
  <c r="E125" i="3"/>
  <c r="E229" i="3"/>
  <c r="E294" i="3"/>
  <c r="E117" i="3"/>
  <c r="E518" i="3"/>
  <c r="E314" i="3"/>
  <c r="E527" i="3"/>
  <c r="E111" i="3"/>
  <c r="E567" i="3"/>
  <c r="E414" i="3"/>
  <c r="E162" i="3"/>
  <c r="E175" i="3"/>
  <c r="E410" i="3"/>
  <c r="AR6" i="3"/>
  <c r="E231" i="3"/>
  <c r="E361" i="3"/>
  <c r="AY6" i="3"/>
  <c r="AY253" i="3" s="1"/>
  <c r="E435" i="3"/>
  <c r="E241" i="3"/>
  <c r="E332" i="3"/>
  <c r="E405" i="3"/>
  <c r="E158" i="3"/>
  <c r="E543" i="3"/>
  <c r="E25" i="3"/>
  <c r="E79" i="3"/>
  <c r="E36" i="3"/>
  <c r="E524" i="3"/>
  <c r="E250" i="3"/>
  <c r="E138" i="3"/>
  <c r="E297" i="3"/>
  <c r="E462" i="3"/>
  <c r="E87" i="3"/>
  <c r="E82" i="3"/>
  <c r="E474" i="3"/>
  <c r="E54" i="3"/>
  <c r="E93" i="3"/>
  <c r="E548" i="3"/>
  <c r="E92" i="3"/>
  <c r="E53" i="3"/>
  <c r="E359" i="3"/>
  <c r="E506" i="3"/>
  <c r="E304" i="3"/>
  <c r="E303" i="3"/>
  <c r="E238" i="3"/>
  <c r="E330" i="3"/>
  <c r="E496" i="3"/>
  <c r="E580" i="3"/>
  <c r="AG6" i="3"/>
  <c r="E88" i="3"/>
  <c r="E30" i="3"/>
  <c r="E239" i="3"/>
  <c r="E551" i="3"/>
  <c r="E230" i="3"/>
  <c r="E260" i="3"/>
  <c r="E382" i="3"/>
  <c r="E583" i="3"/>
  <c r="E511" i="3"/>
  <c r="E458" i="3"/>
  <c r="E450" i="3"/>
  <c r="E279" i="3"/>
  <c r="E269" i="3"/>
  <c r="E478" i="3"/>
  <c r="E476"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66" i="3"/>
  <c r="E168" i="3"/>
  <c r="E367" i="3"/>
  <c r="E501" i="3"/>
  <c r="E338" i="3"/>
  <c r="E17" i="3"/>
  <c r="E425" i="3"/>
  <c r="E129" i="3"/>
  <c r="E452" i="3"/>
  <c r="E326" i="3"/>
  <c r="E422" i="3"/>
  <c r="E276" i="3"/>
  <c r="E38" i="3"/>
  <c r="E289" i="3"/>
  <c r="E222" i="3"/>
  <c r="E284" i="3"/>
  <c r="E584" i="3"/>
  <c r="E66" i="3"/>
  <c r="E154" i="3"/>
  <c r="E136" i="3"/>
  <c r="E438" i="3"/>
  <c r="E207" i="3"/>
  <c r="E126" i="3"/>
  <c r="E285" i="3"/>
  <c r="E402" i="3"/>
  <c r="E23" i="3"/>
  <c r="E287" i="3"/>
  <c r="E104" i="3"/>
  <c r="E188" i="3"/>
  <c r="J6" i="3"/>
  <c r="E305" i="3"/>
  <c r="E441" i="3"/>
  <c r="E210" i="3"/>
  <c r="E447" i="3"/>
  <c r="E477" i="3"/>
  <c r="E585" i="3"/>
  <c r="E549" i="3"/>
  <c r="E351" i="3"/>
  <c r="E72" i="3"/>
  <c r="E562" i="3"/>
  <c r="E573" i="3"/>
  <c r="E99" i="3"/>
  <c r="E453" i="3"/>
  <c r="E293" i="3"/>
  <c r="E245" i="3"/>
  <c r="E550" i="3"/>
  <c r="E114" i="3"/>
  <c r="E320" i="3"/>
  <c r="E559" i="3"/>
  <c r="E516" i="3"/>
  <c r="E366" i="3"/>
  <c r="E316" i="3"/>
  <c r="E444" i="3"/>
  <c r="E448" i="3"/>
  <c r="E236" i="3"/>
  <c r="E256" i="3"/>
  <c r="E429" i="3"/>
  <c r="E437" i="3"/>
  <c r="E128" i="3"/>
  <c r="E280" i="3"/>
  <c r="E159" i="3"/>
  <c r="E565" i="3"/>
  <c r="E321" i="3"/>
  <c r="S6" i="3"/>
  <c r="O6" i="3"/>
  <c r="E319" i="3"/>
  <c r="E291" i="3"/>
  <c r="E403" i="3"/>
  <c r="E411" i="3"/>
  <c r="E196" i="3"/>
  <c r="E208" i="3"/>
  <c r="E537" i="3"/>
  <c r="E313" i="3"/>
  <c r="E461" i="3"/>
  <c r="E187" i="3"/>
  <c r="AD6" i="3"/>
  <c r="E39" i="3"/>
  <c r="E266" i="3"/>
  <c r="E323" i="3"/>
  <c r="E500" i="3"/>
  <c r="E521" i="3"/>
  <c r="E165" i="3"/>
  <c r="E340" i="3"/>
  <c r="E299" i="3"/>
  <c r="E540" i="3"/>
  <c r="E108" i="3"/>
  <c r="E440" i="3"/>
  <c r="E116" i="3"/>
  <c r="E220" i="3"/>
  <c r="E469" i="3"/>
  <c r="E522" i="3"/>
  <c r="E63" i="3"/>
  <c r="E539" i="3"/>
  <c r="E199" i="3"/>
  <c r="E554" i="3"/>
  <c r="E95" i="3"/>
  <c r="E389" i="3"/>
  <c r="E64" i="3"/>
  <c r="E310" i="3"/>
  <c r="E233" i="3"/>
  <c r="E309" i="3"/>
  <c r="AL6" i="3"/>
  <c r="E235" i="3"/>
  <c r="E102" i="3"/>
  <c r="E173" i="3"/>
  <c r="E408" i="3"/>
  <c r="E420" i="3"/>
  <c r="E428" i="3"/>
  <c r="E49"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381" i="3"/>
  <c r="E300" i="3"/>
  <c r="E409" i="3"/>
  <c r="E192" i="3"/>
  <c r="I3" i="6"/>
  <c r="E48" i="3"/>
  <c r="E110" i="3"/>
  <c r="E312" i="3"/>
  <c r="E24" i="3"/>
  <c r="E348" i="3"/>
  <c r="E552" i="3"/>
  <c r="E365" i="3"/>
  <c r="E20" i="3"/>
  <c r="E123" i="3"/>
  <c r="E392" i="3"/>
  <c r="E194" i="3"/>
  <c r="E15" i="3"/>
  <c r="L6" i="3"/>
  <c r="E226" i="3"/>
  <c r="E463" i="3"/>
  <c r="AH6" i="3"/>
  <c r="E507" i="3"/>
  <c r="E393" i="3"/>
  <c r="E16" i="3"/>
  <c r="E370" i="3"/>
  <c r="E243" i="3"/>
  <c r="E497" i="3"/>
  <c r="E534" i="3"/>
  <c r="E251" i="3"/>
  <c r="E18" i="3"/>
  <c r="E21" i="3"/>
  <c r="E144" i="3"/>
  <c r="E267" i="3"/>
  <c r="E76" i="3"/>
  <c r="E56" i="3"/>
  <c r="E541"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342" i="3"/>
  <c r="E115" i="3"/>
  <c r="E360" i="3"/>
  <c r="E140" i="3"/>
  <c r="E34" i="3"/>
  <c r="E75" i="3"/>
  <c r="E264" i="3"/>
  <c r="E67" i="3"/>
  <c r="E103" i="3"/>
  <c r="E363" i="3"/>
  <c r="E417" i="3"/>
  <c r="R6" i="3"/>
  <c r="D26" i="43"/>
  <c r="C25" i="43" s="1"/>
  <c r="E3" i="6"/>
  <c r="B14" i="74" s="1"/>
  <c r="AA10" i="39"/>
  <c r="F10" i="40"/>
  <c r="S10" i="40" s="1"/>
  <c r="H10" i="40"/>
  <c r="AB10" i="40" s="1"/>
  <c r="J10" i="39"/>
  <c r="W10" i="39" s="1"/>
  <c r="H10" i="39"/>
  <c r="U10" i="39" s="1"/>
  <c r="J10" i="40"/>
  <c r="AC10" i="40" s="1"/>
  <c r="C49" i="67"/>
  <c r="Q73" i="15"/>
  <c r="J5" i="67"/>
  <c r="J24" i="67" s="1"/>
  <c r="J5" i="15"/>
  <c r="J24" i="15" s="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E449" i="3"/>
  <c r="E442" i="3"/>
  <c r="E575" i="3"/>
  <c r="E536" i="3"/>
  <c r="D36" i="71"/>
  <c r="T36" i="71"/>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254" i="3"/>
  <c r="AY426" i="3"/>
  <c r="AY298" i="3"/>
  <c r="AY330" i="3"/>
  <c r="AY396" i="3"/>
  <c r="AY408"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67"/>
  <c r="M27" i="15"/>
  <c r="E50" i="43" l="1"/>
  <c r="B48" i="43" s="1"/>
  <c r="C28" i="43" s="1"/>
  <c r="C47" i="68"/>
  <c r="D45" i="68" s="1"/>
  <c r="AY477" i="3"/>
  <c r="AY545" i="3"/>
  <c r="AY375" i="3"/>
  <c r="AY575" i="3"/>
  <c r="AY148" i="3"/>
  <c r="AY227" i="3"/>
  <c r="AY554" i="3"/>
  <c r="AY566" i="3"/>
  <c r="AY62" i="3"/>
  <c r="AY432" i="3"/>
  <c r="AY563" i="3"/>
  <c r="AY490" i="3"/>
  <c r="AY449" i="3"/>
  <c r="AY488" i="3"/>
  <c r="AY107" i="3"/>
  <c r="AY320" i="3"/>
  <c r="AY13" i="3"/>
  <c r="AY352" i="3"/>
  <c r="AY570" i="3"/>
  <c r="AY467" i="3"/>
  <c r="AY303" i="3"/>
  <c r="T32" i="71"/>
  <c r="D32" i="71"/>
  <c r="D21" i="71"/>
  <c r="C20" i="71"/>
  <c r="D14" i="12"/>
  <c r="D17" i="12" s="1"/>
  <c r="C17" i="12" s="1"/>
  <c r="B4" i="77"/>
  <c r="AB10" i="39"/>
  <c r="C47" i="69"/>
  <c r="D45" i="69" s="1"/>
  <c r="C29" i="69"/>
  <c r="D27" i="69" s="1"/>
  <c r="AC10" i="39"/>
  <c r="D3" i="37"/>
  <c r="AY240" i="3"/>
  <c r="AY359" i="3"/>
  <c r="AY538" i="3"/>
  <c r="AY153" i="3"/>
  <c r="AY136" i="3"/>
  <c r="AY233" i="3"/>
  <c r="AY32" i="3"/>
  <c r="AY437" i="3"/>
  <c r="AY380" i="3"/>
  <c r="AY557" i="3"/>
  <c r="AY447" i="3"/>
  <c r="AY28" i="3"/>
  <c r="AY431" i="3"/>
  <c r="D19" i="11"/>
  <c r="C19" i="11" s="1"/>
  <c r="C20" i="11" s="1"/>
  <c r="AY164" i="3"/>
  <c r="AY301" i="3"/>
  <c r="AY434" i="3"/>
  <c r="AY567" i="3"/>
  <c r="AY39" i="3"/>
  <c r="AY203" i="3"/>
  <c r="AY492" i="3"/>
  <c r="AY511" i="3"/>
  <c r="AY285" i="3"/>
  <c r="AY65" i="3"/>
  <c r="AY82" i="3"/>
  <c r="AY501" i="3"/>
  <c r="AY228" i="3"/>
  <c r="D37" i="11"/>
  <c r="AA10" i="40"/>
  <c r="W10" i="40"/>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354" i="3"/>
  <c r="AY38" i="3"/>
  <c r="AY469" i="3"/>
  <c r="AY156" i="3"/>
  <c r="AY565" i="3"/>
  <c r="AY468" i="3"/>
  <c r="AY251" i="3"/>
  <c r="AY582" i="3"/>
  <c r="AY341" i="3"/>
  <c r="AY291" i="3"/>
  <c r="AY379" i="3"/>
  <c r="AY577" i="3"/>
  <c r="AY393" i="3"/>
  <c r="AY157" i="3"/>
  <c r="AY244" i="3"/>
  <c r="AY546" i="3"/>
  <c r="AY349" i="3"/>
  <c r="AY214" i="3"/>
  <c r="AY108" i="3"/>
  <c r="AY40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66" i="3"/>
  <c r="AY115" i="3"/>
  <c r="AY276" i="3"/>
  <c r="AY225" i="3"/>
  <c r="AY50" i="3"/>
  <c r="AY261" i="3"/>
  <c r="AY473" i="3"/>
  <c r="AY26" i="3"/>
  <c r="AY372" i="3"/>
  <c r="AY420" i="3"/>
  <c r="AY533" i="3"/>
  <c r="AY61" i="3"/>
  <c r="AY190" i="3"/>
  <c r="AY133" i="3"/>
  <c r="AY247" i="3"/>
  <c r="AY397" i="3"/>
  <c r="AY109" i="3"/>
  <c r="AY166" i="3"/>
  <c r="AY242" i="3"/>
  <c r="AY348"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34" i="3"/>
  <c r="AY95" i="3"/>
  <c r="AY111" i="3"/>
  <c r="AY382" i="3"/>
  <c r="AY196" i="3"/>
  <c r="AY204" i="3"/>
  <c r="AY470" i="3"/>
  <c r="AY180" i="3"/>
  <c r="AY358" i="3"/>
  <c r="AY433" i="3"/>
  <c r="AY541" i="3"/>
  <c r="AY45" i="3"/>
  <c r="AY201" i="3"/>
  <c r="AY118" i="3"/>
  <c r="AY231" i="3"/>
  <c r="AY381" i="3"/>
  <c r="AY104" i="3"/>
  <c r="AY177" i="3"/>
  <c r="AY210" i="3"/>
  <c r="AY332" i="3"/>
  <c r="AY446" i="3"/>
  <c r="AY58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176" i="3"/>
  <c r="AY188" i="3"/>
  <c r="AY297" i="3"/>
  <c r="AY335" i="3"/>
  <c r="AY289" i="3"/>
  <c r="AY209" i="3"/>
  <c r="AY441" i="3"/>
  <c r="AY260" i="3"/>
  <c r="AY310" i="3"/>
  <c r="AY549" i="3"/>
  <c r="AY97" i="3"/>
  <c r="AY44" i="3"/>
  <c r="AY154" i="3"/>
  <c r="AY283" i="3"/>
  <c r="AY230" i="3"/>
  <c r="AY360" i="3"/>
  <c r="AY56" i="3"/>
  <c r="AY295" i="3"/>
  <c r="AY353" i="3"/>
  <c r="AY475"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U10" i="40"/>
  <c r="C17" i="4"/>
  <c r="B4" i="52" s="1"/>
  <c r="B43" i="72" s="1"/>
  <c r="M18" i="9"/>
  <c r="B118" i="9" s="1"/>
  <c r="B1" i="74"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224" i="3"/>
  <c r="AY91" i="3"/>
  <c r="AY362" i="3"/>
  <c r="AY46" i="3"/>
  <c r="AY14" i="3"/>
  <c r="AY312" i="3"/>
  <c r="AY137" i="3"/>
  <c r="AY543" i="3"/>
  <c r="AY121" i="3"/>
  <c r="AY198" i="3"/>
  <c r="AY497" i="3"/>
  <c r="AY559" i="3"/>
  <c r="AY186" i="3"/>
  <c r="AY36" i="3"/>
  <c r="AY444" i="3"/>
  <c r="BM6" i="3"/>
  <c r="AY290" i="3"/>
  <c r="AY294" i="3"/>
  <c r="BK6" i="3"/>
  <c r="AY363" i="3"/>
  <c r="AY152" i="3"/>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29" i="3"/>
  <c r="AY277" i="3"/>
  <c r="AY560" i="3"/>
  <c r="AY232" i="3"/>
  <c r="AY99" i="3"/>
  <c r="AY407" i="3"/>
  <c r="AY329" i="3"/>
  <c r="AY194" i="3"/>
  <c r="AY572" i="3"/>
  <c r="BB6" i="3"/>
  <c r="AY100" i="3"/>
  <c r="AY220" i="3"/>
  <c r="AY403" i="3"/>
  <c r="BS6" i="3"/>
  <c r="AY555" i="3"/>
  <c r="AY163" i="3"/>
  <c r="AY398" i="3"/>
  <c r="AY24" i="3"/>
  <c r="AY138" i="3"/>
  <c r="AY465" i="3"/>
  <c r="AY74" i="3"/>
  <c r="AY144" i="3"/>
  <c r="AC6" i="3"/>
  <c r="H6" i="3"/>
  <c r="C48" i="67"/>
  <c r="C66" i="67" s="1"/>
  <c r="F25" i="12"/>
  <c r="F22" i="68"/>
  <c r="F24" i="15"/>
  <c r="C24" i="15" s="1"/>
  <c r="F22" i="69"/>
  <c r="F41" i="69" s="1"/>
  <c r="F22" i="11"/>
  <c r="F24" i="67"/>
  <c r="C24" i="67" s="1"/>
  <c r="D116" i="43"/>
  <c r="E49" i="34"/>
  <c r="E54" i="34" s="1"/>
  <c r="F54" i="34"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C14" i="67"/>
  <c r="C17" i="15"/>
  <c r="T13" i="43" l="1"/>
  <c r="V13" i="43" s="1"/>
  <c r="T16" i="43"/>
  <c r="V16" i="43" s="1"/>
  <c r="T8" i="43"/>
  <c r="V8" i="43" s="1"/>
  <c r="T6" i="43"/>
  <c r="V6" i="43" s="1"/>
  <c r="C41" i="43"/>
  <c r="C38" i="43"/>
  <c r="C40" i="43"/>
  <c r="T11" i="43"/>
  <c r="V11" i="43" s="1"/>
  <c r="T14" i="43"/>
  <c r="V14" i="43" s="1"/>
  <c r="T4" i="43"/>
  <c r="V4" i="43" s="1"/>
  <c r="T5" i="43"/>
  <c r="V5" i="43" s="1"/>
  <c r="T3" i="43"/>
  <c r="V3" i="43" s="1"/>
  <c r="T12" i="43"/>
  <c r="V12" i="43" s="1"/>
  <c r="T15" i="43"/>
  <c r="V15" i="43" s="1"/>
  <c r="T7" i="43"/>
  <c r="V7" i="43" s="1"/>
  <c r="T10" i="43"/>
  <c r="V10" i="43" s="1"/>
  <c r="T2" i="43"/>
  <c r="V2" i="43" s="1"/>
  <c r="C37" i="43"/>
  <c r="C42" i="43"/>
  <c r="T9" i="43"/>
  <c r="V9" i="43" s="1"/>
  <c r="C39" i="43"/>
  <c r="C33" i="43"/>
  <c r="E53" i="34"/>
  <c r="F53" i="34" s="1"/>
  <c r="H26" i="6"/>
  <c r="D8" i="6"/>
  <c r="D11" i="6"/>
  <c r="D24" i="6"/>
  <c r="D25" i="6"/>
  <c r="C18" i="4"/>
  <c r="C4" i="52" s="1"/>
  <c r="B45" i="72" s="1"/>
  <c r="D10" i="6"/>
  <c r="H22" i="6"/>
  <c r="D10" i="68"/>
  <c r="D19" i="68" s="1"/>
  <c r="C19" i="71"/>
  <c r="T20" i="71"/>
  <c r="D20" i="71"/>
  <c r="U20" i="71" s="1"/>
  <c r="D10" i="69"/>
  <c r="C10" i="69" s="1"/>
  <c r="C8" i="69" s="1"/>
  <c r="C5" i="69" s="1"/>
  <c r="D20" i="12"/>
  <c r="C20" i="12" s="1"/>
  <c r="D15" i="6"/>
  <c r="B5" i="77"/>
  <c r="D14" i="77" s="1"/>
  <c r="C44" i="68"/>
  <c r="D41" i="68" s="1"/>
  <c r="B24" i="1"/>
  <c r="B23" i="1"/>
  <c r="C25" i="11" s="1"/>
  <c r="C29" i="11"/>
  <c r="D27" i="11" s="1"/>
  <c r="C29" i="68"/>
  <c r="D27" i="68" s="1"/>
  <c r="C28" i="11"/>
  <c r="C27" i="11" s="1"/>
  <c r="F41" i="68"/>
  <c r="C26" i="69"/>
  <c r="D22" i="69" s="1"/>
  <c r="D21" i="6"/>
  <c r="E61" i="40"/>
  <c r="D12" i="6"/>
  <c r="D19" i="6"/>
  <c r="H25" i="6"/>
  <c r="R25" i="6" s="1"/>
  <c r="R12" i="1" s="1"/>
  <c r="D9" i="6"/>
  <c r="D26" i="6"/>
  <c r="D28" i="6"/>
  <c r="D5" i="6"/>
  <c r="H24" i="6"/>
  <c r="D29" i="6"/>
  <c r="D6" i="6"/>
  <c r="M19" i="9"/>
  <c r="C118" i="9" s="1"/>
  <c r="B2" i="74" s="1"/>
  <c r="D7" i="74" s="1"/>
  <c r="D22" i="6"/>
  <c r="D13" i="6"/>
  <c r="D23" i="6"/>
  <c r="H21" i="6"/>
  <c r="L19" i="9"/>
  <c r="D14" i="6"/>
  <c r="D20" i="6"/>
  <c r="E6" i="3"/>
  <c r="C60" i="67"/>
  <c r="C44" i="69"/>
  <c r="D41" i="69" s="1"/>
  <c r="C44" i="11"/>
  <c r="D41" i="11" s="1"/>
  <c r="C24" i="11"/>
  <c r="C18" i="67"/>
  <c r="C15" i="67"/>
  <c r="H23" i="6"/>
  <c r="H20" i="6"/>
  <c r="C38" i="69"/>
  <c r="C35" i="69"/>
  <c r="E12" i="70"/>
  <c r="S16" i="1"/>
  <c r="E9" i="70"/>
  <c r="AR9" i="1"/>
  <c r="AQ9" i="1"/>
  <c r="T9" i="1"/>
  <c r="AQ11" i="1"/>
  <c r="AR11" i="1"/>
  <c r="T11" i="1"/>
  <c r="AR12" i="1"/>
  <c r="T12" i="1"/>
  <c r="AQ12" i="1"/>
  <c r="AQ10" i="1"/>
  <c r="T10" i="1"/>
  <c r="AR10" i="1"/>
  <c r="AR7" i="1"/>
  <c r="AQ7" i="1"/>
  <c r="T7" i="1"/>
  <c r="M27" i="6"/>
  <c r="I19" i="6"/>
  <c r="C15" i="12"/>
  <c r="C12" i="12"/>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42" i="43" l="1"/>
  <c r="G42" i="43"/>
  <c r="I42" i="43" s="1"/>
  <c r="E40" i="43"/>
  <c r="G40" i="43"/>
  <c r="I40" i="43" s="1"/>
  <c r="E33" i="43"/>
  <c r="C34" i="43"/>
  <c r="E34" i="43" s="1"/>
  <c r="E37" i="43"/>
  <c r="G37" i="43"/>
  <c r="I37" i="43" s="1"/>
  <c r="E38" i="43"/>
  <c r="G38" i="43"/>
  <c r="I38" i="43" s="1"/>
  <c r="G39" i="43"/>
  <c r="I39" i="43" s="1"/>
  <c r="E39" i="43"/>
  <c r="G41" i="43"/>
  <c r="I41" i="43" s="1"/>
  <c r="E41" i="43"/>
  <c r="R26" i="6"/>
  <c r="R22" i="6"/>
  <c r="R9" i="1" s="1"/>
  <c r="R24" i="6"/>
  <c r="R11" i="1" s="1"/>
  <c r="C10" i="68"/>
  <c r="B29" i="1" s="1"/>
  <c r="C8" i="68" s="1"/>
  <c r="D8" i="74"/>
  <c r="D16" i="6"/>
  <c r="D19" i="69"/>
  <c r="C19" i="69" s="1"/>
  <c r="C24" i="69" s="1"/>
  <c r="R21" i="6"/>
  <c r="R8" i="1" s="1"/>
  <c r="C18" i="71"/>
  <c r="D19" i="71"/>
  <c r="E2" i="70"/>
  <c r="D27" i="6"/>
  <c r="F11" i="12"/>
  <c r="J53" i="15"/>
  <c r="C23" i="11"/>
  <c r="C22" i="11" s="1"/>
  <c r="F50" i="68"/>
  <c r="F34" i="11"/>
  <c r="C34" i="11" s="1"/>
  <c r="C26" i="12"/>
  <c r="D25" i="12" s="1"/>
  <c r="C26" i="11"/>
  <c r="D22" i="11" s="1"/>
  <c r="C26" i="68"/>
  <c r="D22" i="68" s="1"/>
  <c r="F50" i="69"/>
  <c r="F34" i="68"/>
  <c r="M59" i="15"/>
  <c r="L59" i="15" s="1"/>
  <c r="M59" i="67"/>
  <c r="C29" i="12"/>
  <c r="D28" i="12" s="1"/>
  <c r="F50" i="11"/>
  <c r="D30" i="6"/>
  <c r="R23" i="6"/>
  <c r="R10" i="1" s="1"/>
  <c r="R20" i="6"/>
  <c r="R7" i="1" s="1"/>
  <c r="C19" i="67"/>
  <c r="C20" i="67" s="1"/>
  <c r="C26" i="67" s="1"/>
  <c r="T16" i="1"/>
  <c r="C18" i="15"/>
  <c r="C15" i="15"/>
  <c r="H19" i="6"/>
  <c r="S19" i="6"/>
  <c r="S27" i="6" s="1"/>
  <c r="I27" i="6"/>
  <c r="C19" i="68"/>
  <c r="D37" i="68"/>
  <c r="C23" i="69"/>
  <c r="I69" i="39"/>
  <c r="J67" i="39"/>
  <c r="I63" i="40"/>
  <c r="H65" i="40"/>
  <c r="I58" i="21"/>
  <c r="J58" i="21" s="1"/>
  <c r="K58" i="21" s="1"/>
  <c r="L58" i="21" s="1"/>
  <c r="M58" i="21" s="1"/>
  <c r="N58" i="21" s="1"/>
  <c r="O58" i="21" s="1"/>
  <c r="H7" i="21" s="1"/>
  <c r="J48" i="35"/>
  <c r="C31" i="43" l="1"/>
  <c r="C6" i="68"/>
  <c r="C30" i="43"/>
  <c r="C18" i="12"/>
  <c r="D31" i="6"/>
  <c r="I6" i="6" s="1"/>
  <c r="D37" i="69"/>
  <c r="C37" i="69" s="1"/>
  <c r="C33" i="69" s="1"/>
  <c r="C39" i="69" s="1"/>
  <c r="C43" i="69" s="1"/>
  <c r="C17" i="71"/>
  <c r="D18" i="71"/>
  <c r="C37" i="11"/>
  <c r="C14" i="12"/>
  <c r="C16" i="12" s="1"/>
  <c r="L56" i="15"/>
  <c r="F1" i="15"/>
  <c r="Q52" i="15"/>
  <c r="Q61" i="15"/>
  <c r="Q74" i="15"/>
  <c r="C37" i="68"/>
  <c r="C31" i="11"/>
  <c r="C36" i="11"/>
  <c r="C36" i="68"/>
  <c r="C34" i="68"/>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AE8" i="1"/>
  <c r="F41" i="67"/>
  <c r="E6" i="76"/>
  <c r="AE6" i="1"/>
  <c r="E2" i="76" l="1"/>
  <c r="B2" i="43"/>
  <c r="C21" i="12"/>
  <c r="C22" i="12" s="1"/>
  <c r="I5" i="6"/>
  <c r="C42" i="69"/>
  <c r="C41" i="69" s="1"/>
  <c r="C16" i="71"/>
  <c r="D17" i="71"/>
  <c r="F69" i="67"/>
  <c r="C38" i="68"/>
  <c r="C35" i="68"/>
  <c r="W7" i="21"/>
  <c r="AA7" i="21"/>
  <c r="R48" i="21" s="1"/>
  <c r="R49" i="21" s="1"/>
  <c r="J7" i="35"/>
  <c r="W7" i="35" s="1"/>
  <c r="Q49" i="67"/>
  <c r="J14" i="67"/>
  <c r="J13" i="67" s="1"/>
  <c r="J23" i="67" s="1"/>
  <c r="C36" i="67"/>
  <c r="C57" i="67"/>
  <c r="C64" i="67" s="1"/>
  <c r="C13" i="67"/>
  <c r="Q70" i="67" s="1"/>
  <c r="C33" i="11"/>
  <c r="C39" i="11" s="1"/>
  <c r="C61" i="67"/>
  <c r="C23" i="15"/>
  <c r="C29" i="15" s="1"/>
  <c r="D13" i="77" s="1"/>
  <c r="D12" i="77" s="1"/>
  <c r="D11" i="77" s="1"/>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67"/>
  <c r="F35" i="15"/>
  <c r="F35" i="67"/>
  <c r="F41" i="15"/>
  <c r="M21" i="15"/>
  <c r="B6" i="76"/>
  <c r="B2" i="76" l="1"/>
  <c r="B3" i="76" s="1"/>
  <c r="B3" i="43"/>
  <c r="F69" i="15"/>
  <c r="C15" i="71"/>
  <c r="D16" i="71"/>
  <c r="U16" i="71" s="1"/>
  <c r="T16" i="71"/>
  <c r="E11" i="77"/>
  <c r="E7" i="77" s="1"/>
  <c r="C27" i="77" s="1"/>
  <c r="D7" i="77"/>
  <c r="C26" i="77" s="1"/>
  <c r="C32" i="77" s="1"/>
  <c r="C38" i="77" s="1"/>
  <c r="C39" i="77" s="1"/>
  <c r="C33" i="68"/>
  <c r="C39" i="68" s="1"/>
  <c r="C43" i="68"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D27" i="77"/>
  <c r="D26" i="77" s="1"/>
  <c r="D32" i="77" s="1"/>
  <c r="D38" i="77" s="1"/>
  <c r="D39" i="77" s="1"/>
  <c r="E27" i="77"/>
  <c r="E26" i="77" s="1"/>
  <c r="E32" i="77" s="1"/>
  <c r="E38" i="77" s="1"/>
  <c r="E39" i="77" s="1"/>
  <c r="C42" i="68"/>
  <c r="C41" i="68" s="1"/>
  <c r="C46" i="68"/>
  <c r="C45" i="68"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40" i="77"/>
  <c r="C41" i="77" s="1"/>
  <c r="C49" i="68"/>
  <c r="C51"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B2" i="77"/>
  <c r="C8" i="12" s="1"/>
  <c r="C4" i="12"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T12" i="71" l="1"/>
  <c r="D12" i="71"/>
  <c r="U12" i="71" s="1"/>
  <c r="C11" i="71"/>
  <c r="C31" i="12"/>
  <c r="C23" i="12"/>
  <c r="B3" i="77"/>
  <c r="C6" i="12"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1" i="1"/>
  <c r="AO12" i="1"/>
  <c r="AO10" i="1"/>
  <c r="C10" i="71" l="1"/>
  <c r="D11" i="71"/>
  <c r="C30" i="12"/>
  <c r="C28" i="12" s="1"/>
  <c r="C27" i="12"/>
  <c r="C25" i="12" s="1"/>
  <c r="R48" i="39"/>
  <c r="C48" i="39" s="1"/>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8" i="1"/>
  <c r="B6" i="70" l="1"/>
  <c r="C47" i="39"/>
  <c r="C9" i="71"/>
  <c r="D10" i="71"/>
  <c r="C32" i="12"/>
  <c r="B2" i="12" s="1"/>
  <c r="B8" i="70"/>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B2" i="70" l="1"/>
  <c r="B3" i="70" s="1"/>
  <c r="D102" i="9"/>
  <c r="D21" i="9"/>
  <c r="B3" i="12"/>
  <c r="C8" i="71"/>
  <c r="D9" i="71"/>
  <c r="F65" i="39"/>
  <c r="C42" i="40"/>
  <c r="C43" i="40"/>
  <c r="E47" i="40"/>
  <c r="F47" i="40" s="1"/>
  <c r="E46" i="40"/>
  <c r="F46" i="40" s="1"/>
  <c r="I47" i="40"/>
  <c r="J47" i="40" s="1"/>
  <c r="D20" i="9"/>
  <c r="D103" i="9" l="1"/>
  <c r="C7" i="71"/>
  <c r="D8" i="71"/>
  <c r="B2" i="39"/>
  <c r="B3" i="3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C5" i="71" l="1"/>
  <c r="D5" i="71" s="1"/>
  <c r="M24" i="43" s="1"/>
  <c r="D6" i="71"/>
  <c r="C23" i="68"/>
  <c r="C20" i="68"/>
  <c r="C28" i="68" l="1"/>
  <c r="C27" i="68" s="1"/>
  <c r="C25" i="68"/>
  <c r="C22" i="68" s="1"/>
  <c r="C31" i="68" l="1"/>
  <c r="C52" i="68" s="1"/>
  <c r="C57" i="68" s="1"/>
  <c r="C56" i="68" s="1"/>
  <c r="B2" i="68" l="1"/>
  <c r="C19" i="9"/>
  <c r="C102" i="9" l="1"/>
  <c r="D22" i="9"/>
  <c r="G19" i="9"/>
  <c r="G21" i="9" s="1"/>
  <c r="C21" i="9"/>
  <c r="B3" i="68"/>
  <c r="C20" i="9"/>
  <c r="D35" i="9"/>
  <c r="D34" i="9"/>
  <c r="C103" i="9" l="1"/>
  <c r="G20" i="9"/>
  <c r="C32" i="9" s="1"/>
  <c r="C35" i="9" l="1"/>
  <c r="C34" i="9" s="1"/>
  <c r="D118" i="9" s="1"/>
  <c r="D4" i="52" s="1"/>
  <c r="B47" i="72" s="1"/>
  <c r="H118" i="9"/>
  <c r="C104" i="9" s="1"/>
  <c r="H101" i="9" l="1"/>
  <c r="D5" i="53" s="1"/>
  <c r="F118" i="9"/>
  <c r="F119" i="9" s="1"/>
  <c r="F5" i="52" s="1"/>
  <c r="B53" i="72" s="1"/>
  <c r="H119" i="9"/>
  <c r="H5" i="52" s="1"/>
  <c r="D119" i="9"/>
  <c r="D5" i="52" s="1"/>
  <c r="B49" i="72" s="1"/>
  <c r="H4" i="52"/>
  <c r="I118" i="9"/>
  <c r="M48" i="9" l="1"/>
  <c r="D45" i="9"/>
  <c r="C93" i="9" s="1"/>
  <c r="C86" i="9" s="1"/>
  <c r="F4" i="52"/>
  <c r="B51" i="72" s="1"/>
  <c r="H107" i="9"/>
  <c r="G14" i="74" s="1"/>
  <c r="D14" i="74"/>
  <c r="G118" i="9"/>
  <c r="G4" i="52" s="1"/>
  <c r="B52" i="72" s="1"/>
  <c r="D6" i="53"/>
  <c r="B22" i="72" s="1"/>
  <c r="B20" i="72"/>
  <c r="I4" i="52"/>
  <c r="H102" i="9"/>
  <c r="C105" i="9"/>
  <c r="C72" i="9" l="1"/>
  <c r="D53" i="9"/>
  <c r="D55" i="9"/>
  <c r="M53" i="9" s="1"/>
  <c r="D52" i="9"/>
  <c r="C85" i="9"/>
  <c r="C95" i="9" s="1"/>
  <c r="C96" i="9" s="1"/>
  <c r="E96" i="9" s="1"/>
  <c r="E97" i="9" s="1"/>
  <c r="C64" i="9"/>
  <c r="C63" i="9" s="1"/>
  <c r="C67" i="9" s="1"/>
  <c r="D59" i="9" s="1"/>
  <c r="M55" i="9" s="1"/>
  <c r="C78" i="9"/>
  <c r="C73" i="9" s="1"/>
  <c r="F14" i="74"/>
  <c r="E14" i="74"/>
  <c r="M49" i="9"/>
  <c r="D122" i="9"/>
  <c r="D13" i="53"/>
  <c r="E118" i="9"/>
  <c r="E4" i="52" s="1"/>
  <c r="B48" i="72" s="1"/>
  <c r="D7" i="53"/>
  <c r="B21" i="72" s="1"/>
  <c r="H108" i="9"/>
  <c r="C79" i="9" l="1"/>
  <c r="C80" i="9" s="1"/>
  <c r="E80" i="9" s="1"/>
  <c r="E81" i="9" s="1"/>
  <c r="C68" i="9"/>
  <c r="D54" i="9" s="1"/>
  <c r="L63" i="9"/>
  <c r="M63" i="9" s="1"/>
  <c r="L67" i="9"/>
  <c r="M67" i="9" s="1"/>
  <c r="L66" i="9"/>
  <c r="M66" i="9" s="1"/>
  <c r="L65" i="9"/>
  <c r="M65" i="9" s="1"/>
  <c r="L64" i="9"/>
  <c r="M64" i="9" s="1"/>
  <c r="L68" i="9"/>
  <c r="M68" i="9" s="1"/>
  <c r="B30" i="72"/>
  <c r="D14" i="53"/>
  <c r="B32" i="72" s="1"/>
  <c r="D8" i="52"/>
  <c r="D123" i="9"/>
  <c r="D9" i="52" s="1"/>
  <c r="C97" i="9"/>
  <c r="D58" i="9" s="1"/>
  <c r="D56" i="9" s="1"/>
  <c r="M54" i="9" s="1"/>
  <c r="N57" i="9" s="1"/>
  <c r="N58" i="9" s="1"/>
  <c r="D15" i="53"/>
  <c r="B31" i="72" s="1"/>
  <c r="M69" i="9" l="1"/>
  <c r="N69" i="9" s="1"/>
  <c r="N59" i="9"/>
  <c r="N61" i="9" s="1"/>
  <c r="P57" i="9"/>
  <c r="C81" i="9"/>
  <c r="N60" i="9" l="1"/>
  <c r="E17" i="74" l="1"/>
  <c r="F17" i="74"/>
  <c r="E16" i="74" l="1"/>
  <c r="F16" i="74"/>
  <c r="B5" i="74"/>
  <c r="B6"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<sst xmlns="http://schemas.openxmlformats.org/spreadsheetml/2006/main" count="9063" uniqueCount="3855">
  <si>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</si>
  <si>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</si>
  <si>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</si>
  <si>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</si>
  <si>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</si>
  <si>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</si>
  <si>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</si>
  <si>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</si>
  <si>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</si>
  <si>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</si>
  <si>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</si>
  <si>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</si>
  <si>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</si>
  <si>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</si>
  <si>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</si>
  <si>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</si>
  <si>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</si>
  <si>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</si>
  <si>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</si>
  <si>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</si>
  <si>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</si>
  <si>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</si>
  <si>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</si>
  <si>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</si>
  <si>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</si>
  <si>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</si>
  <si>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</si>
  <si>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</si>
  <si>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</si>
  <si>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</si>
  <si>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</si>
  <si>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</si>
  <si>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</si>
  <si>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</si>
  <si>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</si>
  <si>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</si>
  <si>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</si>
  <si>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</si>
  <si>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</si>
  <si>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</si>
  <si>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</si>
  <si>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</si>
  <si>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</si>
  <si>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</si>
  <si>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</si>
  <si>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</si>
  <si>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</si>
  <si>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</si>
  <si>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</si>
  <si>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</si>
  <si>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</si>
  <si>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</si>
  <si>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</si>
  <si>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</si>
  <si>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</si>
  <si>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</si>
  <si>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</si>
  <si>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</si>
  <si>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</si>
  <si>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</si>
  <si>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</si>
  <si>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</si>
  <si>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</si>
  <si>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</si>
  <si>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</si>
  <si>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</si>
  <si>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</si>
  <si>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</si>
  <si>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</si>
  <si>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</si>
  <si>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</si>
  <si>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</si>
  <si>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</si>
  <si>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</si>
  <si>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</si>
  <si>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</si>
  <si>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</si>
  <si>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</si>
  <si>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</si>
  <si>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</si>
  <si>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</si>
  <si>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</si>
  <si>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</si>
  <si>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</si>
  <si>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</si>
  <si>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</si>
  <si>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</si>
  <si>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</si>
  <si>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</si>
  <si>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</si>
  <si>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</si>
  <si>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</si>
  <si>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</si>
  <si>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</si>
  <si>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</si>
  <si>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</si>
  <si>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</si>
  <si>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</si>
  <si>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</si>
  <si>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</si>
  <si>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</si>
  <si>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</si>
  <si>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</si>
  <si>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</si>
  <si>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</si>
  <si>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</si>
  <si>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</si>
  <si>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</si>
  <si>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</si>
  <si>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</si>
  <si>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</si>
  <si>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</si>
  <si>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</si>
  <si>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</si>
  <si>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</si>
  <si>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</si>
  <si>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</si>
  <si>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</si>
  <si>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</si>
  <si>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</si>
  <si>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</si>
  <si>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</si>
  <si>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</si>
  <si>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</si>
  <si>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</si>
  <si>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</si>
  <si>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</si>
  <si>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</si>
  <si>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</si>
  <si>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</si>
  <si>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</si>
  <si>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</si>
  <si>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</si>
  <si>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</si>
  <si>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</si>
  <si>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</si>
  <si>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</si>
  <si>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</si>
  <si>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</si>
  <si>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</si>
  <si>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</si>
  <si>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</si>
  <si>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</si>
  <si>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</si>
  <si>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</si>
  <si>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</si>
  <si>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</si>
  <si>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</si>
  <si>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</si>
  <si>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</si>
  <si>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</si>
  <si>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</si>
  <si>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</si>
  <si>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</si>
  <si>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</si>
  <si>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</si>
  <si>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</si>
  <si>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</si>
  <si>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</si>
  <si>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</si>
  <si>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</si>
  <si>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</si>
  <si>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</si>
  <si>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</si>
  <si>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</si>
  <si>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</si>
  <si>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</si>
  <si>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</si>
  <si>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</si>
  <si>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</si>
  <si>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</si>
  <si>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</si>
  <si>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</si>
  <si>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</si>
  <si>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</si>
  <si>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</si>
  <si>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</si>
  <si>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</si>
  <si>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</si>
  <si>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</si>
  <si>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</si>
  <si>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</si>
  <si>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</si>
  <si>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</si>
  <si>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</si>
  <si>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</si>
  <si>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</si>
  <si>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</si>
  <si>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</si>
  <si>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</si>
  <si>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</si>
  <si>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</si>
  <si>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</si>
  <si>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</si>
  <si>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</si>
  <si>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</si>
  <si>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</si>
  <si>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</si>
  <si>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</si>
  <si>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</si>
  <si>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</si>
  <si>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</si>
  <si>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</si>
  <si>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</si>
  <si>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</si>
  <si>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</si>
  <si>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</si>
  <si>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</si>
  <si>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</si>
  <si>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</si>
  <si>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</si>
  <si>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</si>
  <si>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</si>
  <si>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</si>
  <si>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</si>
  <si>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</si>
  <si>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</si>
  <si>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</si>
  <si>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</si>
  <si>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</si>
  <si>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</si>
  <si>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</si>
  <si>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</si>
  <si>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</si>
  <si>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</si>
  <si>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</si>
  <si>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</si>
  <si>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</si>
  <si>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</si>
  <si>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</si>
  <si>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</si>
  <si>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</si>
  <si>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</si>
  <si>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</si>
  <si>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</si>
  <si>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</si>
  <si>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</si>
  <si>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</si>
  <si>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</si>
  <si>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</si>
  <si>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</si>
  <si>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</si>
  <si>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</si>
  <si>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</si>
  <si>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</si>
  <si>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</si>
  <si>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</si>
  <si>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</si>
  <si>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</si>
  <si>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</si>
  <si>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</si>
  <si>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</si>
  <si>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</si>
  <si>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</si>
  <si>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</si>
  <si>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</si>
  <si>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</si>
  <si>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</si>
  <si>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</si>
  <si>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</si>
  <si>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</si>
  <si>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</si>
  <si>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</si>
  <si>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</si>
  <si>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</si>
  <si>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</si>
  <si>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</si>
  <si>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</si>
  <si>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</si>
  <si>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</si>
  <si>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</si>
  <si>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</si>
  <si>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</si>
  <si>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</si>
  <si>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</si>
  <si>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</si>
  <si>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</si>
  <si>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</si>
  <si>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</si>
  <si>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</si>
  <si>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</si>
  <si>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</si>
  <si>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</si>
  <si>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</si>
  <si>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</si>
  <si>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</si>
  <si>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</si>
  <si>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</si>
  <si>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</si>
  <si>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</si>
  <si>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</si>
  <si>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</si>
  <si>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</si>
  <si>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</si>
  <si>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</si>
  <si>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</si>
  <si>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</si>
  <si>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</si>
  <si>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</si>
  <si>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</si>
  <si>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</si>
  <si>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</si>
  <si>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</si>
  <si>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</si>
  <si>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</si>
  <si>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</si>
  <si>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</si>
  <si>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</si>
  <si>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</si>
  <si>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</si>
  <si>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</si>
  <si>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</si>
  <si>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</si>
  <si>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</si>
  <si>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</si>
  <si>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</si>
  <si>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</si>
  <si>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</si>
  <si>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</si>
  <si>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</si>
  <si>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</si>
  <si>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</si>
  <si>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</si>
  <si>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</si>
  <si>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</si>
  <si>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</si>
  <si>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</si>
  <si>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</si>
  <si>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</si>
  <si>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</si>
  <si>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</si>
  <si>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</si>
  <si>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</si>
  <si>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</si>
  <si>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</si>
  <si>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</si>
  <si>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</si>
  <si>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</si>
  <si>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</si>
  <si>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</si>
  <si>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</si>
  <si>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</si>
  <si>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</si>
  <si>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</si>
  <si>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</si>
  <si>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</si>
  <si>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</si>
  <si>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</si>
  <si>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</si>
  <si>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</si>
  <si>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</si>
  <si>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</si>
  <si>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</si>
  <si>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</si>
  <si>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</si>
  <si>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</si>
  <si>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</si>
  <si>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</si>
  <si>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</si>
  <si>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</si>
  <si>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</si>
  <si>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</si>
  <si>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</si>
  <si>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</si>
  <si>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</si>
  <si>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</si>
  <si>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</si>
  <si>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</si>
  <si>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</si>
  <si>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</si>
  <si>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</si>
  <si>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</si>
  <si>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</si>
  <si>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</si>
  <si>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</si>
  <si>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</si>
  <si>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</si>
  <si>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</si>
  <si>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</si>
  <si>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</si>
  <si>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</si>
  <si>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</si>
  <si>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</si>
  <si>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</si>
  <si>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</si>
  <si>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</si>
  <si>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</si>
  <si>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</si>
  <si>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</si>
  <si>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</si>
  <si>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</si>
  <si>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</si>
  <si>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</si>
  <si>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</si>
  <si>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</si>
  <si>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</si>
  <si>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</si>
  <si>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</si>
  <si>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</si>
  <si>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</si>
  <si>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</si>
  <si>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</si>
  <si>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</si>
  <si>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</si>
  <si>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</si>
  <si>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</si>
  <si>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</si>
  <si>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</si>
  <si>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</si>
  <si>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</si>
  <si>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</si>
  <si>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</si>
  <si>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</si>
  <si>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</si>
  <si>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</si>
  <si>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</si>
  <si>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</si>
  <si>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</si>
  <si>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</si>
  <si>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</si>
  <si>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</si>
  <si>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</si>
  <si>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</si>
  <si>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</si>
  <si>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</si>
  <si>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</si>
  <si>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</si>
  <si>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</si>
  <si>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</si>
  <si>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</si>
  <si>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</si>
  <si>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</si>
  <si>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</si>
  <si>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</si>
  <si>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</si>
  <si>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</si>
  <si>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</si>
  <si>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</si>
  <si>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</si>
  <si>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</si>
  <si>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</si>
  <si>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</si>
  <si>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</si>
  <si>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</si>
  <si>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</si>
  <si>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</si>
  <si>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</si>
  <si>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</si>
  <si>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</si>
  <si>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</si>
  <si>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</si>
  <si>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</si>
  <si>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</si>
  <si>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</si>
  <si>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</si>
  <si>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</si>
  <si>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</si>
  <si>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</si>
  <si>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</si>
  <si>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</si>
  <si>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</si>
  <si>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</si>
  <si>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</si>
  <si>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</si>
  <si>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</si>
  <si>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</si>
  <si>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</si>
  <si>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</si>
  <si>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</si>
  <si>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</si>
  <si>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</si>
  <si>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</si>
  <si>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</si>
  <si>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</si>
  <si>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</si>
  <si>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</si>
  <si>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</si>
  <si>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</si>
  <si>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</si>
  <si>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</si>
  <si>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</si>
  <si>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</si>
  <si>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</si>
  <si>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</si>
  <si>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</si>
  <si>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</si>
  <si>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</si>
  <si>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</si>
  <si>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</si>
  <si>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</si>
  <si>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</si>
  <si>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</si>
  <si>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</si>
  <si>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</si>
  <si>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</si>
  <si>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</si>
  <si>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</si>
  <si>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</si>
  <si>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</si>
  <si>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</si>
  <si>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</si>
  <si>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</si>
  <si>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</si>
  <si>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</si>
  <si>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</si>
  <si>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</si>
  <si>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</si>
  <si>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</si>
  <si>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</si>
  <si>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</si>
  <si>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</si>
  <si>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</si>
  <si>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</si>
  <si>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</si>
  <si>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</si>
  <si>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</si>
  <si>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</si>
  <si>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</si>
  <si>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</si>
  <si>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</si>
  <si>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</si>
  <si>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</si>
  <si>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</si>
  <si>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</si>
  <si>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</si>
  <si>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</si>
  <si>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</si>
  <si>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</si>
  <si>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</si>
  <si>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</si>
  <si>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</si>
  <si>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</si>
  <si>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</si>
  <si>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</si>
  <si>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</si>
  <si>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</si>
  <si>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</si>
  <si>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</si>
  <si>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</si>
  <si>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</si>
  <si>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</si>
  <si>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</si>
  <si>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</si>
  <si>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</si>
  <si>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</si>
  <si>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</si>
  <si>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</si>
  <si>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</si>
  <si>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</si>
  <si>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</si>
  <si>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</si>
  <si>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</si>
  <si>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</si>
  <si>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</si>
  <si>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</si>
  <si>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</si>
  <si>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</si>
  <si>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</si>
  <si>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</si>
  <si>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</si>
  <si>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</si>
  <si>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</si>
  <si>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</si>
  <si>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</si>
  <si>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</si>
  <si>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</si>
  <si>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</si>
  <si>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</si>
  <si>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</si>
  <si>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</si>
  <si>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</si>
  <si>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</si>
  <si>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</si>
  <si>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</si>
  <si>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</si>
  <si>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</si>
  <si>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</si>
  <si>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</si>
  <si>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</si>
  <si>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</si>
  <si>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</si>
  <si>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</si>
  <si>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</si>
  <si>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</si>
  <si>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</si>
  <si>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</si>
  <si>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</si>
  <si>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</si>
  <si>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</si>
  <si>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</si>
  <si>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</si>
  <si>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</si>
  <si>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</si>
  <si>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</si>
  <si>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</si>
  <si>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</si>
  <si>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</si>
  <si>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</si>
  <si>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</si>
  <si>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</si>
  <si>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</si>
  <si>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</si>
  <si>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</si>
  <si>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</si>
  <si>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</si>
  <si>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</si>
  <si>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</si>
  <si>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</si>
  <si>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</si>
  <si>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</si>
  <si>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</si>
  <si>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</si>
  <si>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</si>
  <si>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</si>
  <si>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</si>
  <si>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</si>
  <si>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</si>
  <si>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</si>
  <si>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</si>
  <si>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</si>
  <si>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</si>
  <si>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</si>
  <si>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</si>
  <si>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</si>
  <si>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</si>
  <si>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</si>
  <si>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</si>
  <si>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</si>
  <si>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</si>
  <si>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</si>
  <si>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</si>
  <si>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</si>
  <si>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</si>
  <si>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</si>
  <si>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</si>
  <si>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</si>
  <si>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</si>
  <si>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</si>
  <si>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</si>
  <si>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</si>
  <si>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</si>
  <si>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</si>
  <si>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</si>
  <si>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</si>
  <si>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</si>
  <si>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</si>
  <si>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</si>
  <si>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</si>
  <si>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</si>
  <si>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</si>
  <si>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</si>
  <si>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</si>
  <si>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</si>
  <si>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</si>
  <si>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</si>
  <si>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</si>
  <si>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</si>
  <si>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</si>
  <si>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</si>
  <si>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</si>
  <si>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</si>
  <si>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</si>
  <si>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</si>
  <si>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</si>
  <si>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</si>
  <si>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</si>
  <si>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</si>
  <si>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</si>
  <si>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</si>
  <si>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</si>
  <si>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</si>
  <si>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</si>
  <si>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</si>
  <si>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</si>
  <si>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</si>
  <si>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</si>
  <si>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</si>
  <si>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</si>
  <si>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</si>
  <si>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</si>
  <si>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</si>
  <si>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</si>
  <si>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</si>
  <si>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</si>
  <si>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</si>
  <si>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</si>
  <si>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</si>
  <si>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</si>
  <si>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</si>
  <si>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</si>
  <si>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</si>
  <si>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</si>
  <si>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</si>
  <si>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</si>
  <si>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</si>
  <si>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</si>
  <si>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</si>
  <si>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</si>
  <si>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</si>
  <si>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</si>
  <si>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</si>
  <si>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</si>
  <si>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</si>
  <si>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</si>
  <si>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</si>
  <si>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</si>
  <si>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</si>
  <si>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</si>
  <si>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</si>
  <si>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</si>
  <si>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</si>
  <si>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</si>
  <si>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</si>
  <si>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</si>
  <si>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</si>
  <si>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</si>
  <si>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</si>
  <si>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</si>
  <si>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</si>
  <si>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</si>
  <si>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</si>
  <si>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</si>
  <si>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</si>
  <si>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</si>
  <si>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</si>
  <si>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</si>
  <si>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</si>
  <si>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</si>
  <si>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</si>
  <si>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</si>
  <si>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</si>
  <si>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</si>
  <si>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</si>
  <si>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</si>
  <si>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</si>
  <si>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</si>
  <si>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</si>
  <si>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</si>
  <si>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</si>
  <si>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</si>
  <si>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</si>
  <si>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</si>
  <si>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</si>
  <si>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</si>
  <si>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</si>
  <si>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</si>
  <si>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</si>
  <si>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</si>
  <si>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</si>
  <si>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</si>
  <si>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</si>
  <si>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</si>
  <si>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</si>
  <si>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</si>
  <si>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</si>
  <si>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</si>
  <si>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</si>
  <si>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</si>
  <si>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</si>
  <si>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</si>
  <si>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</si>
  <si>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</si>
  <si>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</si>
  <si>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</si>
  <si>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</si>
  <si>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</si>
  <si>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</si>
  <si>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</si>
  <si>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</si>
  <si>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</si>
  <si>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</si>
  <si>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</si>
  <si>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</si>
  <si>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</si>
  <si>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</si>
  <si>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</si>
  <si>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</si>
  <si>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</si>
  <si>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</si>
  <si>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</si>
  <si>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</si>
  <si>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</si>
  <si>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</si>
  <si>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</si>
  <si>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</si>
  <si>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</si>
  <si>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</si>
  <si>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</si>
  <si>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</si>
  <si>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</si>
  <si>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</si>
  <si>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</si>
  <si>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</si>
  <si>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</si>
  <si>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</si>
  <si>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</si>
  <si>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</si>
  <si>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</si>
  <si>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</si>
  <si>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</si>
  <si>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</si>
  <si>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</si>
  <si>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</si>
  <si>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</si>
  <si>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</si>
  <si>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</si>
  <si>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</si>
  <si>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</si>
  <si>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</si>
  <si>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</si>
  <si>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</si>
  <si>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</si>
  <si>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</si>
  <si>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</si>
  <si>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</si>
  <si>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</si>
  <si>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</si>
  <si>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</si>
  <si>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</si>
  <si>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</si>
  <si>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</si>
  <si>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</si>
  <si>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</si>
  <si>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</si>
  <si>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</si>
  <si>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</si>
  <si>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</si>
  <si>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</si>
  <si>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</si>
  <si>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</si>
  <si>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</si>
  <si>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</si>
  <si>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</si>
  <si>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</si>
  <si>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</si>
  <si>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</si>
  <si>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</si>
  <si>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</si>
  <si>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</si>
  <si>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</si>
  <si>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</si>
  <si>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</si>
  <si>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</si>
  <si>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</si>
  <si>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</si>
  <si>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</si>
  <si>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</si>
  <si>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</si>
  <si>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</si>
  <si>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</si>
  <si>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</si>
  <si>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</si>
  <si>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</si>
  <si>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</si>
  <si>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</si>
  <si>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</si>
  <si>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</si>
  <si>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</si>
  <si>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</si>
  <si>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</si>
  <si>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</si>
  <si>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</si>
  <si>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</si>
  <si>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</si>
  <si>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</si>
  <si>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</si>
  <si>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</si>
  <si>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</si>
  <si>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</si>
  <si>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</si>
  <si>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</si>
  <si>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</si>
  <si>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</si>
  <si>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</si>
  <si>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</si>
  <si>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</si>
  <si>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</si>
  <si>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</si>
  <si>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</si>
  <si>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</si>
  <si>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</si>
  <si>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</si>
  <si>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</si>
  <si>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</si>
  <si>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</si>
  <si>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</si>
  <si>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</si>
  <si>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</si>
  <si>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</si>
  <si>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</si>
  <si>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</si>
  <si>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</si>
  <si>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</si>
  <si>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</si>
  <si>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</si>
  <si>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</si>
  <si>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</si>
  <si>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</si>
  <si>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</si>
  <si>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</si>
  <si>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</si>
  <si>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</si>
  <si>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</si>
  <si>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</si>
  <si>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</si>
  <si>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</si>
  <si>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</si>
  <si>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</si>
  <si>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</si>
  <si>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</si>
  <si>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</si>
  <si>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</si>
  <si>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</si>
  <si>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</si>
  <si>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</si>
  <si>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</si>
  <si>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</si>
  <si>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</si>
  <si>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</si>
  <si>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</si>
  <si>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</si>
  <si>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</si>
  <si>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</si>
  <si>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</si>
  <si>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</si>
  <si>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</si>
  <si>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</si>
  <si>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</si>
  <si>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</si>
  <si>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</si>
  <si>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</si>
  <si>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</si>
  <si>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</si>
  <si>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</si>
  <si>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</si>
  <si>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</si>
  <si>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</si>
  <si>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</si>
  <si>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</si>
  <si>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</si>
  <si>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</si>
  <si>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</si>
  <si>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</si>
  <si>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</si>
  <si>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</si>
  <si>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</si>
  <si>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</si>
  <si>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</si>
  <si>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</si>
  <si>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</si>
  <si>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</si>
  <si>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</si>
  <si>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</si>
  <si>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</si>
  <si>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</si>
  <si>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</si>
  <si>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</si>
  <si>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</si>
  <si>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</si>
  <si>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</si>
  <si>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</si>
  <si>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</si>
  <si>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</si>
  <si>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</si>
  <si>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</si>
  <si>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</si>
  <si>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</si>
  <si>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</si>
  <si>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</si>
  <si>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</si>
  <si>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</si>
  <si>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</si>
  <si>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</si>
  <si>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</si>
  <si>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</si>
  <si>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</si>
  <si>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</si>
  <si>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</si>
  <si>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</si>
  <si>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</si>
  <si>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</si>
  <si>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</si>
  <si>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</si>
  <si>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</si>
  <si>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</si>
  <si>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</si>
  <si>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</si>
  <si>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</si>
  <si>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</si>
  <si>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</si>
  <si>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</si>
  <si>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</si>
  <si>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</si>
  <si>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</si>
  <si>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</si>
  <si>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</si>
  <si>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</si>
  <si>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</si>
  <si>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</si>
  <si>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</si>
  <si>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</si>
  <si>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</si>
  <si>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</si>
  <si>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</si>
  <si>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</si>
  <si>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</si>
  <si>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</si>
  <si>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</si>
  <si>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</si>
  <si>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</si>
  <si>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</si>
  <si>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</si>
  <si>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</si>
  <si>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</si>
  <si>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</si>
  <si>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</si>
  <si>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</si>
  <si>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</si>
  <si>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</si>
  <si>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</si>
  <si>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</si>
  <si>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</si>
  <si>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</si>
  <si>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</si>
  <si>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</si>
  <si>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</si>
  <si>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</si>
  <si>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</si>
  <si>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</si>
  <si>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</si>
  <si>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</si>
  <si>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</si>
  <si>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</si>
  <si>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</si>
  <si>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</si>
  <si>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</si>
  <si>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</si>
  <si>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</si>
  <si>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</si>
  <si>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</si>
  <si>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</si>
  <si>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</si>
  <si>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</si>
  <si>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</si>
  <si>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</si>
  <si>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</si>
  <si>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</si>
  <si>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</si>
  <si>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</si>
  <si>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</si>
  <si>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</si>
  <si>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</si>
  <si>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</si>
  <si>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</si>
  <si>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</si>
  <si>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</si>
  <si>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</si>
  <si>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</si>
  <si>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</si>
  <si>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</si>
  <si>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</si>
  <si>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</si>
  <si>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</si>
  <si>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</si>
  <si>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</si>
  <si>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</si>
  <si>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</si>
  <si>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</si>
  <si>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</si>
  <si>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</si>
  <si>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</si>
  <si>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</si>
  <si>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</si>
  <si>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</si>
  <si>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</si>
  <si>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</si>
  <si>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</si>
  <si>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</si>
  <si>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</si>
  <si>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</si>
  <si>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</si>
  <si>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</si>
  <si>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</si>
  <si>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</si>
  <si>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</si>
  <si>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</si>
  <si>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</si>
  <si>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</si>
  <si>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</si>
  <si>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</si>
  <si>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</si>
  <si>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</si>
  <si>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</si>
  <si>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</si>
  <si>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</si>
  <si>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</si>
  <si>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</si>
  <si>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</si>
  <si>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</si>
  <si>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</si>
  <si>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</si>
  <si>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</si>
  <si>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</si>
  <si>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</si>
  <si>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</si>
  <si>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</si>
  <si>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</si>
  <si>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</si>
  <si>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</si>
  <si>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</si>
  <si>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</si>
  <si>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</si>
  <si>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</si>
  <si>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</si>
  <si>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</si>
  <si>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</si>
  <si>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</si>
  <si>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</si>
  <si>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</si>
  <si>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</si>
  <si>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</si>
  <si>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</si>
  <si>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</si>
  <si>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</si>
  <si>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</si>
  <si>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</si>
  <si>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</si>
  <si>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</si>
  <si>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</si>
  <si>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</si>
  <si>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</si>
  <si>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</si>
  <si>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</si>
  <si>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</si>
  <si>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</si>
  <si>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</si>
  <si>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</si>
  <si>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</si>
  <si>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</si>
  <si>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</si>
  <si>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</si>
  <si>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</si>
  <si>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</si>
  <si>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</si>
  <si>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</si>
  <si>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</si>
  <si>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</si>
  <si>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</si>
  <si>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</si>
  <si>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</si>
  <si>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</si>
  <si>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</si>
  <si>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</si>
  <si>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</si>
  <si>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</si>
  <si>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</si>
  <si>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</si>
  <si>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</si>
  <si>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</si>
  <si>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</si>
  <si>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</si>
  <si>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</si>
  <si>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</si>
  <si>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</si>
  <si>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</si>
  <si>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</si>
  <si>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</si>
  <si>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</si>
  <si>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</si>
  <si>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</si>
  <si>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</si>
  <si>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</si>
  <si>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</si>
  <si>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</si>
  <si>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</si>
  <si>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</si>
  <si>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</si>
  <si>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</si>
  <si>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</si>
  <si>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</si>
  <si>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</si>
  <si>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</si>
  <si>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</si>
  <si>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</si>
  <si>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</si>
  <si>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</si>
  <si>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</si>
  <si>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</si>
  <si>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</si>
  <si>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</si>
  <si>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</si>
  <si>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</si>
  <si>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</si>
  <si>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</si>
  <si>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</si>
  <si>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</si>
  <si>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</si>
  <si>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</si>
  <si>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</si>
  <si>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</si>
  <si>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</si>
  <si>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</si>
  <si>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</si>
  <si>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</si>
  <si>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</si>
  <si>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</si>
  <si>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</si>
  <si>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</si>
  <si>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</si>
  <si>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</si>
  <si>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</si>
  <si>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</si>
  <si>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</si>
  <si>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</si>
  <si>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</si>
  <si>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</si>
  <si>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</si>
  <si>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</si>
  <si>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</si>
  <si>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</si>
  <si>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</si>
  <si>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</si>
  <si>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</si>
  <si>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</si>
  <si>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</si>
  <si>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</si>
  <si>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</si>
  <si>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</si>
  <si>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</si>
  <si>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</si>
  <si>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</si>
  <si>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</si>
  <si>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</si>
  <si>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</si>
  <si>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</si>
  <si>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</si>
  <si>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</si>
  <si>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</si>
  <si>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</si>
  <si>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</si>
  <si>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</si>
  <si>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</si>
  <si>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</si>
  <si>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</si>
  <si>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</si>
  <si>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</si>
  <si>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</si>
  <si>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</si>
  <si>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</si>
  <si>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</si>
  <si>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</si>
  <si>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</si>
  <si>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</si>
  <si>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</si>
  <si>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</si>
  <si>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</si>
  <si>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</si>
  <si>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</si>
  <si>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</si>
  <si>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</si>
  <si>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</si>
  <si>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</si>
  <si>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</si>
  <si>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</si>
  <si>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</si>
  <si>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</si>
  <si>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</si>
  <si>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</si>
  <si>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</si>
  <si>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</si>
  <si>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</si>
  <si>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</si>
  <si>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</si>
  <si>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</si>
  <si>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</si>
  <si>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</si>
  <si>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</si>
  <si>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</si>
  <si>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</si>
  <si>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</si>
  <si>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</si>
  <si>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</si>
  <si>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</si>
  <si>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</si>
  <si>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</si>
  <si>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</si>
  <si>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</si>
  <si>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</si>
  <si>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</si>
  <si>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</si>
  <si>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</si>
  <si>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</si>
  <si>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</si>
  <si>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</si>
  <si>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</si>
  <si>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</si>
  <si>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</si>
  <si>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</si>
  <si>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</si>
  <si>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</si>
  <si>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</si>
  <si>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</si>
  <si>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</si>
  <si>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</si>
  <si>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</si>
  <si>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</si>
  <si>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</si>
  <si>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</si>
  <si>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</si>
  <si>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</si>
  <si>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</si>
  <si>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</si>
  <si>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</si>
  <si>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</si>
  <si>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</si>
  <si>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</si>
  <si>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</si>
  <si>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</si>
  <si>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</si>
  <si>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</si>
  <si>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</si>
  <si>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</si>
  <si>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</si>
  <si>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</si>
  <si>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</si>
  <si>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</si>
  <si>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</si>
  <si>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</si>
  <si>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</si>
  <si>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</si>
  <si>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</si>
  <si>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</si>
  <si>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</si>
  <si>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</si>
  <si>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</si>
  <si>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</si>
  <si>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</si>
  <si>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</si>
  <si>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</si>
  <si>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</si>
  <si>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</si>
  <si>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</si>
  <si>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</si>
  <si>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</si>
  <si>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</si>
  <si>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</si>
  <si>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</si>
  <si>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</si>
  <si>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</si>
  <si>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</si>
  <si>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</si>
  <si>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</si>
  <si>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</si>
  <si>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</si>
  <si>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</si>
  <si>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</si>
  <si>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</si>
  <si>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</si>
  <si>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</si>
  <si>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</si>
  <si>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</si>
  <si>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</si>
  <si>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</si>
  <si>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</si>
  <si>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</si>
  <si>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</si>
  <si>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</si>
  <si>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</si>
  <si>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</si>
  <si>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</si>
  <si>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</si>
  <si>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</si>
  <si>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</si>
  <si>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</si>
  <si>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</si>
  <si>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</si>
  <si>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</si>
  <si>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</si>
  <si>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</si>
  <si>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</si>
  <si>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</si>
  <si>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</si>
  <si>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</si>
  <si>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</si>
  <si>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</si>
  <si>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</si>
  <si>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</si>
  <si>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</si>
  <si>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</si>
  <si>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</si>
  <si>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</si>
  <si>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</si>
  <si>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</si>
  <si>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</si>
  <si>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</si>
  <si>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</si>
  <si>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</si>
  <si>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</si>
  <si>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</si>
  <si>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</si>
  <si>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</si>
  <si>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</si>
  <si>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</si>
  <si>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</si>
  <si>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</si>
  <si>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</si>
  <si>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</si>
  <si>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</si>
  <si>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</si>
  <si>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</si>
  <si>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</si>
  <si>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</si>
  <si>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</si>
  <si>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</si>
  <si>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</si>
  <si>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</si>
  <si>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</si>
  <si>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</si>
  <si>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</si>
  <si>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</si>
  <si>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</si>
  <si>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</si>
  <si>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</si>
  <si>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</si>
  <si>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</si>
  <si>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</si>
  <si>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</si>
  <si>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</si>
  <si>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</si>
  <si>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</si>
  <si>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</si>
  <si>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</si>
  <si>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</si>
  <si>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</si>
  <si>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</si>
  <si>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</si>
  <si>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</si>
  <si>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</si>
  <si>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</si>
  <si>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</si>
  <si>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</si>
  <si>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</si>
  <si>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</si>
  <si>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</si>
  <si>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</si>
  <si>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</si>
  <si>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</si>
  <si>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</si>
  <si>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</si>
  <si>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</si>
  <si>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</si>
  <si>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</si>
  <si>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</si>
  <si>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</si>
  <si>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</si>
  <si>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</si>
  <si>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</si>
  <si>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</si>
  <si>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</si>
  <si>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</si>
  <si>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</si>
  <si>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</si>
  <si>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</si>
  <si>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</si>
  <si>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</si>
  <si>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</si>
  <si>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</si>
  <si>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</si>
  <si>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</si>
  <si>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</si>
  <si>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</si>
  <si>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</si>
  <si>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</si>
  <si>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</si>
  <si>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</si>
  <si>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</si>
  <si>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</si>
  <si>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</si>
  <si>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</si>
  <si>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</si>
  <si>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</si>
  <si>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</si>
  <si>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</si>
  <si>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</si>
  <si>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</si>
  <si>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</si>
  <si>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</si>
  <si>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</si>
  <si>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</si>
  <si>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</si>
  <si>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</si>
  <si>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</si>
  <si>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</si>
  <si>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</si>
  <si>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</si>
  <si>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</si>
  <si>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</si>
  <si>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</si>
  <si>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</si>
  <si>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</si>
  <si>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</si>
  <si>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</si>
  <si>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</si>
  <si>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</si>
  <si>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</si>
  <si>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</si>
  <si>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</si>
  <si>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</si>
  <si>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</si>
  <si>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</si>
  <si>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</si>
  <si>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</si>
  <si>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</si>
  <si>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</si>
  <si>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</si>
  <si>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</si>
  <si>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</si>
  <si>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</si>
  <si>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</si>
  <si>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</si>
  <si>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</si>
  <si>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</si>
  <si>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</si>
  <si>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</si>
  <si>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</si>
  <si>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</si>
  <si>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</si>
  <si>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</si>
  <si>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</si>
  <si>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</si>
  <si>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</si>
  <si>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</si>
  <si>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</si>
  <si>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</si>
  <si>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</si>
  <si>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</si>
  <si>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</si>
  <si>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</si>
  <si>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</si>
  <si>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</si>
  <si>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</si>
  <si>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</si>
  <si>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</si>
  <si>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</si>
  <si>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</si>
  <si>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</si>
  <si>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</si>
  <si>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</si>
  <si>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</si>
  <si>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</si>
  <si>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</si>
  <si>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</si>
  <si>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</si>
  <si>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</si>
  <si>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</si>
  <si>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</si>
  <si>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</si>
  <si>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</si>
  <si>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</si>
  <si>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</si>
  <si>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</si>
  <si>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</si>
  <si>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</si>
  <si>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</si>
  <si>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</si>
  <si>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</si>
  <si>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</si>
  <si>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</si>
  <si>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</si>
  <si>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</si>
  <si>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</si>
  <si>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</si>
  <si>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</si>
  <si>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</si>
  <si>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</si>
  <si>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</si>
  <si>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</si>
  <si>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</si>
  <si>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</si>
  <si>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</si>
  <si>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</si>
  <si>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</si>
  <si>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</si>
  <si>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</si>
  <si>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</si>
  <si>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</si>
  <si>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</si>
  <si>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</si>
  <si>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</si>
  <si>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</si>
  <si>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</si>
  <si>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</si>
  <si>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</si>
  <si>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</si>
  <si>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</si>
  <si>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</si>
  <si>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</si>
  <si>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</si>
  <si>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</si>
  <si>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</si>
  <si>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</si>
  <si>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</si>
  <si>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</si>
  <si>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</si>
  <si>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</si>
  <si>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</si>
  <si>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</si>
  <si>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</si>
  <si>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</si>
  <si>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</si>
  <si>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</si>
  <si>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</si>
  <si>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</si>
  <si>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</si>
  <si>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</si>
  <si>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</si>
  <si>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</si>
  <si>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</si>
  <si>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</si>
  <si>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</si>
  <si>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</si>
  <si>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</si>
  <si>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</si>
  <si>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</si>
  <si>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</si>
  <si>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</si>
  <si>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</si>
  <si>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</si>
  <si>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</si>
  <si>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</si>
  <si>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</si>
  <si>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</si>
  <si>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</si>
  <si>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</si>
  <si>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</si>
  <si>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</si>
  <si>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</si>
  <si>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</si>
  <si>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</si>
  <si>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</si>
  <si>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</si>
  <si>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</si>
  <si>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</si>
  <si>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</si>
  <si>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</si>
  <si>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</si>
  <si>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</si>
  <si>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</si>
  <si>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</si>
  <si>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</si>
  <si>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</si>
  <si>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</si>
  <si>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</si>
  <si>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</si>
  <si>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</si>
  <si>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</si>
  <si>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</si>
  <si>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</si>
  <si>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</si>
  <si>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</si>
  <si>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</si>
  <si>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</si>
  <si>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</si>
  <si>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</si>
  <si>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</si>
  <si>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</si>
  <si>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</si>
  <si>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</si>
  <si>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</si>
  <si>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</si>
  <si>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</si>
  <si>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</si>
  <si>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</si>
  <si>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</si>
  <si>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</si>
  <si>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</si>
  <si>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</si>
  <si>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</si>
  <si>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</si>
  <si>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</si>
  <si>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</si>
  <si>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</si>
  <si>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</si>
  <si>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</si>
  <si>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</si>
  <si>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</si>
  <si>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</si>
  <si>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</si>
  <si>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</si>
  <si>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</si>
  <si>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</si>
  <si>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</si>
  <si>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</si>
  <si>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</si>
  <si>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</si>
  <si>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</si>
  <si>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</si>
  <si>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</si>
  <si>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</si>
  <si>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</si>
  <si>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</si>
  <si>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</si>
  <si>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</si>
  <si>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</si>
  <si>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</si>
  <si>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</si>
  <si>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</si>
  <si>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</si>
  <si>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</si>
  <si>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</si>
  <si>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</si>
  <si>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</si>
  <si>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</si>
  <si>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</si>
  <si>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</si>
  <si>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</si>
  <si>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</si>
  <si>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</si>
  <si>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</si>
  <si>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</si>
  <si>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</si>
  <si>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</si>
  <si>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</si>
  <si>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</si>
  <si>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</si>
  <si>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</si>
  <si>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</si>
  <si>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</si>
  <si>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</si>
  <si>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</si>
  <si>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</si>
  <si>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</si>
  <si>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</si>
  <si>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</si>
  <si>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</si>
  <si>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</si>
  <si>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</si>
  <si>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</si>
  <si>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</si>
  <si>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</si>
  <si>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</si>
  <si>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</si>
  <si>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</si>
  <si>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</si>
  <si>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</si>
  <si>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</si>
  <si>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</si>
  <si>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</si>
  <si>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</si>
  <si>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</si>
  <si>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</si>
  <si>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</si>
  <si>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</si>
  <si>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</si>
  <si>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</si>
  <si>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</si>
  <si>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</si>
  <si>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</si>
  <si>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</si>
  <si>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</si>
  <si>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</si>
  <si>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</si>
  <si>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</si>
  <si>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</si>
  <si>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</si>
  <si>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</si>
  <si>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</si>
  <si>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</si>
  <si>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</si>
  <si>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</si>
  <si>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</si>
  <si>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</si>
  <si>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</si>
  <si>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</si>
  <si>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</si>
  <si>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</si>
  <si>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</si>
  <si>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</si>
  <si>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</si>
  <si>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</si>
  <si>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</si>
  <si>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</si>
  <si>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</si>
  <si>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</si>
  <si>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</si>
  <si>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</si>
  <si>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</si>
  <si>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</si>
  <si>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</si>
  <si>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</si>
  <si>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</si>
  <si>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</si>
  <si>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</si>
  <si>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</si>
  <si>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</si>
  <si>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</si>
  <si>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</si>
  <si>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</si>
  <si>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</si>
  <si>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</si>
  <si>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</si>
  <si>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</si>
  <si>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</si>
  <si>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</si>
  <si>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</si>
  <si>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</si>
  <si>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</si>
  <si>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</si>
  <si>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</si>
  <si>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</si>
  <si>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</si>
  <si>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</si>
  <si>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</si>
  <si>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</si>
  <si>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</si>
  <si>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</si>
  <si>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</si>
  <si>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</si>
  <si>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</si>
  <si>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</si>
  <si>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</si>
  <si>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</si>
  <si>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</si>
  <si>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</si>
  <si>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</si>
  <si>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</si>
  <si>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</si>
  <si>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</si>
  <si>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</si>
  <si>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</si>
  <si>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</si>
  <si>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</si>
  <si>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</si>
  <si>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</si>
  <si>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</si>
  <si>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</si>
  <si>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</si>
  <si>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</si>
  <si>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</si>
  <si>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</si>
  <si>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</si>
  <si>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</si>
  <si>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</si>
  <si>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</si>
  <si>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</si>
  <si>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</si>
  <si>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</si>
  <si>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</si>
  <si>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</si>
  <si>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</si>
  <si>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</si>
  <si>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</si>
  <si>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</si>
  <si>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</si>
  <si>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</si>
  <si>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</si>
  <si>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</si>
  <si>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</si>
  <si>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</si>
  <si>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</si>
  <si>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</si>
  <si>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</si>
  <si>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</si>
  <si>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</si>
  <si>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</si>
  <si>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</si>
  <si>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</si>
  <si>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</si>
  <si>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</si>
  <si>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</si>
  <si>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</si>
  <si>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</si>
  <si>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</si>
  <si>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</si>
  <si>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</si>
  <si>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</si>
  <si>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</si>
  <si>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</si>
  <si>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</si>
  <si>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</si>
  <si>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</si>
  <si>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</si>
  <si>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</si>
  <si>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</si>
  <si>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</si>
  <si>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</si>
  <si>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</si>
  <si>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</si>
  <si>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</si>
  <si>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</si>
  <si>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</si>
  <si>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</si>
  <si>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</si>
  <si>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</si>
  <si>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</si>
  <si>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</si>
  <si>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</si>
  <si>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</si>
  <si>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</si>
  <si>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</si>
  <si>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</si>
  <si>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</si>
  <si>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</si>
  <si>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</si>
  <si>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</si>
  <si>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</si>
  <si>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</si>
  <si>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</si>
  <si>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</si>
  <si>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</si>
  <si>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</si>
  <si>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</si>
  <si>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</si>
  <si>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</si>
  <si>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</si>
  <si>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</si>
  <si>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</si>
  <si>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</si>
  <si>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</si>
  <si>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</si>
  <si>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</si>
  <si>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</si>
  <si>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</si>
  <si>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</si>
  <si>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</si>
  <si>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</si>
  <si>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</si>
  <si>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</si>
  <si>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</si>
  <si>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</si>
  <si>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</si>
  <si>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</si>
  <si>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</si>
  <si>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</si>
  <si>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</si>
  <si>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</si>
  <si>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</si>
  <si>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</si>
  <si>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</si>
  <si>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</si>
  <si>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</si>
  <si>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</si>
  <si>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</si>
  <si>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</si>
  <si>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</si>
  <si>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</si>
  <si>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</si>
  <si>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</si>
  <si>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</si>
  <si>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</si>
  <si>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</si>
  <si>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</si>
  <si>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</si>
  <si>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</si>
  <si>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</si>
  <si>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</si>
  <si>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</si>
  <si>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</si>
  <si>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</si>
  <si>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</si>
  <si>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</si>
  <si>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</si>
  <si>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</si>
  <si>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</si>
  <si>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</si>
  <si>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</si>
  <si>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</si>
  <si>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</si>
  <si>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</si>
  <si>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</si>
  <si>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</si>
  <si>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</si>
  <si>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</si>
  <si>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</si>
  <si>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</si>
  <si>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</si>
  <si>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</si>
  <si>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</si>
  <si>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</si>
  <si>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</si>
  <si>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</si>
  <si>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</si>
  <si>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</si>
  <si>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</si>
  <si>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</si>
  <si>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</si>
  <si>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</si>
  <si>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</si>
  <si>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</si>
  <si>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</si>
  <si>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</si>
  <si>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</si>
  <si>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</si>
  <si>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</si>
  <si>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</si>
  <si>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</si>
  <si>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</si>
  <si>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</si>
  <si>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</si>
  <si>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</si>
  <si>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</si>
  <si>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</si>
  <si>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</si>
  <si>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</si>
  <si>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</si>
  <si>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</si>
  <si>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</si>
  <si>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</si>
  <si>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</si>
  <si>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</si>
  <si>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</si>
  <si>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</si>
  <si>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</si>
  <si>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</si>
  <si>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</si>
  <si>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</si>
  <si>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</si>
  <si>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</si>
  <si>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</si>
  <si>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</si>
  <si>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</si>
  <si>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</si>
  <si>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</si>
  <si>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</si>
  <si>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</si>
  <si>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</si>
  <si>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</si>
  <si>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</si>
  <si>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</si>
  <si>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</si>
  <si>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</si>
  <si>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</si>
  <si>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</si>
  <si>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</si>
  <si>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</si>
  <si>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</si>
  <si>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</si>
  <si>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</si>
  <si>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</si>
  <si>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</si>
  <si>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</si>
  <si>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</si>
  <si>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</si>
  <si>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</si>
  <si>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</si>
  <si>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</si>
  <si>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</si>
  <si>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</si>
  <si>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</si>
  <si>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</si>
  <si>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</si>
  <si>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</si>
  <si>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</si>
  <si>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</si>
  <si>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</si>
  <si>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</si>
  <si>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</si>
  <si>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</si>
  <si>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</si>
  <si>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</si>
  <si>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</si>
  <si>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</si>
  <si>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</si>
  <si>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</si>
  <si>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</si>
  <si>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</si>
  <si>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</si>
  <si>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</si>
  <si>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</si>
  <si>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</si>
  <si>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</si>
  <si>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</si>
  <si>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</si>
  <si>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</si>
  <si>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</si>
  <si>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</si>
  <si>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</si>
  <si>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</si>
  <si>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</si>
  <si>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</si>
  <si>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</si>
  <si>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</si>
  <si>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</si>
  <si>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</si>
  <si>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</si>
  <si>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</si>
  <si>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</si>
  <si>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</si>
  <si>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</si>
  <si>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</si>
  <si>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</si>
  <si>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</si>
  <si>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</si>
  <si>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</si>
  <si>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</si>
  <si>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</si>
  <si>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</si>
  <si>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</si>
  <si>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</si>
  <si>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</si>
  <si>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</si>
  <si>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</si>
  <si>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</si>
  <si>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</si>
  <si>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</si>
  <si>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</si>
  <si>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</si>
  <si>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</si>
  <si>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</si>
  <si>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</si>
  <si>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</si>
  <si>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</si>
  <si>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</si>
  <si>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</si>
  <si>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</si>
  <si>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</si>
  <si>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</si>
  <si>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</si>
  <si>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</si>
  <si>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</si>
  <si>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</si>
  <si>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</si>
  <si>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</si>
  <si>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</si>
  <si>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</si>
  <si>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</si>
  <si>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</si>
  <si>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</si>
  <si>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</si>
  <si>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</si>
  <si>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</si>
  <si>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</si>
  <si>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</si>
  <si>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</si>
  <si>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</si>
  <si>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</si>
  <si>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</si>
  <si>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</si>
  <si>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</si>
  <si>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</si>
  <si>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</si>
  <si>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</si>
  <si>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</si>
  <si>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</si>
  <si>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</si>
  <si>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</si>
  <si>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</si>
  <si>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</si>
  <si>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</si>
  <si>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</si>
  <si>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</si>
  <si>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</si>
  <si>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</si>
  <si>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</si>
  <si>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</si>
  <si>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</si>
  <si>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</si>
  <si>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</si>
  <si>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</si>
  <si>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</si>
  <si>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</si>
  <si>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</si>
  <si>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</si>
  <si>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</si>
  <si>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</si>
  <si>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</si>
  <si>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</si>
  <si>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</si>
  <si>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</si>
  <si>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</si>
  <si>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</si>
  <si>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</si>
  <si>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</si>
  <si>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</si>
  <si>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</si>
  <si>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</si>
  <si>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</si>
  <si>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</si>
  <si>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</si>
  <si>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</si>
  <si>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</si>
  <si>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</si>
  <si>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</si>
  <si>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</si>
  <si>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</si>
  <si>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</si>
  <si>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</si>
  <si>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</si>
  <si>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</si>
  <si>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</si>
  <si>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</si>
  <si>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</si>
  <si>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</si>
  <si>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</si>
  <si>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</si>
  <si>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</si>
  <si>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</si>
  <si>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</si>
  <si>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</si>
  <si>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</si>
  <si>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</si>
  <si>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</si>
  <si>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</si>
  <si>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</si>
  <si>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</si>
  <si>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</si>
  <si>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</si>
  <si>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</si>
  <si>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</si>
  <si>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</si>
  <si>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</si>
  <si>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</si>
  <si>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</si>
  <si>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</si>
  <si>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</si>
  <si>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</si>
  <si>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</si>
  <si>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</si>
  <si>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</si>
  <si>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</si>
  <si>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</si>
  <si>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</si>
  <si>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</si>
  <si>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</si>
  <si>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</si>
  <si>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</si>
  <si>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</si>
  <si>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</si>
  <si>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</si>
  <si>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</si>
  <si>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</si>
  <si>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</si>
  <si>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</si>
  <si>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</si>
  <si>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</si>
  <si>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</si>
  <si>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</si>
  <si>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</si>
  <si>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</si>
  <si>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</si>
  <si>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</si>
  <si>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</si>
  <si>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</si>
  <si>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</si>
  <si>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</si>
  <si>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</si>
  <si>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</si>
  <si>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</si>
  <si>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</si>
  <si>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</si>
  <si>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</si>
  <si>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</si>
  <si>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</si>
  <si>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</si>
  <si>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</si>
  <si>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</si>
  <si>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</si>
  <si>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</si>
  <si>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</si>
  <si>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</si>
  <si>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</si>
  <si>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</si>
  <si>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</si>
  <si>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</si>
  <si>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</si>
  <si>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</si>
  <si>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</si>
  <si>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</si>
  <si>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</si>
  <si>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</si>
  <si>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</si>
  <si>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</si>
  <si>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</si>
  <si>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</si>
  <si>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</si>
  <si>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</si>
  <si>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</si>
  <si>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</si>
  <si>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</si>
  <si>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</si>
  <si>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</si>
  <si>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</si>
  <si>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</si>
  <si>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</si>
  <si>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</si>
  <si>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</si>
  <si>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</si>
  <si>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</si>
  <si>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</si>
  <si>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</si>
  <si>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</si>
  <si>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</si>
  <si>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</si>
  <si>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</si>
  <si>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</si>
  <si>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</si>
  <si>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</si>
  <si>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</si>
  <si>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</si>
  <si>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</si>
  <si>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</si>
  <si>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</si>
  <si>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</si>
  <si>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</si>
  <si>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</si>
  <si>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</si>
  <si>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</si>
  <si>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</si>
  <si>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</si>
  <si>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</si>
  <si>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</si>
  <si>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</si>
  <si>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</si>
  <si>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</si>
  <si>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</si>
  <si>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</si>
  <si>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</si>
  <si>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</si>
  <si>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</si>
  <si>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</si>
  <si>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</si>
  <si>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</si>
  <si>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</si>
  <si>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</si>
  <si>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</si>
  <si>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</si>
  <si>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</si>
  <si>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</si>
  <si>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</si>
  <si>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</si>
  <si>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</si>
  <si>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</si>
  <si>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</si>
  <si>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</si>
  <si>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</si>
  <si>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</si>
  <si>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</si>
  <si>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</si>
  <si>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</si>
  <si>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</si>
  <si>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</si>
  <si>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</si>
  <si>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</si>
  <si>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</si>
  <si>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</si>
  <si>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</si>
  <si>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</si>
  <si>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</si>
  <si>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</si>
  <si>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</si>
  <si>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</si>
  <si>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</si>
  <si>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</si>
  <si>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</si>
  <si>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</si>
  <si>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</si>
  <si>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</si>
  <si>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</si>
  <si>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</si>
  <si>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</si>
  <si>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</si>
  <si>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</si>
  <si>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</si>
  <si>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</si>
  <si>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</si>
  <si>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</si>
  <si>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</si>
  <si>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</si>
  <si>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</si>
  <si>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</si>
  <si>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</si>
  <si>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</si>
  <si>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</si>
  <si>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</si>
  <si>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</si>
  <si>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</si>
  <si>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</si>
  <si>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</si>
  <si>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</si>
  <si>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</si>
  <si>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</si>
  <si>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</si>
  <si>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</si>
  <si>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</si>
  <si>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</si>
  <si>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</si>
  <si>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</si>
  <si>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</si>
  <si>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</si>
  <si>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</si>
  <si>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</si>
  <si>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</si>
  <si>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</si>
  <si>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</si>
  <si>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</si>
  <si>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</si>
  <si>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</si>
  <si>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</si>
  <si>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</si>
  <si>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</si>
  <si>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</si>
  <si>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</si>
  <si>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</si>
  <si>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</si>
  <si>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</si>
  <si>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</si>
  <si>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</si>
  <si>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</si>
  <si>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</si>
  <si>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</si>
  <si>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</si>
  <si>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</si>
  <si>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</si>
  <si>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</si>
  <si>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</si>
  <si>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</si>
  <si>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</si>
  <si>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</si>
  <si>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</si>
  <si>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</si>
  <si>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</si>
  <si>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</si>
  <si>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</si>
  <si>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</si>
  <si>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</si>
  <si>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</si>
  <si>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</si>
  <si>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</si>
  <si>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</si>
  <si>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</si>
  <si>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</si>
  <si>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</si>
  <si>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</si>
  <si>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</si>
  <si>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</si>
  <si>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</si>
  <si>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</si>
  <si>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</si>
  <si>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</si>
  <si>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</si>
  <si>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</si>
  <si>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</si>
  <si>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</si>
  <si>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</si>
  <si>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</si>
  <si>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</si>
  <si>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</si>
  <si>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</si>
  <si>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</si>
  <si>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</si>
  <si>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</si>
  <si>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</si>
  <si>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</si>
  <si>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</si>
  <si>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</si>
  <si>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</si>
  <si>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</si>
  <si>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</si>
  <si>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</si>
  <si>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</si>
  <si>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</si>
  <si>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</si>
  <si>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</si>
  <si>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</si>
  <si>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</si>
  <si>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</si>
  <si>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</si>
  <si>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</si>
  <si>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</si>
  <si>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</si>
  <si>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</si>
  <si>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</si>
  <si>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</si>
  <si>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</si>
  <si>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</si>
  <si>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</si>
  <si>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</si>
  <si>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</si>
  <si>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</si>
  <si>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</si>
  <si>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</si>
  <si>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</si>
  <si>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</si>
  <si>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</si>
  <si>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</si>
  <si>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</si>
  <si>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</si>
  <si>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</si>
  <si>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</si>
  <si>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</si>
  <si>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</si>
  <si>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</si>
  <si>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</si>
  <si>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</si>
  <si>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</si>
  <si>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</si>
  <si>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</si>
  <si>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</si>
  <si>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</si>
  <si>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</si>
  <si>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</si>
  <si>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</si>
  <si>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</si>
  <si>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</si>
  <si>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</si>
  <si>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</si>
  <si>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</si>
  <si>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</si>
  <si>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</si>
  <si>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</si>
  <si>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</si>
  <si>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</si>
  <si>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</si>
  <si>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</si>
  <si>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</si>
  <si>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</si>
  <si>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</si>
  <si>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</si>
  <si>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</si>
  <si>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</si>
  <si>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</si>
  <si>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</si>
  <si>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</si>
  <si>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</si>
  <si>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</si>
  <si>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</si>
  <si>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</si>
  <si>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</si>
  <si>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</si>
  <si>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</si>
  <si>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</si>
  <si>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</si>
  <si>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</si>
  <si>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</si>
  <si>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</si>
  <si>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</si>
  <si>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</si>
  <si>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</si>
  <si>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</si>
  <si>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</si>
  <si>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</si>
  <si>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</si>
  <si>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</si>
  <si>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</si>
  <si>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</si>
  <si>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</si>
  <si>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</si>
  <si>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</si>
  <si>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</si>
  <si>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</si>
  <si>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</si>
  <si>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</si>
  <si>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</si>
  <si>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</si>
  <si>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</si>
  <si>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</si>
  <si>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</si>
  <si>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</si>
  <si>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</si>
  <si>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</si>
  <si>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</si>
  <si>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</si>
  <si>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</si>
  <si>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</si>
  <si>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</si>
  <si>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</si>
  <si>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</si>
  <si>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</si>
  <si>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</si>
  <si>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</si>
  <si>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</si>
  <si>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</si>
  <si>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</si>
  <si>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</si>
  <si>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</si>
  <si>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</si>
  <si>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</si>
  <si>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</si>
  <si>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</si>
  <si>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</si>
  <si>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</si>
  <si>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</si>
  <si>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</si>
  <si>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</si>
  <si>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</si>
  <si>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</si>
  <si>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</si>
  <si>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</si>
  <si>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</si>
  <si>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</si>
  <si>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</si>
  <si>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</si>
  <si>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</si>
  <si>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</si>
  <si>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</si>
  <si>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</si>
  <si>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</si>
  <si>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</si>
  <si>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</si>
  <si>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</si>
  <si>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</si>
  <si>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</si>
  <si>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</si>
  <si>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</si>
  <si>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</si>
  <si>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</si>
  <si>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</si>
  <si>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</si>
  <si>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</si>
  <si>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</si>
  <si>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</si>
  <si>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</si>
  <si>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</si>
  <si>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</si>
  <si>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</si>
  <si>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</si>
  <si>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</si>
  <si>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</si>
  <si>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</si>
  <si>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</si>
  <si>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</si>
  <si>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</si>
  <si>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</si>
  <si>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</si>
  <si>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</si>
  <si>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</si>
  <si>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</si>
  <si>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</si>
  <si>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</si>
  <si>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</si>
  <si>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</si>
  <si>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</si>
  <si>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</si>
  <si>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</si>
  <si>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</si>
  <si>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</si>
  <si>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</si>
  <si>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</si>
  <si>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</si>
  <si>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</si>
  <si>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</si>
  <si>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</si>
  <si>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</si>
  <si>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</si>
  <si>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</si>
  <si>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</si>
  <si>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</si>
  <si>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</si>
  <si>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</si>
  <si>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</si>
  <si>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</si>
  <si>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</si>
  <si>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</si>
  <si>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</si>
  <si>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</si>
  <si>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</si>
  <si>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</si>
  <si>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</si>
  <si>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</si>
  <si>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</si>
  <si>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</si>
  <si>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</si>
  <si>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</si>
  <si>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</si>
  <si>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</si>
  <si>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</si>
  <si>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</si>
  <si>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</si>
  <si>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</si>
  <si>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</si>
  <si>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</si>
  <si>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</si>
  <si>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</si>
  <si>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</si>
  <si>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</si>
  <si>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</si>
  <si>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</si>
  <si>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</si>
  <si>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</si>
  <si>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</si>
  <si>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</si>
  <si>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</si>
  <si>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</si>
  <si>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</si>
  <si>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</si>
  <si>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</si>
  <si>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</si>
  <si>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</si>
  <si>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</si>
  <si>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</si>
  <si>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</si>
  <si>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</si>
  <si>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</si>
  <si>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</si>
  <si>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</si>
  <si>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</si>
  <si>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</si>
  <si>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</si>
  <si>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</si>
  <si>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</si>
  <si>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</si>
  <si>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</si>
  <si>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</si>
  <si>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</si>
  <si>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</si>
  <si>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</si>
  <si>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</si>
  <si>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</si>
  <si>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</si>
  <si>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</si>
  <si>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</si>
  <si>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</si>
  <si>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</si>
  <si>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</si>
  <si>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</si>
  <si>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</si>
  <si>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</si>
  <si>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</si>
  <si>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</si>
  <si>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</si>
  <si>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</si>
  <si>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</si>
  <si>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</si>
  <si>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</si>
  <si>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</si>
  <si>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</si>
  <si>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</si>
  <si>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</si>
  <si>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</si>
  <si>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</si>
  <si>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</si>
  <si>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</si>
  <si>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</si>
  <si>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</si>
  <si>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</si>
  <si>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</si>
  <si>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</si>
  <si>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</si>
  <si>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</si>
  <si>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</si>
  <si>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</si>
  <si>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</si>
  <si>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</si>
  <si>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</si>
  <si>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</si>
  <si>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</si>
  <si>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</si>
  <si>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</si>
  <si>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</si>
  <si>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</si>
  <si>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</si>
  <si>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</si>
  <si>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</si>
  <si>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</si>
  <si>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</si>
  <si>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</si>
  <si>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</si>
  <si>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</si>
  <si>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</si>
  <si>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</si>
  <si>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</si>
  <si>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</si>
  <si>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</si>
  <si>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</si>
  <si>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</si>
  <si>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</si>
  <si>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</si>
  <si>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</si>
  <si>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</si>
  <si>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</si>
  <si>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</si>
  <si>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</si>
  <si>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</si>
  <si>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</si>
  <si>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</si>
  <si>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</si>
  <si>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</si>
  <si>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</si>
  <si>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</si>
  <si>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</si>
  <si>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</si>
  <si>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</si>
  <si>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</si>
  <si>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</si>
  <si>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</si>
  <si>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</si>
  <si>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</si>
  <si>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</si>
  <si>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</si>
  <si>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</si>
  <si>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</si>
  <si>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</si>
  <si>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</si>
  <si>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</si>
  <si>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</si>
  <si>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</si>
  <si>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</si>
  <si>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</si>
  <si>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</si>
  <si>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</si>
  <si>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</si>
  <si>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</si>
  <si>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</si>
  <si>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</si>
  <si>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</si>
  <si>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</si>
  <si>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</si>
  <si>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</si>
  <si>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</si>
  <si>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</si>
  <si>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</si>
  <si>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</si>
  <si>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</si>
  <si>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</si>
  <si>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</si>
  <si>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</si>
  <si>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</si>
  <si>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</si>
  <si>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</si>
  <si>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</si>
  <si>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</si>
  <si>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</si>
  <si>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</si>
  <si>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</si>
  <si>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</si>
  <si>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</si>
  <si>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</si>
  <si>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</si>
  <si>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</si>
  <si>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</si>
  <si>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</si>
  <si>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</si>
  <si>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</si>
  <si>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</si>
  <si>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</si>
  <si>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</si>
  <si>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</si>
  <si>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</si>
  <si>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</si>
  <si>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</si>
  <si>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</si>
  <si>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</si>
  <si>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</si>
  <si>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</si>
  <si>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</si>
  <si>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</si>
  <si>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</si>
  <si>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</si>
  <si>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</si>
  <si>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</si>
  <si>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</si>
  <si>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</si>
  <si>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</si>
  <si>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</si>
  <si>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</si>
  <si>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</si>
  <si>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</si>
  <si>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</si>
  <si>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</si>
  <si>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</si>
  <si>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</si>
  <si>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</si>
  <si>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</si>
  <si>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</si>
  <si>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</si>
  <si>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</si>
  <si>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</si>
  <si>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</si>
  <si>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</si>
  <si>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</si>
  <si>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</si>
  <si>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</si>
  <si>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</si>
  <si>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</si>
  <si>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</si>
  <si>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</si>
  <si>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</si>
  <si>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</si>
  <si>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</si>
  <si>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</si>
  <si>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</si>
  <si>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</si>
  <si>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</si>
  <si>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</si>
  <si>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</si>
  <si>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</si>
  <si>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</si>
  <si>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</si>
  <si>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</si>
  <si>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</si>
  <si>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</si>
  <si>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</si>
  <si>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</si>
  <si>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</si>
  <si>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</si>
  <si>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</si>
  <si>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</si>
  <si>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</si>
  <si>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</si>
  <si>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</si>
  <si>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</si>
  <si>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</si>
  <si>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</si>
  <si>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</si>
  <si>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</si>
  <si>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</si>
  <si>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</si>
  <si>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</si>
  <si>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</si>
  <si>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</si>
  <si>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</si>
  <si>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</si>
  <si>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</si>
  <si>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</si>
  <si>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</si>
  <si>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</si>
  <si>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</si>
  <si>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</si>
  <si>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</si>
  <si>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</si>
  <si>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</si>
  <si>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</si>
  <si>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</si>
  <si>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</si>
  <si>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</si>
  <si>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</si>
  <si>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</si>
  <si>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</si>
  <si>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</si>
  <si>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</si>
  <si>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</si>
  <si>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</si>
  <si>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</si>
  <si>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</si>
  <si>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</si>
  <si>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</si>
  <si>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</si>
  <si>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</si>
  <si>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</si>
  <si>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</si>
  <si>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</si>
  <si>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</si>
  <si>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</si>
  <si>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</si>
  <si>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</si>
  <si>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</si>
  <si>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</si>
  <si>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</si>
  <si>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</si>
  <si>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</si>
  <si>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</si>
  <si>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</si>
  <si>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</si>
  <si>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</si>
  <si>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</si>
  <si>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</si>
  <si>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</si>
  <si>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</si>
  <si>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</si>
  <si>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</si>
  <si>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</si>
  <si>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</si>
  <si>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</si>
  <si>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</si>
  <si>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</si>
  <si>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</si>
  <si>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</si>
  <si>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</si>
  <si>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</si>
  <si>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</si>
  <si>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</si>
  <si>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</si>
  <si>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</si>
  <si>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</si>
  <si>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</si>
  <si>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</si>
  <si>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</si>
  <si>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</si>
  <si>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</si>
  <si>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</si>
  <si>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</si>
  <si>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</si>
  <si>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</si>
  <si>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</si>
  <si>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</si>
  <si>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</si>
  <si>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</si>
  <si>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</si>
  <si>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</si>
  <si>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</si>
  <si>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</si>
  <si>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</si>
  <si>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</si>
  <si>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</si>
  <si>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</si>
  <si>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</si>
  <si>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</si>
  <si>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</si>
  <si>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</si>
  <si>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</si>
  <si>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</si>
  <si>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</si>
  <si>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</si>
  <si>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</si>
  <si>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</si>
  <si>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</si>
  <si>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</si>
  <si>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</si>
  <si>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</si>
  <si>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</si>
  <si>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</si>
  <si>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</si>
  <si>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</si>
  <si>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</si>
  <si>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</si>
  <si>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</si>
  <si>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</si>
  <si>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</si>
  <si>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</si>
  <si>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</si>
  <si>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</si>
  <si>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</si>
  <si>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</si>
  <si>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</si>
  <si>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</si>
  <si>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</si>
  <si>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</si>
  <si>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</si>
  <si>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</si>
  <si>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</si>
  <si>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</si>
  <si>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</si>
  <si>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</si>
  <si>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</si>
  <si>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</si>
  <si>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</si>
  <si>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</si>
  <si>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</si>
  <si>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</si>
  <si>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</si>
  <si>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</si>
  <si>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</si>
  <si>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</si>
  <si>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</si>
  <si>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</si>
  <si>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</si>
  <si>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</si>
  <si>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</si>
  <si>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</si>
  <si>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</si>
  <si>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</si>
  <si>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</si>
  <si>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</si>
  <si>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</si>
  <si>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</si>
  <si>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</si>
  <si>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</si>
  <si>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</si>
  <si>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</si>
  <si>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</si>
  <si>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</si>
  <si>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</si>
  <si>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</si>
  <si>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</si>
  <si>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</si>
  <si>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</si>
  <si>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</si>
  <si>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</si>
  <si>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</si>
  <si>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</si>
  <si>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</si>
  <si>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</si>
  <si>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</si>
  <si>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</si>
  <si>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</si>
  <si>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</si>
  <si>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</si>
  <si>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</si>
  <si>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</si>
  <si>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</si>
  <si>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</si>
  <si>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</si>
  <si>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</si>
  <si>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</si>
  <si>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</si>
  <si>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</si>
  <si>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</si>
  <si>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</si>
  <si>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</si>
  <si>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</si>
  <si>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</si>
  <si>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</si>
  <si>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</si>
  <si>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</si>
  <si>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</si>
  <si>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</si>
  <si>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</si>
  <si>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</si>
  <si>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</si>
  <si>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</si>
  <si>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</si>
  <si>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</si>
  <si>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</si>
  <si>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</si>
  <si>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</si>
  <si>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</si>
  <si>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</si>
  <si>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</si>
  <si>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</si>
  <si>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</si>
  <si>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</si>
  <si>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</si>
  <si>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</si>
  <si>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</si>
  <si>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</si>
  <si>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</si>
  <si>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</si>
  <si>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</si>
  <si>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</si>
  <si>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</si>
  <si>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</si>
  <si>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</si>
  <si>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</si>
  <si>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</si>
  <si>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</si>
  <si>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</si>
  <si>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</si>
  <si>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</si>
  <si>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</si>
  <si>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</si>
  <si>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</si>
  <si>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</si>
  <si>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</si>
  <si>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</si>
  <si>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</si>
  <si>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</si>
  <si>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</si>
  <si>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</si>
  <si>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</si>
  <si>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</si>
  <si>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</si>
  <si>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</si>
  <si>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</si>
  <si>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</si>
  <si>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</si>
  <si>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</si>
  <si>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</si>
  <si>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</si>
  <si>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</si>
  <si>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</si>
  <si>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</si>
  <si>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</si>
  <si>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</si>
  <si>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</si>
  <si>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</si>
  <si>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</si>
  <si>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</si>
  <si>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</si>
  <si>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</si>
  <si>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</si>
  <si>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</si>
  <si>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</si>
  <si>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</si>
  <si>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</si>
  <si>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</si>
  <si>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</si>
  <si>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</si>
  <si>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</si>
  <si>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</si>
  <si>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</si>
  <si>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</si>
  <si>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</si>
  <si>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</si>
  <si>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</si>
  <si>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</si>
  <si>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</si>
  <si>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</si>
  <si>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</si>
  <si>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</si>
  <si>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</si>
  <si>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</si>
  <si>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</si>
  <si>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</si>
  <si>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</si>
  <si>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</si>
  <si>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</si>
  <si>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</si>
  <si>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</si>
  <si>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</si>
  <si>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</si>
  <si>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</si>
  <si>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</si>
  <si>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</si>
  <si>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</si>
  <si>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</si>
  <si>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</si>
  <si>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</si>
  <si>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</si>
  <si>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</si>
  <si>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</si>
  <si>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</si>
  <si>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</si>
  <si>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</si>
  <si>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</si>
  <si>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</si>
  <si>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</si>
  <si>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</si>
  <si>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</si>
  <si>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</si>
  <si>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</si>
  <si>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</si>
  <si>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</si>
  <si>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</si>
  <si>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</si>
  <si>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</si>
  <si>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</si>
  <si>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</si>
  <si>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</si>
  <si>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</si>
  <si>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</si>
  <si>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</si>
  <si>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</si>
  <si>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</si>
  <si>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</si>
  <si>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</si>
  <si>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</si>
  <si>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</si>
  <si>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</si>
  <si>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</si>
  <si>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</si>
  <si>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</si>
  <si>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</si>
  <si>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</si>
  <si>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</si>
  <si>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</si>
  <si>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</si>
  <si>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</si>
  <si>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</si>
  <si>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</si>
  <si>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</si>
  <si>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</si>
  <si>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</si>
  <si>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</si>
  <si>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</si>
  <si>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</si>
  <si>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</si>
  <si>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</si>
  <si>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</si>
  <si>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</si>
  <si>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</si>
  <si>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</si>
  <si>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</si>
  <si>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</si>
  <si>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</si>
  <si>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</si>
  <si>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</si>
  <si>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</si>
  <si>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</si>
  <si>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</si>
  <si>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</si>
  <si>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</si>
  <si>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</si>
  <si>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</si>
  <si>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</si>
  <si>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</si>
  <si>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</si>
  <si>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</si>
  <si>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</si>
  <si>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</si>
  <si>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</si>
  <si>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</si>
  <si>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</si>
  <si>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</si>
  <si>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</si>
  <si>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</si>
  <si>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</si>
  <si>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</si>
  <si>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</si>
  <si>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</si>
  <si>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</si>
  <si>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</si>
  <si>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</si>
  <si>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</si>
  <si>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</si>
  <si>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</si>
  <si>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</si>
  <si>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</si>
  <si>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</si>
  <si>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</si>
  <si>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</si>
  <si>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</si>
  <si>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</si>
  <si>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</si>
  <si>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</si>
  <si>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</si>
  <si>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</si>
  <si>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</si>
  <si>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</si>
  <si>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</si>
  <si>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</si>
  <si>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</si>
  <si>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</si>
  <si>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</si>
  <si>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</si>
  <si>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</si>
  <si>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</si>
  <si>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</si>
  <si>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</si>
  <si>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</si>
  <si>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</si>
  <si>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</si>
  <si>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</si>
  <si>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</si>
  <si>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</si>
  <si>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</si>
  <si>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</si>
  <si>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</si>
  <si>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</si>
  <si>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</si>
  <si>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</si>
  <si>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</si>
  <si>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</si>
  <si>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</si>
  <si>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</si>
  <si>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</si>
  <si>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</si>
  <si>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</si>
  <si>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</si>
  <si>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</si>
  <si>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</si>
  <si>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</si>
  <si>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</si>
  <si>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</si>
  <si>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</si>
  <si>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</si>
  <si>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</si>
  <si>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</si>
  <si>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</si>
  <si>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</si>
  <si>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</si>
  <si>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</si>
  <si>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</si>
  <si>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</si>
  <si>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</si>
  <si>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</si>
  <si>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</si>
  <si>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</si>
  <si>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</si>
  <si>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</si>
  <si>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</si>
  <si>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</si>
  <si>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</si>
  <si>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</si>
  <si>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</si>
  <si>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</si>
  <si>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</si>
  <si>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</si>
  <si>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</si>
  <si>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</si>
  <si>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</si>
  <si>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</si>
  <si>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</si>
  <si>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</si>
  <si>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</si>
  <si>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</si>
  <si>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</si>
  <si>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</si>
  <si>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</si>
  <si>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</si>
  <si>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</si>
  <si>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</si>
  <si>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</si>
  <si>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</si>
  <si>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</si>
  <si>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</si>
  <si>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</si>
  <si>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</si>
  <si>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</si>
  <si>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</si>
  <si>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</si>
  <si>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</si>
  <si>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</si>
  <si>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</si>
  <si>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</si>
  <si>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</si>
  <si>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</si>
  <si>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</si>
  <si>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</si>
  <si>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</si>
  <si>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</si>
  <si>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</si>
  <si>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</si>
  <si>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</si>
  <si>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</si>
  <si>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</si>
  <si>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无</t>
  </si>
  <si>
    <t>否</t>
  </si>
  <si>
    <t>是</t>
  </si>
  <si>
    <t>地上</t>
  </si>
  <si>
    <t>酒店</t>
  </si>
  <si>
    <t>地下</t>
  </si>
  <si>
    <t>建安</t>
  </si>
  <si>
    <t>单方</t>
    <phoneticPr fontId="134" type="noConversion"/>
  </si>
  <si>
    <t>主体</t>
  </si>
  <si>
    <t>装修</t>
  </si>
  <si>
    <t>设备</t>
  </si>
  <si>
    <t>室外工程</t>
  </si>
  <si>
    <t>建面</t>
  </si>
  <si>
    <t>合计</t>
  </si>
  <si>
    <t>单方建安</t>
  </si>
  <si>
    <t>人防设备</t>
  </si>
  <si>
    <t>综合平均</t>
  </si>
  <si>
    <t>酒店</t>
    <phoneticPr fontId="134" type="noConversion"/>
  </si>
  <si>
    <t>按比例</t>
  </si>
  <si>
    <t>标准房</t>
    <phoneticPr fontId="3" type="noConversion"/>
  </si>
  <si>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</si>
  <si>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</si>
  <si>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</si>
  <si>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</si>
  <si>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</si>
  <si>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</si>
  <si>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</si>
  <si>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</si>
  <si>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</si>
  <si>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</si>
  <si>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</si>
  <si>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</si>
  <si>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</si>
  <si>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</si>
  <si>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</si>
  <si>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成交时间</t>
  </si>
  <si>
    <t>开工进度</t>
  </si>
  <si>
    <t>受让单位</t>
  </si>
  <si>
    <t>成交价(万元)</t>
  </si>
  <si>
    <t>成交土地单价(元/㎡)</t>
  </si>
  <si>
    <t>成交每亩价(万元/亩)</t>
  </si>
  <si>
    <t>成交楼面价(元/㎡)</t>
  </si>
  <si>
    <t>成交楼面价(除保障房)(元/㎡)</t>
  </si>
  <si>
    <t>溢价率(%)</t>
  </si>
  <si>
    <t>限地价(万元)</t>
  </si>
  <si>
    <t>政府指导价(元/㎡)</t>
  </si>
  <si>
    <t>限售价(元/㎡)</t>
  </si>
  <si>
    <t>基准地价</t>
  </si>
  <si>
    <t>项目名称</t>
  </si>
  <si>
    <t>北京市顺义区顺义新城0201街区东风商场片区项目SY00-0201-116地块B1商业用地</t>
  </si>
  <si>
    <t>顺义区</t>
  </si>
  <si>
    <t>胜利</t>
  </si>
  <si>
    <t>京土储挂(顺)[2025]005号</t>
  </si>
  <si>
    <t>商业/办公用地</t>
  </si>
  <si>
    <t>B1商业用地</t>
  </si>
  <si>
    <t>商业 40 年</t>
  </si>
  <si>
    <t>1.50</t>
  </si>
  <si>
    <t/>
  </si>
  <si>
    <t>挂牌</t>
  </si>
  <si>
    <t>2025-02-26</t>
  </si>
  <si>
    <t>已成交</t>
  </si>
  <si>
    <t>未开工</t>
  </si>
  <si>
    <t>北京国泰东风商城有限公司</t>
  </si>
  <si>
    <t>8580元/㎡(七级办公用途2021-01-01)</t>
  </si>
  <si>
    <t>北京城市副中心站综合交通枢纽地区 FZX-0101-03单元FZX-0101-0307 (3)地块F3其他类多功能用地</t>
  </si>
  <si>
    <t>通州区</t>
  </si>
  <si>
    <t>通运</t>
  </si>
  <si>
    <t>京土储挂(通)[2025]003号</t>
  </si>
  <si>
    <t>F3其他类多功能用地</t>
  </si>
  <si>
    <t>商业40 年,办公50 年</t>
  </si>
  <si>
    <t>2.40</t>
  </si>
  <si>
    <t>2025-02-25</t>
  </si>
  <si>
    <t>北京水务投资集团有限公司</t>
  </si>
  <si>
    <t>11490元/㎡(六级办公用途2021-01-01)</t>
  </si>
  <si>
    <t>北京市海淀区六郎庄项目HD00-1010-0002、0003、0004地块F3其他类多功能用地</t>
  </si>
  <si>
    <t>海淀区</t>
  </si>
  <si>
    <t>颐和园</t>
  </si>
  <si>
    <t>京土储挂(海)[2025]001号</t>
  </si>
  <si>
    <t>商业 40 年,办公 50 年</t>
  </si>
  <si>
    <t>1.03</t>
  </si>
  <si>
    <t>2025-02-18</t>
  </si>
  <si>
    <t>北京中关村大街建设发展有限公司</t>
  </si>
  <si>
    <t>24380元/㎡(三级办公用途2021-01-01)</t>
  </si>
  <si>
    <t>大兴区榆垡镇DX09-1301-6401等地块F81集体产业用地</t>
  </si>
  <si>
    <t>大兴区</t>
  </si>
  <si>
    <t>榆垡镇</t>
  </si>
  <si>
    <t>京规自集使挂(兴)[2024]003号</t>
  </si>
  <si>
    <t>F81集体产业用地</t>
  </si>
  <si>
    <t>1</t>
  </si>
  <si>
    <t>2025-01-22</t>
  </si>
  <si>
    <t>已开工</t>
  </si>
  <si>
    <t>北京绿野晴川动物园有限公司</t>
  </si>
  <si>
    <t>4860元/㎡(九级办公用途2021-01-01)</t>
  </si>
  <si>
    <t>通州区潞城镇TZ02-0101-0009地块村庄产业用地项目(C3,商务办公等多功能用途)集体经营性建设用地</t>
  </si>
  <si>
    <t>宋庄西</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</si>
  <si>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</si>
  <si>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</si>
  <si>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</si>
  <si>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</si>
  <si>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</si>
  <si>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</si>
  <si>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</si>
  <si>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环球度假区</t>
  </si>
  <si>
    <t>商业 40 年 办公 50 年</t>
  </si>
  <si>
    <t>2.20</t>
  </si>
  <si>
    <t>2024-09-11</t>
  </si>
  <si>
    <t>北京通州鲸航置业发展有限公司</t>
  </si>
  <si>
    <t>北京大兴国际机场临空经济区 DX16-0104-0013地块F3其他类多功能用地</t>
  </si>
  <si>
    <t>礼贤镇</t>
  </si>
  <si>
    <t>京土储挂(兴临空)〔2024〕030号</t>
  </si>
  <si>
    <t>2024-09-04</t>
  </si>
  <si>
    <t>北京航城兴贤商业管理有限公司</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</si>
  <si>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</si>
  <si>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</si>
  <si>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</si>
  <si>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</si>
  <si>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</si>
  <si>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</si>
  <si>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</si>
  <si>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</si>
  <si>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</si>
  <si>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</si>
  <si>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中央别墅区</t>
  </si>
  <si>
    <t>B4综合性商业金融服务用地</t>
  </si>
  <si>
    <t>2024-07-22</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</si>
  <si>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</si>
  <si>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</si>
  <si>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</si>
  <si>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</si>
  <si>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</si>
  <si>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</si>
  <si>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2024-06-18</t>
  </si>
  <si>
    <t>北京城市副中心投资建设集团有限公司</t>
  </si>
  <si>
    <t>14980元/㎡(五级办公用途2021-01-01)</t>
  </si>
  <si>
    <t>北京市海淀区温泉镇中心区F16地块0901商业用地</t>
  </si>
  <si>
    <t>温泉镇南部</t>
  </si>
  <si>
    <t>京土储挂(海)[2024]014号</t>
  </si>
  <si>
    <t>0901商业用地</t>
  </si>
  <si>
    <t>2024-05-28</t>
  </si>
  <si>
    <t>北京阳泰兴泉科技股份有限公司</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</si>
  <si>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</si>
  <si>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</si>
  <si>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</si>
  <si>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</si>
  <si>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</si>
  <si>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</si>
  <si>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</si>
  <si>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</si>
  <si>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</si>
  <si>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</si>
  <si>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</si>
  <si>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</si>
  <si>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</si>
  <si>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</si>
  <si>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</si>
  <si>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</si>
  <si>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</si>
  <si>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</si>
  <si>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</si>
  <si>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</si>
  <si>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2024-01-23</t>
  </si>
  <si>
    <t>腾讯科技(北京)有限公司</t>
  </si>
  <si>
    <t>19290元/㎡(四级办公用途2021-01-01)</t>
  </si>
  <si>
    <t>北京城市副中心0201街区玉桥家园中心FZX-0201-0096、0102地块F3其他类多功能用地国有建设用地使用权出让公告</t>
  </si>
  <si>
    <t>商业40年办公50年公服50年</t>
  </si>
  <si>
    <t>1.56</t>
  </si>
  <si>
    <t>2023-09-20</t>
  </si>
  <si>
    <t>北京通州投资发展有限公司</t>
  </si>
  <si>
    <t>北京市海淀区西北旺镇永丰产业基地(新)HD00-0403-004地块F3其他类多功能用地</t>
  </si>
  <si>
    <t>京土储挂(海)[2023]039号</t>
  </si>
  <si>
    <t>商业40年办公50年</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</si>
  <si>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</si>
  <si>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</si>
  <si>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</si>
  <si>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</si>
  <si>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</si>
  <si>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</si>
  <si>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</si>
  <si>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</si>
  <si>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</si>
  <si>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</si>
  <si>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</si>
  <si>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</si>
  <si>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</si>
  <si>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</si>
  <si>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</si>
  <si>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3340元/㎡(十级办公用途2021-01-01)</t>
  </si>
  <si>
    <t>北京市通州区永顺镇0401街区 46号地块(西马庄收储) B4综合性商业金融服务业用地</t>
  </si>
  <si>
    <t>通州北关</t>
  </si>
  <si>
    <t>京土储挂(通)〔2023〕004号</t>
  </si>
  <si>
    <t>B4综合性商业金融服务业用地</t>
  </si>
  <si>
    <t>商业 40 年、办公 50 年</t>
  </si>
  <si>
    <t>≤2.8</t>
  </si>
  <si>
    <t>2023-04-14</t>
  </si>
  <si>
    <t>北京易创通景信息科技有限公司</t>
  </si>
  <si>
    <t>大兴区西红门镇集体经营性建设用地2号地2-002A地块</t>
  </si>
  <si>
    <t>西红门镇东</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</si>
  <si>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</si>
  <si>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</si>
  <si>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</si>
  <si>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</si>
  <si>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</si>
  <si>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</si>
  <si>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</si>
  <si>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</si>
  <si>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</si>
  <si>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</si>
  <si>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已竣工</t>
  </si>
  <si>
    <t>空气(北京)氢能科技有限公司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</si>
  <si>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</si>
  <si>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</si>
  <si>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</si>
  <si>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</si>
  <si>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</si>
  <si>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</si>
  <si>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</si>
  <si>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</si>
  <si>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</si>
  <si>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</si>
  <si>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</si>
  <si>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</si>
  <si>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</si>
  <si>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</si>
  <si>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</si>
  <si>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</si>
  <si>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</si>
  <si>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</si>
  <si>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</si>
  <si>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</si>
  <si>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</si>
  <si>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</si>
  <si>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</si>
  <si>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</si>
  <si>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</si>
  <si>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</si>
  <si>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</si>
  <si>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</si>
  <si>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</si>
  <si>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</si>
  <si>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</si>
  <si>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</si>
  <si>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</si>
  <si>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</si>
  <si>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</si>
  <si>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</si>
  <si>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</si>
  <si>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</si>
  <si>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</si>
  <si>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</si>
  <si>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</si>
  <si>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</si>
  <si>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</si>
  <si>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</si>
  <si>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</si>
  <si>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</si>
  <si>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</si>
  <si>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</si>
  <si>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</si>
  <si>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黄村</t>
  </si>
  <si>
    <t>京土整储挂(兴)[2021]089号</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</si>
  <si>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</si>
  <si>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</si>
  <si>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</si>
  <si>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</si>
  <si>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</si>
  <si>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</si>
  <si>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</si>
  <si>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</si>
  <si>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</si>
  <si>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</si>
  <si>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</si>
  <si>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</si>
  <si>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</si>
  <si>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</si>
  <si>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北京市海淀区西北旺镇永丰产业基地(新)HD00-0403-003地块F3其他类多功能用地</t>
  </si>
  <si>
    <t>京土整储挂(海)[2021] 080号</t>
  </si>
  <si>
    <t>北京永丰数字先导科技有限责任公司</t>
  </si>
  <si>
    <t>北京城市副中心FZX-0902-0229、0230地块</t>
  </si>
  <si>
    <t>通州行政中心</t>
  </si>
  <si>
    <t>京土整储挂(通)[2021]032号</t>
  </si>
  <si>
    <t>B2商务用地</t>
  </si>
  <si>
    <t>商业40年 办公50年</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</si>
  <si>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</si>
  <si>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</si>
  <si>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</si>
  <si>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</si>
  <si>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</si>
  <si>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</si>
  <si>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</si>
  <si>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</si>
  <si>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长阳北</t>
  </si>
  <si>
    <t>京土整储挂(房)[2020]046号</t>
  </si>
  <si>
    <t>≤3</t>
  </si>
  <si>
    <t>2020-12-28</t>
  </si>
  <si>
    <t>北京北投新城开发建设有限公司 、北京城市副中心投资基金合伙企业(有限合伙)</t>
  </si>
  <si>
    <t>北京市海淀区西八里庄0711-652、640、641地块B4综合性商业金融服务业用地</t>
  </si>
  <si>
    <t>八里庄</t>
  </si>
  <si>
    <t>京土整储挂(海)[2020]042号</t>
  </si>
  <si>
    <t>0711一652≤4.5,0711一640≤1.7,0711一641≤1.3</t>
  </si>
  <si>
    <t>2020-12-02</t>
  </si>
  <si>
    <t>中国电建地产集团有限公司</t>
  </si>
  <si>
    <t>北京经济技术开发区路东区G4F-4、G6F-1、G6F-5、G7F-1、G7F-2、G7F-3地块F3其他类多功能用地国有建设用地</t>
  </si>
  <si>
    <t>京土整储挂(开)[2020]029号</t>
  </si>
  <si>
    <t>g4f-4≤3,g6f-1、g6f-5、g7f-1、g7f-2≤2.5,g7f-3≤1.96</t>
  </si>
  <si>
    <t>2020-08-03</t>
  </si>
  <si>
    <t>北京通明湖信息城发展有限公司</t>
  </si>
  <si>
    <t>北京市昌平区朱辛庄新区(二期)土地一级开发项目ZXZ-010地块F3其他类多功能用地</t>
  </si>
  <si>
    <t>昌平区</t>
  </si>
  <si>
    <t>朱辛庄</t>
  </si>
  <si>
    <t>京土整储挂(昌)[2020]005号</t>
  </si>
  <si>
    <t>2020-04-02</t>
  </si>
  <si>
    <t>北京裕聪置业有限公司</t>
  </si>
  <si>
    <t>北京市海淀区学院路北端A、B、C、J地块B4综合性商业金融服务业用地、B23研发设计用地</t>
  </si>
  <si>
    <t>京土整储招(海)[2019]034号</t>
  </si>
  <si>
    <t>≤4.04</t>
  </si>
  <si>
    <t>招标</t>
  </si>
  <si>
    <t>2019-12-02</t>
  </si>
  <si>
    <t>紫光集团有限公司 、紫光股份有限公司 、紫光国芯微电子股份有限公司 、北京紫光科技服务集团有限公司联合体</t>
  </si>
  <si>
    <t>北京市通州区潞城镇FZX-0901-0162地块F3其他类多功能用地</t>
  </si>
  <si>
    <t>京土整储挂(通)[2019]029号</t>
  </si>
  <si>
    <t>2019-10-17</t>
  </si>
  <si>
    <t>北京润置商业运营管理有限公司 、北京首都开发股份有限公司联合体</t>
  </si>
  <si>
    <t>北京经济技术开发区河西区X78C2地块B4综合性商业金融服务业用地</t>
  </si>
  <si>
    <t>河西区南部</t>
  </si>
  <si>
    <t>京土整储挂(开)[2019]019号</t>
  </si>
  <si>
    <t>办公50年、商业40年</t>
  </si>
  <si>
    <t>≤2</t>
  </si>
  <si>
    <t>2019-08-29</t>
  </si>
  <si>
    <t>北京尚恒锦瑞商业运营管理有限公司</t>
  </si>
  <si>
    <t>交易状态</t>
    <phoneticPr fontId="134" type="noConversion"/>
  </si>
  <si>
    <t>钢混</t>
  </si>
  <si>
    <t>非生产用房</t>
  </si>
  <si>
    <t>较规则</t>
  </si>
  <si>
    <t>较规则</t>
    <phoneticPr fontId="30" type="noConversion"/>
  </si>
  <si>
    <t>较不规则</t>
    <phoneticPr fontId="30" type="noConversion"/>
  </si>
  <si>
    <t>不规则</t>
    <phoneticPr fontId="30" type="noConversion"/>
  </si>
  <si>
    <t>规则</t>
    <phoneticPr fontId="30" type="noConversion"/>
  </si>
  <si>
    <t>较合适</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</si>
  <si>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</si>
  <si>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</si>
  <si>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</si>
  <si>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</si>
  <si>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</si>
  <si>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</si>
  <si>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较好</t>
  </si>
  <si>
    <t>较好</t>
    <phoneticPr fontId="30" type="noConversion"/>
  </si>
  <si>
    <t>较差</t>
  </si>
  <si>
    <t>未包含在土地购买价格中</t>
  </si>
  <si>
    <t>全部缴纳</t>
  </si>
  <si>
    <t>已包含在土地取得成本中</t>
  </si>
  <si>
    <t>住宅</t>
  </si>
  <si>
    <t>京土储挂(顺)[2024]024号</t>
    <phoneticPr fontId="134" type="noConversion"/>
  </si>
  <si>
    <t>京土储挂(通)〔2024〕031号</t>
    <phoneticPr fontId="134" type="noConversion"/>
  </si>
  <si>
    <t>京土储挂(通)[2023]042号</t>
    <phoneticPr fontId="134" type="noConversion"/>
  </si>
  <si>
    <t>京土储挂(兴临空)[2022]020号</t>
    <phoneticPr fontId="134" type="noConversion"/>
  </si>
  <si>
    <t>https://j.map.baidu.com/4d/TOEi</t>
    <phoneticPr fontId="134" type="noConversion"/>
  </si>
  <si>
    <t>临三通</t>
  </si>
  <si>
    <t>临三通</t>
    <phoneticPr fontId="30" type="noConversion"/>
  </si>
  <si>
    <t>自持</t>
    <phoneticPr fontId="30" type="noConversion"/>
  </si>
  <si>
    <t>是</t>
    <phoneticPr fontId="30" type="noConversion"/>
  </si>
  <si>
    <t>五通</t>
  </si>
  <si>
    <t>规则</t>
  </si>
  <si>
    <t>较不规则</t>
  </si>
  <si>
    <t>F3其他类多功能用地</t>
    <phoneticPr fontId="134" type="noConversion"/>
  </si>
  <si>
    <r>
      <t>F3</t>
    </r>
    <r>
      <rPr>
        <sz val="11"/>
        <rFont val="宋体"/>
        <family val="3"/>
        <charset val="134"/>
      </rPr>
      <t>其他类多功能用地</t>
    </r>
    <phoneticPr fontId="30" type="noConversion"/>
  </si>
  <si>
    <t>B4综合性商业金融服务用地</t>
    <phoneticPr fontId="134" type="noConversion"/>
  </si>
  <si>
    <t>B4综合性商业金融服务用地</t>
    <phoneticPr fontId="30" type="noConversion"/>
  </si>
  <si>
    <t>成本法</t>
  </si>
  <si>
    <t>地块</t>
    <phoneticPr fontId="134" type="noConversion"/>
  </si>
  <si>
    <t>估价对象</t>
    <phoneticPr fontId="134" type="noConversion"/>
  </si>
  <si>
    <t>土地面积</t>
    <phoneticPr fontId="134" type="noConversion"/>
  </si>
  <si>
    <t>建筑面积</t>
    <phoneticPr fontId="134" type="noConversion"/>
  </si>
  <si>
    <t>用途</t>
    <phoneticPr fontId="134" type="noConversion"/>
  </si>
  <si>
    <t>社区卫生服务用地</t>
    <phoneticPr fontId="134" type="noConversion"/>
  </si>
  <si>
    <t>商业用地</t>
    <phoneticPr fontId="134" type="noConversion"/>
  </si>
  <si>
    <t>公交场站用地</t>
    <phoneticPr fontId="134" type="noConversion"/>
  </si>
  <si>
    <t>住宅用地</t>
    <phoneticPr fontId="134" type="noConversion"/>
  </si>
  <si>
    <t>其他多功能用地</t>
    <phoneticPr fontId="134" type="noConversion"/>
  </si>
  <si>
    <t>地上建面</t>
    <phoneticPr fontId="134" type="noConversion"/>
  </si>
  <si>
    <t>地下建面</t>
    <phoneticPr fontId="134" type="noConversion"/>
  </si>
  <si>
    <t>总建面</t>
    <phoneticPr fontId="134" type="noConversion"/>
  </si>
  <si>
    <t>地上容积率</t>
    <phoneticPr fontId="134" type="noConversion"/>
  </si>
  <si>
    <t>合计</t>
    <phoneticPr fontId="134" type="noConversion"/>
  </si>
  <si>
    <t>住宅小计</t>
    <phoneticPr fontId="134" type="noConversion"/>
  </si>
  <si>
    <t>商业小计</t>
    <phoneticPr fontId="134" type="noConversion"/>
  </si>
  <si>
    <t>其他小计</t>
    <phoneticPr fontId="134" type="noConversion"/>
  </si>
  <si>
    <t>拆分拿地价</t>
    <phoneticPr fontId="134" type="noConversion"/>
  </si>
  <si>
    <t>地上总建安</t>
    <phoneticPr fontId="134" type="noConversion"/>
  </si>
  <si>
    <t>住宅+商业、多功能</t>
    <phoneticPr fontId="134" type="noConversion"/>
  </si>
  <si>
    <t>怡莱酒店</t>
    <phoneticPr fontId="134" type="noConversion"/>
  </si>
  <si>
    <t>价格</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</si>
  <si>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</si>
  <si>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</si>
  <si>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</si>
  <si>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</si>
  <si>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</si>
  <si>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</si>
  <si>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</si>
  <si>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</si>
  <si>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</si>
  <si>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公寓</t>
    <phoneticPr fontId="134" type="noConversion"/>
  </si>
  <si>
    <t>月租金</t>
    <phoneticPr fontId="134" type="noConversion"/>
  </si>
  <si>
    <t>日租金</t>
    <phoneticPr fontId="134" type="noConversion"/>
  </si>
  <si>
    <t>平层</t>
    <phoneticPr fontId="134" type="noConversion"/>
  </si>
  <si>
    <t>泊寓·北京(空港店)</t>
    <phoneticPr fontId="134" type="noConversion"/>
  </si>
  <si>
    <t>已全部缴纳</t>
  </si>
  <si>
    <t>商业</t>
    <phoneticPr fontId="134" type="noConversion"/>
  </si>
  <si>
    <t>楼层</t>
    <phoneticPr fontId="134" type="noConversion"/>
  </si>
  <si>
    <t>鼎顺嘉园东区</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</si>
  <si>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</si>
  <si>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</si>
  <si>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</si>
  <si>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</si>
  <si>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</si>
  <si>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</si>
  <si>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r>
      <t>5-6</t>
    </r>
    <r>
      <rPr>
        <sz val="9"/>
        <rFont val="宋体"/>
        <family val="3"/>
        <charset val="134"/>
      </rPr>
      <t>块</t>
    </r>
    <phoneticPr fontId="134" type="noConversion"/>
  </si>
  <si>
    <t>一般</t>
  </si>
  <si>
    <t>总价</t>
  </si>
  <si>
    <t>成本比率</t>
  </si>
  <si>
    <t>规划建筑面积</t>
  </si>
  <si>
    <t>分摊土地面积</t>
  </si>
  <si>
    <t>收益法</t>
  </si>
  <si>
    <t>押一</t>
  </si>
  <si>
    <t>否</t>
    <phoneticPr fontId="3" type="noConversion"/>
  </si>
  <si>
    <t>是</t>
    <phoneticPr fontId="3" type="noConversion"/>
  </si>
  <si>
    <t>否</t>
    <phoneticPr fontId="30" type="noConversion"/>
  </si>
  <si>
    <t>郑燚</t>
  </si>
  <si>
    <t>崔锴</t>
  </si>
  <si>
    <t>自定义容积率</t>
  </si>
  <si>
    <t>不临65条商业街</t>
  </si>
  <si>
    <t>通路</t>
  </si>
  <si>
    <t>通电</t>
  </si>
  <si>
    <t>通上水</t>
  </si>
  <si>
    <t>通下水</t>
  </si>
  <si>
    <t>平整</t>
  </si>
  <si>
    <t>中心城区以外</t>
  </si>
  <si>
    <t>综合项目（商业、办公）</t>
  </si>
  <si>
    <t>公共服务</t>
  </si>
  <si>
    <t>养老服务中心</t>
  </si>
  <si>
    <t>养老服务中心</t>
    <phoneticPr fontId="16" type="noConversion"/>
  </si>
  <si>
    <t>养老服务中心</t>
    <phoneticPr fontId="7" type="noConversion"/>
  </si>
  <si>
    <t>成新度</t>
  </si>
  <si>
    <t>混合</t>
    <phoneticPr fontId="3" type="noConversion"/>
  </si>
  <si>
    <t>直线</t>
    <phoneticPr fontId="3" type="noConversion"/>
  </si>
  <si>
    <t>观察</t>
    <phoneticPr fontId="3" type="noConversion"/>
  </si>
  <si>
    <t>综合</t>
    <phoneticPr fontId="3" type="noConversion"/>
  </si>
  <si>
    <r>
      <rPr>
        <sz val="10"/>
        <color indexed="8"/>
        <rFont val="宋体"/>
        <family val="3"/>
        <charset val="134"/>
      </rPr>
      <t>年租金</t>
    </r>
    <r>
      <rPr>
        <sz val="10"/>
        <color indexed="8"/>
        <rFont val="Arial"/>
        <family val="2"/>
      </rPr>
      <t>500</t>
    </r>
    <r>
      <rPr>
        <sz val="10"/>
        <color indexed="8"/>
        <rFont val="宋体"/>
        <family val="3"/>
        <charset val="134"/>
      </rPr>
      <t>万</t>
    </r>
    <phoneticPr fontId="3" type="noConversion"/>
  </si>
  <si>
    <t>通讯</t>
  </si>
  <si>
    <t>与级别开发程度一致</t>
  </si>
  <si>
    <t>现房</t>
  </si>
  <si>
    <t>面积</t>
    <phoneticPr fontId="134" type="noConversion"/>
  </si>
  <si>
    <t>月租金</t>
    <phoneticPr fontId="134" type="noConversion"/>
  </si>
  <si>
    <t>日租金</t>
    <phoneticPr fontId="134" type="noConversion"/>
  </si>
  <si>
    <t>盛坊路1号</t>
    <phoneticPr fontId="134" type="noConversion"/>
  </si>
  <si>
    <t>龙江路118号</t>
    <phoneticPr fontId="134" type="noConversion"/>
  </si>
  <si>
    <t>地址</t>
    <phoneticPr fontId="134" type="noConversion"/>
  </si>
  <si>
    <t>新源大街</t>
    <phoneticPr fontId="134" type="noConversion"/>
  </si>
  <si>
    <t>狼垡东路</t>
    <phoneticPr fontId="134" type="noConversion"/>
  </si>
  <si>
    <t>金时大街13号</t>
    <phoneticPr fontId="134" type="noConversion"/>
  </si>
  <si>
    <t>大兴区半壁店绿茵度假公寓1幢1-7层全部其他用房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</si>
</sst>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9"/>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7" applyFont="1" applyFill="1" applyProtection="1">
      <alignment vertical="center"/>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19" fillId="0" borderId="5" xfId="4" applyFont="1" applyBorder="1" applyAlignment="1" applyProtection="1">
      <alignment vertical="center"/>
      <protection locked="0"/>
    </xf>
    <xf numFmtId="0" fontId="107" fillId="0" borderId="0" xfId="0" applyFont="1" applyAlignment="1">
      <alignment horizontal="left" vertical="center" wrapText="1"/>
    </xf>
    <xf numFmtId="0" fontId="107" fillId="5" borderId="0" xfId="0"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0" xfId="0" applyFont="1" applyAlignment="1">
      <alignment horizontal="left" vertical="center"/>
    </xf>
    <xf numFmtId="0" fontId="273" fillId="0" borderId="0" xfId="19" applyNumberFormat="1" applyAlignment="1">
      <alignment horizontal="left" vertical="center"/>
    </xf>
    <xf numFmtId="0" fontId="274" fillId="5" borderId="0" xfId="0" applyFont="1" applyFill="1" applyAlignment="1">
      <alignment horizontal="left" vertical="center"/>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3" fillId="0" borderId="0" xfId="4" applyFont="1" applyAlignment="1" applyProtection="1">
      <alignment horizontal="left" vertical="center"/>
      <protection locked="0"/>
    </xf>
    <xf numFmtId="0" fontId="275" fillId="0" borderId="0" xfId="4" applyFont="1" applyAlignment="1" applyProtection="1">
      <alignment horizontal="left" vertical="center"/>
      <protection locked="0"/>
    </xf>
    <xf numFmtId="58" fontId="242" fillId="0" borderId="0" xfId="4" applyNumberFormat="1" applyFont="1" applyAlignment="1" applyProtection="1">
      <alignment horizontal="lef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Font="1" applyFill="1" applyBorder="1" applyAlignment="1" applyProtection="1">
      <alignment horizontal="center" vertical="center" wrapText="1"/>
      <protection locked="0"/>
    </xf>
    <xf numFmtId="9" fontId="47" fillId="0" borderId="0" xfId="17" applyFont="1" applyFill="1" applyProtection="1">
      <alignment vertical="center"/>
      <protection locked="0"/>
    </xf>
    <xf numFmtId="10" fontId="47" fillId="0" borderId="0" xfId="0" applyNumberFormat="1" applyFont="1" applyFill="1" applyProtection="1">
      <alignment vertical="center"/>
      <protection locked="0"/>
    </xf>
    <xf numFmtId="0" fontId="77" fillId="0" borderId="0" xfId="0" applyFont="1">
      <alignment vertical="center"/>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07" fillId="0" borderId="0" xfId="0" applyFont="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3" fontId="47" fillId="8" borderId="1" xfId="0" applyNumberFormat="1" applyFont="1" applyFill="1" applyBorder="1" applyAlignment="1" applyProtection="1">
      <alignment horizontal="center" vertical="center" shrinkToFi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93</xdr:row>
      <xdr:rowOff>133350</xdr:rowOff>
    </xdr:from>
    <xdr:to>
      <xdr:col>22</xdr:col>
      <xdr:colOff>179538</xdr:colOff>
      <xdr:row>125</xdr:row>
      <xdr:rowOff>8931</xdr:rowOff>
    </xdr:to>
    <xdr:pic>
      <xdr:nvPicPr>
        <xdr:cNvPr id="7" name="图片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0" y="28498800"/>
          <a:ext cx="11504763" cy="4752381"/>
        </a:xfrm>
        <a:prstGeom prst="rect">
          <a:avLst/>
        </a:prstGeom>
      </xdr:spPr>
    </xdr:pic>
    <xdr:clientData/>
  </xdr:twoCellAnchor>
  <xdr:twoCellAnchor editAs="oneCell">
    <xdr:from>
      <xdr:col>0</xdr:col>
      <xdr:colOff>0</xdr:colOff>
      <xdr:row>125</xdr:row>
      <xdr:rowOff>38100</xdr:rowOff>
    </xdr:from>
    <xdr:to>
      <xdr:col>22</xdr:col>
      <xdr:colOff>55728</xdr:colOff>
      <xdr:row>160</xdr:row>
      <xdr:rowOff>151719</xdr:rowOff>
    </xdr:to>
    <xdr:pic>
      <xdr:nvPicPr>
        <xdr:cNvPr id="8" name="图片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2"/>
        <a:stretch>
          <a:fillRect/>
        </a:stretch>
      </xdr:blipFill>
      <xdr:spPr>
        <a:xfrm>
          <a:off x="0" y="33280350"/>
          <a:ext cx="11380953" cy="5447619"/>
        </a:xfrm>
        <a:prstGeom prst="rect">
          <a:avLst/>
        </a:prstGeom>
      </xdr:spPr>
    </xdr:pic>
    <xdr:clientData/>
  </xdr:twoCellAnchor>
  <xdr:twoCellAnchor editAs="oneCell">
    <xdr:from>
      <xdr:col>0</xdr:col>
      <xdr:colOff>0</xdr:colOff>
      <xdr:row>160</xdr:row>
      <xdr:rowOff>123825</xdr:rowOff>
    </xdr:from>
    <xdr:to>
      <xdr:col>21</xdr:col>
      <xdr:colOff>112965</xdr:colOff>
      <xdr:row>191</xdr:row>
      <xdr:rowOff>94663</xdr:rowOff>
    </xdr:to>
    <xdr:pic>
      <xdr:nvPicPr>
        <xdr:cNvPr id="9" name="图片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3"/>
        <a:stretch>
          <a:fillRect/>
        </a:stretch>
      </xdr:blipFill>
      <xdr:spPr>
        <a:xfrm>
          <a:off x="0" y="38700075"/>
          <a:ext cx="10685715" cy="4695238"/>
        </a:xfrm>
        <a:prstGeom prst="rect">
          <a:avLst/>
        </a:prstGeom>
      </xdr:spPr>
    </xdr:pic>
    <xdr:clientData/>
  </xdr:twoCellAnchor>
  <xdr:twoCellAnchor editAs="oneCell">
    <xdr:from>
      <xdr:col>0</xdr:col>
      <xdr:colOff>0</xdr:colOff>
      <xdr:row>209</xdr:row>
      <xdr:rowOff>104775</xdr:rowOff>
    </xdr:from>
    <xdr:to>
      <xdr:col>21</xdr:col>
      <xdr:colOff>693917</xdr:colOff>
      <xdr:row>235</xdr:row>
      <xdr:rowOff>85232</xdr:rowOff>
    </xdr:to>
    <xdr:pic>
      <xdr:nvPicPr>
        <xdr:cNvPr id="10" name="图片 9">
          <a:extLst>
            <a:ext uri="{FF2B5EF4-FFF2-40B4-BE49-F238E27FC236}">
              <a16:creationId xmlns="" xmlns:a16="http://schemas.microsoft.com/office/drawing/2014/main" id="{00000000-0008-0000-1600-00000A000000}"/>
            </a:ext>
          </a:extLst>
        </xdr:cNvPr>
        <xdr:cNvPicPr>
          <a:picLocks noChangeAspect="1"/>
        </xdr:cNvPicPr>
      </xdr:nvPicPr>
      <xdr:blipFill>
        <a:blip xmlns:r="http://schemas.openxmlformats.org/officeDocument/2006/relationships" r:embed="rId4"/>
        <a:stretch>
          <a:fillRect/>
        </a:stretch>
      </xdr:blipFill>
      <xdr:spPr>
        <a:xfrm>
          <a:off x="0" y="46148625"/>
          <a:ext cx="11266667" cy="3942857"/>
        </a:xfrm>
        <a:prstGeom prst="rect">
          <a:avLst/>
        </a:prstGeom>
      </xdr:spPr>
    </xdr:pic>
    <xdr:clientData/>
  </xdr:twoCellAnchor>
  <xdr:twoCellAnchor editAs="oneCell">
    <xdr:from>
      <xdr:col>0</xdr:col>
      <xdr:colOff>0</xdr:colOff>
      <xdr:row>192</xdr:row>
      <xdr:rowOff>9525</xdr:rowOff>
    </xdr:from>
    <xdr:to>
      <xdr:col>7</xdr:col>
      <xdr:colOff>304800</xdr:colOff>
      <xdr:row>209</xdr:row>
      <xdr:rowOff>121017</xdr:rowOff>
    </xdr:to>
    <xdr:pic>
      <xdr:nvPicPr>
        <xdr:cNvPr id="12" name="图片 11">
          <a:extLst>
            <a:ext uri="{FF2B5EF4-FFF2-40B4-BE49-F238E27FC236}">
              <a16:creationId xmlns="" xmlns:a16="http://schemas.microsoft.com/office/drawing/2014/main" id="{00000000-0008-0000-1600-00000C000000}"/>
            </a:ext>
          </a:extLst>
        </xdr:cNvPr>
        <xdr:cNvPicPr>
          <a:picLocks noChangeAspect="1"/>
        </xdr:cNvPicPr>
      </xdr:nvPicPr>
      <xdr:blipFill>
        <a:blip xmlns:r="http://schemas.openxmlformats.org/officeDocument/2006/relationships" r:embed="rId5"/>
        <a:stretch>
          <a:fillRect/>
        </a:stretch>
      </xdr:blipFill>
      <xdr:spPr>
        <a:xfrm>
          <a:off x="0" y="43462575"/>
          <a:ext cx="4562475" cy="2702292"/>
        </a:xfrm>
        <a:prstGeom prst="rect">
          <a:avLst/>
        </a:prstGeom>
      </xdr:spPr>
    </xdr:pic>
    <xdr:clientData/>
  </xdr:twoCellAnchor>
  <xdr:twoCellAnchor editAs="oneCell">
    <xdr:from>
      <xdr:col>0</xdr:col>
      <xdr:colOff>0</xdr:colOff>
      <xdr:row>390</xdr:row>
      <xdr:rowOff>142875</xdr:rowOff>
    </xdr:from>
    <xdr:to>
      <xdr:col>22</xdr:col>
      <xdr:colOff>103347</xdr:colOff>
      <xdr:row>422</xdr:row>
      <xdr:rowOff>56552</xdr:rowOff>
    </xdr:to>
    <xdr:pic>
      <xdr:nvPicPr>
        <xdr:cNvPr id="14" name="图片 13">
          <a:extLst>
            <a:ext uri="{FF2B5EF4-FFF2-40B4-BE49-F238E27FC236}">
              <a16:creationId xmlns="" xmlns:a16="http://schemas.microsoft.com/office/drawing/2014/main" id="{00000000-0008-0000-1600-00000E000000}"/>
            </a:ext>
          </a:extLst>
        </xdr:cNvPr>
        <xdr:cNvPicPr>
          <a:picLocks noChangeAspect="1"/>
        </xdr:cNvPicPr>
      </xdr:nvPicPr>
      <xdr:blipFill>
        <a:blip xmlns:r="http://schemas.openxmlformats.org/officeDocument/2006/relationships" r:embed="rId6"/>
        <a:stretch>
          <a:fillRect/>
        </a:stretch>
      </xdr:blipFill>
      <xdr:spPr>
        <a:xfrm>
          <a:off x="0" y="78647925"/>
          <a:ext cx="11428572" cy="4790477"/>
        </a:xfrm>
        <a:prstGeom prst="rect">
          <a:avLst/>
        </a:prstGeom>
      </xdr:spPr>
    </xdr:pic>
    <xdr:clientData/>
  </xdr:twoCellAnchor>
  <xdr:twoCellAnchor editAs="oneCell">
    <xdr:from>
      <xdr:col>0</xdr:col>
      <xdr:colOff>0</xdr:colOff>
      <xdr:row>422</xdr:row>
      <xdr:rowOff>123825</xdr:rowOff>
    </xdr:from>
    <xdr:to>
      <xdr:col>22</xdr:col>
      <xdr:colOff>93823</xdr:colOff>
      <xdr:row>458</xdr:row>
      <xdr:rowOff>27902</xdr:rowOff>
    </xdr:to>
    <xdr:pic>
      <xdr:nvPicPr>
        <xdr:cNvPr id="15" name="图片 14">
          <a:extLst>
            <a:ext uri="{FF2B5EF4-FFF2-40B4-BE49-F238E27FC236}">
              <a16:creationId xmlns="" xmlns:a16="http://schemas.microsoft.com/office/drawing/2014/main" id="{00000000-0008-0000-1600-00000F000000}"/>
            </a:ext>
          </a:extLst>
        </xdr:cNvPr>
        <xdr:cNvPicPr>
          <a:picLocks noChangeAspect="1"/>
        </xdr:cNvPicPr>
      </xdr:nvPicPr>
      <xdr:blipFill>
        <a:blip xmlns:r="http://schemas.openxmlformats.org/officeDocument/2006/relationships" r:embed="rId7"/>
        <a:stretch>
          <a:fillRect/>
        </a:stretch>
      </xdr:blipFill>
      <xdr:spPr>
        <a:xfrm>
          <a:off x="0" y="83505675"/>
          <a:ext cx="11419048" cy="5390477"/>
        </a:xfrm>
        <a:prstGeom prst="rect">
          <a:avLst/>
        </a:prstGeom>
      </xdr:spPr>
    </xdr:pic>
    <xdr:clientData/>
  </xdr:twoCellAnchor>
  <xdr:twoCellAnchor editAs="oneCell">
    <xdr:from>
      <xdr:col>0</xdr:col>
      <xdr:colOff>0</xdr:colOff>
      <xdr:row>458</xdr:row>
      <xdr:rowOff>66675</xdr:rowOff>
    </xdr:from>
    <xdr:to>
      <xdr:col>20</xdr:col>
      <xdr:colOff>836913</xdr:colOff>
      <xdr:row>489</xdr:row>
      <xdr:rowOff>56561</xdr:rowOff>
    </xdr:to>
    <xdr:pic>
      <xdr:nvPicPr>
        <xdr:cNvPr id="16" name="图片 15">
          <a:extLst>
            <a:ext uri="{FF2B5EF4-FFF2-40B4-BE49-F238E27FC236}">
              <a16:creationId xmlns="" xmlns:a16="http://schemas.microsoft.com/office/drawing/2014/main" id="{00000000-0008-0000-1600-000010000000}"/>
            </a:ext>
          </a:extLst>
        </xdr:cNvPr>
        <xdr:cNvPicPr>
          <a:picLocks noChangeAspect="1"/>
        </xdr:cNvPicPr>
      </xdr:nvPicPr>
      <xdr:blipFill>
        <a:blip xmlns:r="http://schemas.openxmlformats.org/officeDocument/2006/relationships" r:embed="rId8"/>
        <a:stretch>
          <a:fillRect/>
        </a:stretch>
      </xdr:blipFill>
      <xdr:spPr>
        <a:xfrm>
          <a:off x="0" y="88934925"/>
          <a:ext cx="10304763" cy="4714286"/>
        </a:xfrm>
        <a:prstGeom prst="rect">
          <a:avLst/>
        </a:prstGeom>
      </xdr:spPr>
    </xdr:pic>
    <xdr:clientData/>
  </xdr:twoCellAnchor>
  <xdr:twoCellAnchor editAs="oneCell">
    <xdr:from>
      <xdr:col>0</xdr:col>
      <xdr:colOff>0</xdr:colOff>
      <xdr:row>490</xdr:row>
      <xdr:rowOff>47625</xdr:rowOff>
    </xdr:from>
    <xdr:to>
      <xdr:col>21</xdr:col>
      <xdr:colOff>646298</xdr:colOff>
      <xdr:row>515</xdr:row>
      <xdr:rowOff>85244</xdr:rowOff>
    </xdr:to>
    <xdr:pic>
      <xdr:nvPicPr>
        <xdr:cNvPr id="17" name="图片 16">
          <a:extLst>
            <a:ext uri="{FF2B5EF4-FFF2-40B4-BE49-F238E27FC236}">
              <a16:creationId xmlns="" xmlns:a16="http://schemas.microsoft.com/office/drawing/2014/main" id="{00000000-0008-0000-1600-000011000000}"/>
            </a:ext>
          </a:extLst>
        </xdr:cNvPr>
        <xdr:cNvPicPr>
          <a:picLocks noChangeAspect="1"/>
        </xdr:cNvPicPr>
      </xdr:nvPicPr>
      <xdr:blipFill>
        <a:blip xmlns:r="http://schemas.openxmlformats.org/officeDocument/2006/relationships" r:embed="rId9"/>
        <a:stretch>
          <a:fillRect/>
        </a:stretch>
      </xdr:blipFill>
      <xdr:spPr>
        <a:xfrm>
          <a:off x="0" y="93792675"/>
          <a:ext cx="11219048" cy="3847619"/>
        </a:xfrm>
        <a:prstGeom prst="rect">
          <a:avLst/>
        </a:prstGeom>
      </xdr:spPr>
    </xdr:pic>
    <xdr:clientData/>
  </xdr:twoCellAnchor>
  <xdr:twoCellAnchor editAs="oneCell">
    <xdr:from>
      <xdr:col>22</xdr:col>
      <xdr:colOff>0</xdr:colOff>
      <xdr:row>469</xdr:row>
      <xdr:rowOff>9525</xdr:rowOff>
    </xdr:from>
    <xdr:to>
      <xdr:col>32</xdr:col>
      <xdr:colOff>437517</xdr:colOff>
      <xdr:row>501</xdr:row>
      <xdr:rowOff>18440</xdr:rowOff>
    </xdr:to>
    <xdr:pic>
      <xdr:nvPicPr>
        <xdr:cNvPr id="18" name="图片 17">
          <a:extLst>
            <a:ext uri="{FF2B5EF4-FFF2-40B4-BE49-F238E27FC236}">
              <a16:creationId xmlns="" xmlns:a16="http://schemas.microsoft.com/office/drawing/2014/main" id="{00000000-0008-0000-1600-000012000000}"/>
            </a:ext>
          </a:extLst>
        </xdr:cNvPr>
        <xdr:cNvPicPr>
          <a:picLocks noChangeAspect="1"/>
        </xdr:cNvPicPr>
      </xdr:nvPicPr>
      <xdr:blipFill>
        <a:blip xmlns:r="http://schemas.openxmlformats.org/officeDocument/2006/relationships" r:embed="rId10"/>
        <a:stretch>
          <a:fillRect/>
        </a:stretch>
      </xdr:blipFill>
      <xdr:spPr>
        <a:xfrm>
          <a:off x="11325225" y="90554175"/>
          <a:ext cx="5066667" cy="4885715"/>
        </a:xfrm>
        <a:prstGeom prst="rect">
          <a:avLst/>
        </a:prstGeom>
      </xdr:spPr>
    </xdr:pic>
    <xdr:clientData/>
  </xdr:twoCellAnchor>
  <xdr:twoCellAnchor editAs="oneCell">
    <xdr:from>
      <xdr:col>0</xdr:col>
      <xdr:colOff>0</xdr:colOff>
      <xdr:row>518</xdr:row>
      <xdr:rowOff>95250</xdr:rowOff>
    </xdr:from>
    <xdr:to>
      <xdr:col>22</xdr:col>
      <xdr:colOff>179538</xdr:colOff>
      <xdr:row>549</xdr:row>
      <xdr:rowOff>132755</xdr:rowOff>
    </xdr:to>
    <xdr:pic>
      <xdr:nvPicPr>
        <xdr:cNvPr id="19" name="图片 18">
          <a:extLst>
            <a:ext uri="{FF2B5EF4-FFF2-40B4-BE49-F238E27FC236}">
              <a16:creationId xmlns="" xmlns:a16="http://schemas.microsoft.com/office/drawing/2014/main" id="{00000000-0008-0000-1600-000013000000}"/>
            </a:ext>
          </a:extLst>
        </xdr:cNvPr>
        <xdr:cNvPicPr>
          <a:picLocks noChangeAspect="1"/>
        </xdr:cNvPicPr>
      </xdr:nvPicPr>
      <xdr:blipFill>
        <a:blip xmlns:r="http://schemas.openxmlformats.org/officeDocument/2006/relationships" r:embed="rId11"/>
        <a:stretch>
          <a:fillRect/>
        </a:stretch>
      </xdr:blipFill>
      <xdr:spPr>
        <a:xfrm>
          <a:off x="0" y="98107500"/>
          <a:ext cx="11504763" cy="4761905"/>
        </a:xfrm>
        <a:prstGeom prst="rect">
          <a:avLst/>
        </a:prstGeom>
      </xdr:spPr>
    </xdr:pic>
    <xdr:clientData/>
  </xdr:twoCellAnchor>
  <xdr:twoCellAnchor editAs="oneCell">
    <xdr:from>
      <xdr:col>0</xdr:col>
      <xdr:colOff>0</xdr:colOff>
      <xdr:row>550</xdr:row>
      <xdr:rowOff>95250</xdr:rowOff>
    </xdr:from>
    <xdr:to>
      <xdr:col>22</xdr:col>
      <xdr:colOff>55728</xdr:colOff>
      <xdr:row>586</xdr:row>
      <xdr:rowOff>132660</xdr:rowOff>
    </xdr:to>
    <xdr:pic>
      <xdr:nvPicPr>
        <xdr:cNvPr id="20" name="图片 19">
          <a:extLst>
            <a:ext uri="{FF2B5EF4-FFF2-40B4-BE49-F238E27FC236}">
              <a16:creationId xmlns="" xmlns:a16="http://schemas.microsoft.com/office/drawing/2014/main" id="{00000000-0008-0000-1600-000014000000}"/>
            </a:ext>
          </a:extLst>
        </xdr:cNvPr>
        <xdr:cNvPicPr>
          <a:picLocks noChangeAspect="1"/>
        </xdr:cNvPicPr>
      </xdr:nvPicPr>
      <xdr:blipFill>
        <a:blip xmlns:r="http://schemas.openxmlformats.org/officeDocument/2006/relationships" r:embed="rId12"/>
        <a:stretch>
          <a:fillRect/>
        </a:stretch>
      </xdr:blipFill>
      <xdr:spPr>
        <a:xfrm>
          <a:off x="0" y="102984300"/>
          <a:ext cx="11380953" cy="5523810"/>
        </a:xfrm>
        <a:prstGeom prst="rect">
          <a:avLst/>
        </a:prstGeom>
      </xdr:spPr>
    </xdr:pic>
    <xdr:clientData/>
  </xdr:twoCellAnchor>
  <xdr:twoCellAnchor editAs="oneCell">
    <xdr:from>
      <xdr:col>0</xdr:col>
      <xdr:colOff>0</xdr:colOff>
      <xdr:row>587</xdr:row>
      <xdr:rowOff>47625</xdr:rowOff>
    </xdr:from>
    <xdr:to>
      <xdr:col>20</xdr:col>
      <xdr:colOff>798817</xdr:colOff>
      <xdr:row>617</xdr:row>
      <xdr:rowOff>142292</xdr:rowOff>
    </xdr:to>
    <xdr:pic>
      <xdr:nvPicPr>
        <xdr:cNvPr id="21" name="图片 20">
          <a:extLst>
            <a:ext uri="{FF2B5EF4-FFF2-40B4-BE49-F238E27FC236}">
              <a16:creationId xmlns="" xmlns:a16="http://schemas.microsoft.com/office/drawing/2014/main" id="{00000000-0008-0000-1600-000015000000}"/>
            </a:ext>
          </a:extLst>
        </xdr:cNvPr>
        <xdr:cNvPicPr>
          <a:picLocks noChangeAspect="1"/>
        </xdr:cNvPicPr>
      </xdr:nvPicPr>
      <xdr:blipFill>
        <a:blip xmlns:r="http://schemas.openxmlformats.org/officeDocument/2006/relationships" r:embed="rId13"/>
        <a:stretch>
          <a:fillRect/>
        </a:stretch>
      </xdr:blipFill>
      <xdr:spPr>
        <a:xfrm>
          <a:off x="0" y="108575475"/>
          <a:ext cx="10266667" cy="4666667"/>
        </a:xfrm>
        <a:prstGeom prst="rect">
          <a:avLst/>
        </a:prstGeom>
      </xdr:spPr>
    </xdr:pic>
    <xdr:clientData/>
  </xdr:twoCellAnchor>
  <xdr:twoCellAnchor editAs="oneCell">
    <xdr:from>
      <xdr:col>0</xdr:col>
      <xdr:colOff>0</xdr:colOff>
      <xdr:row>618</xdr:row>
      <xdr:rowOff>19050</xdr:rowOff>
    </xdr:from>
    <xdr:to>
      <xdr:col>21</xdr:col>
      <xdr:colOff>693917</xdr:colOff>
      <xdr:row>643</xdr:row>
      <xdr:rowOff>85241</xdr:rowOff>
    </xdr:to>
    <xdr:pic>
      <xdr:nvPicPr>
        <xdr:cNvPr id="22" name="图片 21">
          <a:extLst>
            <a:ext uri="{FF2B5EF4-FFF2-40B4-BE49-F238E27FC236}">
              <a16:creationId xmlns="" xmlns:a16="http://schemas.microsoft.com/office/drawing/2014/main" id="{00000000-0008-0000-1600-000016000000}"/>
            </a:ext>
          </a:extLst>
        </xdr:cNvPr>
        <xdr:cNvPicPr>
          <a:picLocks noChangeAspect="1"/>
        </xdr:cNvPicPr>
      </xdr:nvPicPr>
      <xdr:blipFill>
        <a:blip xmlns:r="http://schemas.openxmlformats.org/officeDocument/2006/relationships" r:embed="rId14"/>
        <a:stretch>
          <a:fillRect/>
        </a:stretch>
      </xdr:blipFill>
      <xdr:spPr>
        <a:xfrm>
          <a:off x="0" y="113271300"/>
          <a:ext cx="11266667" cy="3876191"/>
        </a:xfrm>
        <a:prstGeom prst="rect">
          <a:avLst/>
        </a:prstGeom>
      </xdr:spPr>
    </xdr:pic>
    <xdr:clientData/>
  </xdr:twoCellAnchor>
  <xdr:twoCellAnchor editAs="oneCell">
    <xdr:from>
      <xdr:col>0</xdr:col>
      <xdr:colOff>0</xdr:colOff>
      <xdr:row>644</xdr:row>
      <xdr:rowOff>47625</xdr:rowOff>
    </xdr:from>
    <xdr:to>
      <xdr:col>15</xdr:col>
      <xdr:colOff>722923</xdr:colOff>
      <xdr:row>669</xdr:row>
      <xdr:rowOff>47149</xdr:rowOff>
    </xdr:to>
    <xdr:pic>
      <xdr:nvPicPr>
        <xdr:cNvPr id="23" name="图片 22">
          <a:extLst>
            <a:ext uri="{FF2B5EF4-FFF2-40B4-BE49-F238E27FC236}">
              <a16:creationId xmlns="" xmlns:a16="http://schemas.microsoft.com/office/drawing/2014/main" id="{00000000-0008-0000-1600-000017000000}"/>
            </a:ext>
          </a:extLst>
        </xdr:cNvPr>
        <xdr:cNvPicPr>
          <a:picLocks noChangeAspect="1"/>
        </xdr:cNvPicPr>
      </xdr:nvPicPr>
      <xdr:blipFill>
        <a:blip xmlns:r="http://schemas.openxmlformats.org/officeDocument/2006/relationships" r:embed="rId15"/>
        <a:stretch>
          <a:fillRect/>
        </a:stretch>
      </xdr:blipFill>
      <xdr:spPr>
        <a:xfrm>
          <a:off x="0" y="117262275"/>
          <a:ext cx="7819048" cy="3809524"/>
        </a:xfrm>
        <a:prstGeom prst="rect">
          <a:avLst/>
        </a:prstGeom>
      </xdr:spPr>
    </xdr:pic>
    <xdr:clientData/>
  </xdr:twoCellAnchor>
  <xdr:twoCellAnchor editAs="oneCell">
    <xdr:from>
      <xdr:col>0</xdr:col>
      <xdr:colOff>0</xdr:colOff>
      <xdr:row>54</xdr:row>
      <xdr:rowOff>9525</xdr:rowOff>
    </xdr:from>
    <xdr:to>
      <xdr:col>18</xdr:col>
      <xdr:colOff>446629</xdr:colOff>
      <xdr:row>86</xdr:row>
      <xdr:rowOff>104154</xdr:rowOff>
    </xdr:to>
    <xdr:pic>
      <xdr:nvPicPr>
        <xdr:cNvPr id="24" name="图片 23">
          <a:extLst>
            <a:ext uri="{FF2B5EF4-FFF2-40B4-BE49-F238E27FC236}">
              <a16:creationId xmlns="" xmlns:a16="http://schemas.microsoft.com/office/drawing/2014/main" id="{00000000-0008-0000-1600-000018000000}"/>
            </a:ext>
          </a:extLst>
        </xdr:cNvPr>
        <xdr:cNvPicPr>
          <a:picLocks noChangeAspect="1"/>
        </xdr:cNvPicPr>
      </xdr:nvPicPr>
      <xdr:blipFill>
        <a:blip xmlns:r="http://schemas.openxmlformats.org/officeDocument/2006/relationships" r:embed="rId16"/>
        <a:stretch>
          <a:fillRect/>
        </a:stretch>
      </xdr:blipFill>
      <xdr:spPr>
        <a:xfrm>
          <a:off x="0" y="8391525"/>
          <a:ext cx="8371429" cy="4971429"/>
        </a:xfrm>
        <a:prstGeom prst="rect">
          <a:avLst/>
        </a:prstGeom>
      </xdr:spPr>
    </xdr:pic>
    <xdr:clientData/>
  </xdr:twoCellAnchor>
  <xdr:twoCellAnchor editAs="oneCell">
    <xdr:from>
      <xdr:col>0</xdr:col>
      <xdr:colOff>0</xdr:colOff>
      <xdr:row>362</xdr:row>
      <xdr:rowOff>28575</xdr:rowOff>
    </xdr:from>
    <xdr:to>
      <xdr:col>21</xdr:col>
      <xdr:colOff>741536</xdr:colOff>
      <xdr:row>387</xdr:row>
      <xdr:rowOff>85242</xdr:rowOff>
    </xdr:to>
    <xdr:pic>
      <xdr:nvPicPr>
        <xdr:cNvPr id="11" name="图片 10">
          <a:extLst>
            <a:ext uri="{FF2B5EF4-FFF2-40B4-BE49-F238E27FC236}">
              <a16:creationId xmlns="" xmlns:a16="http://schemas.microsoft.com/office/drawing/2014/main" id="{31A56943-6A49-4104-AADC-59B167917EF2}"/>
            </a:ext>
          </a:extLst>
        </xdr:cNvPr>
        <xdr:cNvPicPr>
          <a:picLocks noChangeAspect="1"/>
        </xdr:cNvPicPr>
      </xdr:nvPicPr>
      <xdr:blipFill>
        <a:blip xmlns:r="http://schemas.openxmlformats.org/officeDocument/2006/relationships" r:embed="rId17"/>
        <a:stretch>
          <a:fillRect/>
        </a:stretch>
      </xdr:blipFill>
      <xdr:spPr>
        <a:xfrm>
          <a:off x="0" y="74266425"/>
          <a:ext cx="11314286" cy="3866667"/>
        </a:xfrm>
        <a:prstGeom prst="rect">
          <a:avLst/>
        </a:prstGeom>
      </xdr:spPr>
    </xdr:pic>
    <xdr:clientData/>
  </xdr:twoCellAnchor>
  <xdr:twoCellAnchor editAs="oneCell">
    <xdr:from>
      <xdr:col>0</xdr:col>
      <xdr:colOff>0</xdr:colOff>
      <xdr:row>340</xdr:row>
      <xdr:rowOff>133350</xdr:rowOff>
    </xdr:from>
    <xdr:to>
      <xdr:col>15</xdr:col>
      <xdr:colOff>322923</xdr:colOff>
      <xdr:row>360</xdr:row>
      <xdr:rowOff>132969</xdr:rowOff>
    </xdr:to>
    <xdr:pic>
      <xdr:nvPicPr>
        <xdr:cNvPr id="13" name="图片 12">
          <a:extLst>
            <a:ext uri="{FF2B5EF4-FFF2-40B4-BE49-F238E27FC236}">
              <a16:creationId xmlns="" xmlns:a16="http://schemas.microsoft.com/office/drawing/2014/main" id="{D2E85EB8-2F30-4B73-BAC8-41A8D919A0DC}"/>
            </a:ext>
          </a:extLst>
        </xdr:cNvPr>
        <xdr:cNvPicPr>
          <a:picLocks noChangeAspect="1"/>
        </xdr:cNvPicPr>
      </xdr:nvPicPr>
      <xdr:blipFill>
        <a:blip xmlns:r="http://schemas.openxmlformats.org/officeDocument/2006/relationships" r:embed="rId18"/>
        <a:stretch>
          <a:fillRect/>
        </a:stretch>
      </xdr:blipFill>
      <xdr:spPr>
        <a:xfrm>
          <a:off x="0" y="71018400"/>
          <a:ext cx="7419048" cy="3047619"/>
        </a:xfrm>
        <a:prstGeom prst="rect">
          <a:avLst/>
        </a:prstGeom>
      </xdr:spPr>
    </xdr:pic>
    <xdr:clientData/>
  </xdr:twoCellAnchor>
  <xdr:twoCellAnchor editAs="oneCell">
    <xdr:from>
      <xdr:col>0</xdr:col>
      <xdr:colOff>0</xdr:colOff>
      <xdr:row>309</xdr:row>
      <xdr:rowOff>9525</xdr:rowOff>
    </xdr:from>
    <xdr:to>
      <xdr:col>21</xdr:col>
      <xdr:colOff>27251</xdr:colOff>
      <xdr:row>339</xdr:row>
      <xdr:rowOff>142287</xdr:rowOff>
    </xdr:to>
    <xdr:pic>
      <xdr:nvPicPr>
        <xdr:cNvPr id="25" name="图片 24">
          <a:extLst>
            <a:ext uri="{FF2B5EF4-FFF2-40B4-BE49-F238E27FC236}">
              <a16:creationId xmlns="" xmlns:a16="http://schemas.microsoft.com/office/drawing/2014/main" id="{631CABBB-695A-4915-ABDF-67B390C07D93}"/>
            </a:ext>
          </a:extLst>
        </xdr:cNvPr>
        <xdr:cNvPicPr>
          <a:picLocks noChangeAspect="1"/>
        </xdr:cNvPicPr>
      </xdr:nvPicPr>
      <xdr:blipFill>
        <a:blip xmlns:r="http://schemas.openxmlformats.org/officeDocument/2006/relationships" r:embed="rId19"/>
        <a:stretch>
          <a:fillRect/>
        </a:stretch>
      </xdr:blipFill>
      <xdr:spPr>
        <a:xfrm>
          <a:off x="0" y="66170175"/>
          <a:ext cx="10600001" cy="4704762"/>
        </a:xfrm>
        <a:prstGeom prst="rect">
          <a:avLst/>
        </a:prstGeom>
      </xdr:spPr>
    </xdr:pic>
    <xdr:clientData/>
  </xdr:twoCellAnchor>
  <xdr:twoCellAnchor editAs="oneCell">
    <xdr:from>
      <xdr:col>0</xdr:col>
      <xdr:colOff>0</xdr:colOff>
      <xdr:row>272</xdr:row>
      <xdr:rowOff>95250</xdr:rowOff>
    </xdr:from>
    <xdr:to>
      <xdr:col>22</xdr:col>
      <xdr:colOff>84300</xdr:colOff>
      <xdr:row>308</xdr:row>
      <xdr:rowOff>142184</xdr:rowOff>
    </xdr:to>
    <xdr:pic>
      <xdr:nvPicPr>
        <xdr:cNvPr id="26" name="图片 25">
          <a:extLst>
            <a:ext uri="{FF2B5EF4-FFF2-40B4-BE49-F238E27FC236}">
              <a16:creationId xmlns="" xmlns:a16="http://schemas.microsoft.com/office/drawing/2014/main" id="{2335D9B7-D73C-4918-93C4-845D5D71D53B}"/>
            </a:ext>
          </a:extLst>
        </xdr:cNvPr>
        <xdr:cNvPicPr>
          <a:picLocks noChangeAspect="1"/>
        </xdr:cNvPicPr>
      </xdr:nvPicPr>
      <xdr:blipFill>
        <a:blip xmlns:r="http://schemas.openxmlformats.org/officeDocument/2006/relationships" r:embed="rId20"/>
        <a:stretch>
          <a:fillRect/>
        </a:stretch>
      </xdr:blipFill>
      <xdr:spPr>
        <a:xfrm>
          <a:off x="0" y="60617100"/>
          <a:ext cx="11409525" cy="5533334"/>
        </a:xfrm>
        <a:prstGeom prst="rect">
          <a:avLst/>
        </a:prstGeom>
      </xdr:spPr>
    </xdr:pic>
    <xdr:clientData/>
  </xdr:twoCellAnchor>
  <xdr:twoCellAnchor editAs="oneCell">
    <xdr:from>
      <xdr:col>0</xdr:col>
      <xdr:colOff>0</xdr:colOff>
      <xdr:row>240</xdr:row>
      <xdr:rowOff>28575</xdr:rowOff>
    </xdr:from>
    <xdr:to>
      <xdr:col>22</xdr:col>
      <xdr:colOff>217633</xdr:colOff>
      <xdr:row>271</xdr:row>
      <xdr:rowOff>151794</xdr:rowOff>
    </xdr:to>
    <xdr:pic>
      <xdr:nvPicPr>
        <xdr:cNvPr id="27" name="图片 26">
          <a:extLst>
            <a:ext uri="{FF2B5EF4-FFF2-40B4-BE49-F238E27FC236}">
              <a16:creationId xmlns="" xmlns:a16="http://schemas.microsoft.com/office/drawing/2014/main" id="{F52AC28B-CCE8-4066-81DC-D83942CE9152}"/>
            </a:ext>
          </a:extLst>
        </xdr:cNvPr>
        <xdr:cNvPicPr>
          <a:picLocks noChangeAspect="1"/>
        </xdr:cNvPicPr>
      </xdr:nvPicPr>
      <xdr:blipFill>
        <a:blip xmlns:r="http://schemas.openxmlformats.org/officeDocument/2006/relationships" r:embed="rId21"/>
        <a:stretch>
          <a:fillRect/>
        </a:stretch>
      </xdr:blipFill>
      <xdr:spPr>
        <a:xfrm>
          <a:off x="0" y="55978425"/>
          <a:ext cx="11542858" cy="4847619"/>
        </a:xfrm>
        <a:prstGeom prst="rect">
          <a:avLst/>
        </a:prstGeom>
      </xdr:spPr>
    </xdr:pic>
    <xdr:clientData/>
  </xdr:twoCellAnchor>
  <xdr:twoCellAnchor>
    <xdr:from>
      <xdr:col>5</xdr:col>
      <xdr:colOff>323850</xdr:colOff>
      <xdr:row>55</xdr:row>
      <xdr:rowOff>19050</xdr:rowOff>
    </xdr:from>
    <xdr:to>
      <xdr:col>6</xdr:col>
      <xdr:colOff>552450</xdr:colOff>
      <xdr:row>57</xdr:row>
      <xdr:rowOff>133350</xdr:rowOff>
    </xdr:to>
    <xdr:sp macro="" textlink="">
      <xdr:nvSpPr>
        <xdr:cNvPr id="28" name="对话气泡: 椭圆形 27">
          <a:extLst>
            <a:ext uri="{FF2B5EF4-FFF2-40B4-BE49-F238E27FC236}">
              <a16:creationId xmlns="" xmlns:a16="http://schemas.microsoft.com/office/drawing/2014/main" id="{E78F8D33-4E2B-574D-5626-C9D70EC434F1}"/>
            </a:ext>
          </a:extLst>
        </xdr:cNvPr>
        <xdr:cNvSpPr/>
      </xdr:nvSpPr>
      <xdr:spPr>
        <a:xfrm>
          <a:off x="2971800" y="8572500"/>
          <a:ext cx="107632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4</xdr:col>
      <xdr:colOff>247650</xdr:colOff>
      <xdr:row>60</xdr:row>
      <xdr:rowOff>57150</xdr:rowOff>
    </xdr:from>
    <xdr:to>
      <xdr:col>5</xdr:col>
      <xdr:colOff>695325</xdr:colOff>
      <xdr:row>63</xdr:row>
      <xdr:rowOff>19050</xdr:rowOff>
    </xdr:to>
    <xdr:sp macro="" textlink="">
      <xdr:nvSpPr>
        <xdr:cNvPr id="29" name="对话气泡: 椭圆形 28">
          <a:extLst>
            <a:ext uri="{FF2B5EF4-FFF2-40B4-BE49-F238E27FC236}">
              <a16:creationId xmlns="" xmlns:a16="http://schemas.microsoft.com/office/drawing/2014/main" id="{BEB85D17-A54F-4986-A299-A71270DC9441}"/>
            </a:ext>
          </a:extLst>
        </xdr:cNvPr>
        <xdr:cNvSpPr/>
      </xdr:nvSpPr>
      <xdr:spPr>
        <a:xfrm>
          <a:off x="2266950" y="9372600"/>
          <a:ext cx="1076325" cy="419100"/>
        </a:xfrm>
        <a:prstGeom prst="wedgeEllipseCallout">
          <a:avLst>
            <a:gd name="adj1" fmla="val 75627"/>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5</xdr:col>
      <xdr:colOff>495300</xdr:colOff>
      <xdr:row>65</xdr:row>
      <xdr:rowOff>133350</xdr:rowOff>
    </xdr:from>
    <xdr:to>
      <xdr:col>6</xdr:col>
      <xdr:colOff>590550</xdr:colOff>
      <xdr:row>68</xdr:row>
      <xdr:rowOff>95250</xdr:rowOff>
    </xdr:to>
    <xdr:sp macro="" textlink="">
      <xdr:nvSpPr>
        <xdr:cNvPr id="30" name="对话气泡: 椭圆形 29">
          <a:extLst>
            <a:ext uri="{FF2B5EF4-FFF2-40B4-BE49-F238E27FC236}">
              <a16:creationId xmlns="" xmlns:a16="http://schemas.microsoft.com/office/drawing/2014/main" id="{58193C0D-0D95-4D79-A617-23E3BEBF3050}"/>
            </a:ext>
          </a:extLst>
        </xdr:cNvPr>
        <xdr:cNvSpPr/>
      </xdr:nvSpPr>
      <xdr:spPr>
        <a:xfrm>
          <a:off x="3143250" y="10210800"/>
          <a:ext cx="94297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7</xdr:col>
      <xdr:colOff>295275</xdr:colOff>
      <xdr:row>63</xdr:row>
      <xdr:rowOff>142875</xdr:rowOff>
    </xdr:from>
    <xdr:to>
      <xdr:col>9</xdr:col>
      <xdr:colOff>47625</xdr:colOff>
      <xdr:row>66</xdr:row>
      <xdr:rowOff>104775</xdr:rowOff>
    </xdr:to>
    <xdr:sp macro="" textlink="">
      <xdr:nvSpPr>
        <xdr:cNvPr id="31" name="对话气泡: 椭圆形 30">
          <a:extLst>
            <a:ext uri="{FF2B5EF4-FFF2-40B4-BE49-F238E27FC236}">
              <a16:creationId xmlns="" xmlns:a16="http://schemas.microsoft.com/office/drawing/2014/main" id="{E0C9D4C0-4C4C-45A7-AC16-BF53F36E71FF}"/>
            </a:ext>
          </a:extLst>
        </xdr:cNvPr>
        <xdr:cNvSpPr/>
      </xdr:nvSpPr>
      <xdr:spPr>
        <a:xfrm>
          <a:off x="4552950" y="9915525"/>
          <a:ext cx="1076325" cy="419100"/>
        </a:xfrm>
        <a:prstGeom prst="wedgeEllipseCallout">
          <a:avLst>
            <a:gd name="adj1" fmla="val -64195"/>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editAs="oneCell">
    <xdr:from>
      <xdr:col>33</xdr:col>
      <xdr:colOff>142248</xdr:colOff>
      <xdr:row>52</xdr:row>
      <xdr:rowOff>117747</xdr:rowOff>
    </xdr:from>
    <xdr:to>
      <xdr:col>40</xdr:col>
      <xdr:colOff>152400</xdr:colOff>
      <xdr:row>71</xdr:row>
      <xdr:rowOff>94709</xdr:rowOff>
    </xdr:to>
    <xdr:pic>
      <xdr:nvPicPr>
        <xdr:cNvPr id="2" name="图片 1"/>
        <xdr:cNvPicPr>
          <a:picLocks noChangeAspect="1"/>
        </xdr:cNvPicPr>
      </xdr:nvPicPr>
      <xdr:blipFill>
        <a:blip xmlns:r="http://schemas.openxmlformats.org/officeDocument/2006/relationships" r:embed="rId22"/>
        <a:stretch>
          <a:fillRect/>
        </a:stretch>
      </xdr:blipFill>
      <xdr:spPr>
        <a:xfrm>
          <a:off x="16877673" y="8213997"/>
          <a:ext cx="4810752" cy="2872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427115</xdr:colOff>
      <xdr:row>35</xdr:row>
      <xdr:rowOff>8774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85715" cy="6009524"/>
        </a:xfrm>
        <a:prstGeom prst="rect">
          <a:avLst/>
        </a:prstGeom>
      </xdr:spPr>
    </xdr:pic>
    <xdr:clientData/>
  </xdr:twoCellAnchor>
  <xdr:twoCellAnchor editAs="oneCell">
    <xdr:from>
      <xdr:col>0</xdr:col>
      <xdr:colOff>0</xdr:colOff>
      <xdr:row>37</xdr:row>
      <xdr:rowOff>0</xdr:rowOff>
    </xdr:from>
    <xdr:to>
      <xdr:col>14</xdr:col>
      <xdr:colOff>332134</xdr:colOff>
      <xdr:row>70</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933334" cy="5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514350</xdr:colOff>
      <xdr:row>23</xdr:row>
      <xdr:rowOff>75385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8150" cy="4018735"/>
        </a:xfrm>
        <a:prstGeom prst="rect">
          <a:avLst/>
        </a:prstGeom>
      </xdr:spPr>
    </xdr:pic>
    <xdr:clientData/>
  </xdr:twoCellAnchor>
  <xdr:twoCellAnchor editAs="oneCell">
    <xdr:from>
      <xdr:col>0</xdr:col>
      <xdr:colOff>1</xdr:colOff>
      <xdr:row>26</xdr:row>
      <xdr:rowOff>0</xdr:rowOff>
    </xdr:from>
    <xdr:to>
      <xdr:col>12</xdr:col>
      <xdr:colOff>560019</xdr:colOff>
      <xdr:row>48</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457700"/>
          <a:ext cx="8789618" cy="3857625"/>
        </a:xfrm>
        <a:prstGeom prst="rect">
          <a:avLst/>
        </a:prstGeom>
      </xdr:spPr>
    </xdr:pic>
    <xdr:clientData/>
  </xdr:twoCellAnchor>
  <xdr:twoCellAnchor editAs="oneCell">
    <xdr:from>
      <xdr:col>0</xdr:col>
      <xdr:colOff>0</xdr:colOff>
      <xdr:row>50</xdr:row>
      <xdr:rowOff>0</xdr:rowOff>
    </xdr:from>
    <xdr:to>
      <xdr:col>13</xdr:col>
      <xdr:colOff>463719</xdr:colOff>
      <xdr:row>79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79119" cy="5095875"/>
        </a:xfrm>
        <a:prstGeom prst="rect">
          <a:avLst/>
        </a:prstGeom>
      </xdr:spPr>
    </xdr:pic>
    <xdr:clientData/>
  </xdr:twoCellAnchor>
  <xdr:twoCellAnchor editAs="oneCell">
    <xdr:from>
      <xdr:col>0</xdr:col>
      <xdr:colOff>1</xdr:colOff>
      <xdr:row>81</xdr:row>
      <xdr:rowOff>0</xdr:rowOff>
    </xdr:from>
    <xdr:to>
      <xdr:col>12</xdr:col>
      <xdr:colOff>361693</xdr:colOff>
      <xdr:row>108</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3887450"/>
          <a:ext cx="8591292" cy="4676775"/>
        </a:xfrm>
        <a:prstGeom prst="rect">
          <a:avLst/>
        </a:prstGeom>
      </xdr:spPr>
    </xdr:pic>
    <xdr:clientData/>
  </xdr:twoCellAnchor>
  <xdr:twoCellAnchor editAs="oneCell">
    <xdr:from>
      <xdr:col>0</xdr:col>
      <xdr:colOff>0</xdr:colOff>
      <xdr:row>110</xdr:row>
      <xdr:rowOff>0</xdr:rowOff>
    </xdr:from>
    <xdr:to>
      <xdr:col>13</xdr:col>
      <xdr:colOff>198887</xdr:colOff>
      <xdr:row>138</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859500"/>
          <a:ext cx="9114287" cy="4914900"/>
        </a:xfrm>
        <a:prstGeom prst="rect">
          <a:avLst/>
        </a:prstGeom>
      </xdr:spPr>
    </xdr:pic>
    <xdr:clientData/>
  </xdr:twoCellAnchor>
  <xdr:twoCellAnchor editAs="oneCell">
    <xdr:from>
      <xdr:col>0</xdr:col>
      <xdr:colOff>0</xdr:colOff>
      <xdr:row>140</xdr:row>
      <xdr:rowOff>0</xdr:rowOff>
    </xdr:from>
    <xdr:to>
      <xdr:col>12</xdr:col>
      <xdr:colOff>576061</xdr:colOff>
      <xdr:row>168</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003000"/>
          <a:ext cx="8805661" cy="482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4d/TOEi"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北京市大兴区半壁店绿茵度假公寓1幢1-7层全部其他用房房地产抵押价值预评估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受贵公司委托，我公司对北京市大兴区半壁店绿茵度假公寓1幢1-7层全部其他用房房地产抵押价值进行了预评估。</v>
      </c>
    </row>
    <row r="7" spans="1:2">
      <c r="A7" s="1119" t="s">
        <v>566</v>
      </c>
      <c r="B7" s="1120" t="str">
        <f>'预评函-1'!A7</f>
        <v>估价对象为北京市大兴区半壁店绿茵度假公寓1幢1-7层全部其他用房房地产，为所有。根据《国有土地使用证》[]，估价对象（分摊）出让国有建设用地使用权面积为0平方米，建筑面积为10446.72平方米。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半壁店绿茵度假公寓1幢1-7层全部其他用房房地产,属开发建设的综合项目（商业、办公），该项目尚在开发建设中。根据《国有土地使用证》[]，估价对象（分摊）出让国有建设用地使用权面积为0平方米，规划建筑面积为10446.72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2025年3月3日（评估专业人员实地查勘之日）</v>
      </c>
    </row>
    <row r="13" spans="1:2">
      <c r="A13" s="1119" t="s">
        <v>529</v>
      </c>
      <c r="B13" s="1120"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5593</v>
      </c>
    </row>
    <row r="21" spans="1:2">
      <c r="A21" s="1119" t="s">
        <v>537</v>
      </c>
      <c r="B21" s="1120">
        <f ca="1">'预评函-2'!D7</f>
        <v>5354</v>
      </c>
    </row>
    <row r="22" spans="1:2">
      <c r="A22" s="1119" t="s">
        <v>538</v>
      </c>
      <c r="B22" s="1120" t="str">
        <f ca="1">'预评函-2'!D6</f>
        <v>伍仟伍佰玖拾叁万元整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5593</v>
      </c>
    </row>
    <row r="31" spans="1:2">
      <c r="A31" s="1119" t="s">
        <v>576</v>
      </c>
      <c r="B31" s="1120">
        <f ca="1">'预评函-2'!D15</f>
        <v>5354</v>
      </c>
    </row>
    <row r="32" spans="1:2">
      <c r="A32" s="1119" t="s">
        <v>543</v>
      </c>
      <c r="B32" s="1120" t="str">
        <f ca="1">'预评函-2'!D14</f>
        <v>伍仟伍佰玖拾叁万元整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北京市大兴区半壁店绿茵度假公寓1幢1-7层全部其他用房房地产</v>
      </c>
    </row>
    <row r="42" spans="1:2">
      <c r="A42" s="1119" t="s">
        <v>590</v>
      </c>
      <c r="B42" s="1120" t="str">
        <f>'预评函-3'!B2</f>
        <v>建筑面积</v>
      </c>
    </row>
    <row r="43" spans="1:2">
      <c r="A43" s="1119" t="s">
        <v>591</v>
      </c>
      <c r="B43" s="1120">
        <f>'预评函-3'!B4</f>
        <v>10446.719999999999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1980</v>
      </c>
    </row>
    <row r="48" spans="1:2">
      <c r="A48" s="1119" t="s">
        <v>549</v>
      </c>
      <c r="B48" s="1120">
        <f ca="1">'预评函-3'!E4</f>
        <v>1895</v>
      </c>
    </row>
    <row r="49" spans="1:2">
      <c r="A49" s="1119" t="s">
        <v>550</v>
      </c>
      <c r="B49" s="1120" t="str">
        <f ca="1">'预评函-3'!D5</f>
        <v>壹仟玖佰捌拾万元整</v>
      </c>
    </row>
    <row r="50" spans="1:2">
      <c r="A50" s="1119" t="s">
        <v>574</v>
      </c>
      <c r="B50" s="1120" t="str">
        <f>'预评函-3'!F2</f>
        <v>在建建筑物价值</v>
      </c>
    </row>
    <row r="51" spans="1:2">
      <c r="A51" s="1119" t="s">
        <v>551</v>
      </c>
      <c r="B51" s="1120">
        <f ca="1">'预评函-3'!F4</f>
        <v>3613</v>
      </c>
    </row>
    <row r="52" spans="1:2">
      <c r="A52" s="1119" t="s">
        <v>552</v>
      </c>
      <c r="B52" s="1120">
        <f ca="1">'预评函-3'!G4</f>
        <v>3459</v>
      </c>
    </row>
    <row r="53" spans="1:2">
      <c r="A53" s="1119" t="s">
        <v>580</v>
      </c>
      <c r="B53" s="1120" t="str">
        <f ca="1">'预评函-3'!F5</f>
        <v>叁仟陆佰壹拾叁万元整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30" sqref="B3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971</v>
      </c>
      <c r="C1" s="1438" t="s">
        <v>314</v>
      </c>
      <c r="D1" s="1439" t="s">
        <v>3338</v>
      </c>
      <c r="E1" s="1438" t="s">
        <v>972</v>
      </c>
      <c r="F1" s="1438" t="s">
        <v>973</v>
      </c>
      <c r="G1" s="1438" t="s">
        <v>974</v>
      </c>
      <c r="H1" s="1438" t="s">
        <v>975</v>
      </c>
      <c r="I1" s="1438" t="s">
        <v>976</v>
      </c>
      <c r="J1" s="1438" t="s">
        <v>977</v>
      </c>
      <c r="K1" s="1438" t="s">
        <v>978</v>
      </c>
      <c r="L1" s="1438" t="s">
        <v>979</v>
      </c>
      <c r="M1" s="1438" t="s">
        <v>980</v>
      </c>
      <c r="N1" s="1438" t="s">
        <v>981</v>
      </c>
      <c r="O1" s="1438" t="s">
        <v>982</v>
      </c>
      <c r="P1" s="1439" t="s">
        <v>309</v>
      </c>
      <c r="Q1" s="1439" t="s">
        <v>447</v>
      </c>
      <c r="R1" s="1438" t="s">
        <v>441</v>
      </c>
      <c r="S1" s="1438" t="s">
        <v>983</v>
      </c>
      <c r="T1" s="1439" t="s">
        <v>984</v>
      </c>
      <c r="U1" s="1438" t="s">
        <v>985</v>
      </c>
      <c r="V1" s="1438" t="s">
        <v>986</v>
      </c>
      <c r="W1" s="1438" t="s">
        <v>311</v>
      </c>
    </row>
    <row r="2" spans="1:23">
      <c r="A2" s="1441" t="s">
        <v>19</v>
      </c>
      <c r="B2" s="1441" t="s">
        <v>987</v>
      </c>
      <c r="C2" s="1442" t="s">
        <v>315</v>
      </c>
      <c r="D2" s="1443" t="s">
        <v>988</v>
      </c>
      <c r="E2" s="1443" t="s">
        <v>989</v>
      </c>
      <c r="F2" s="1443" t="s">
        <v>990</v>
      </c>
      <c r="G2" s="1443">
        <v>20</v>
      </c>
      <c r="H2" s="1443" t="s">
        <v>990</v>
      </c>
      <c r="I2" s="1443" t="s">
        <v>3324</v>
      </c>
      <c r="J2" s="1443" t="s">
        <v>991</v>
      </c>
      <c r="K2" s="1443" t="s">
        <v>992</v>
      </c>
      <c r="L2" s="1443" t="s">
        <v>992</v>
      </c>
      <c r="M2" s="1443" t="s">
        <v>992</v>
      </c>
      <c r="N2" s="1443" t="s">
        <v>992</v>
      </c>
      <c r="O2" s="1443" t="s">
        <v>992</v>
      </c>
      <c r="P2" s="1443" t="s">
        <v>992</v>
      </c>
      <c r="Q2" s="1443" t="s">
        <v>992</v>
      </c>
      <c r="R2" s="1443" t="s">
        <v>443</v>
      </c>
      <c r="S2" s="1443" t="s">
        <v>992</v>
      </c>
      <c r="T2" s="1443" t="s">
        <v>993</v>
      </c>
      <c r="U2" s="1443" t="s">
        <v>992</v>
      </c>
      <c r="V2" s="1443" t="s">
        <v>994</v>
      </c>
      <c r="W2" s="1443" t="s">
        <v>992</v>
      </c>
    </row>
    <row r="3" spans="1:23">
      <c r="A3" s="1441" t="s">
        <v>995</v>
      </c>
      <c r="B3" s="1444" t="s">
        <v>448</v>
      </c>
      <c r="C3" s="1442" t="s">
        <v>316</v>
      </c>
      <c r="D3" s="1443" t="s">
        <v>996</v>
      </c>
      <c r="E3" s="1443" t="s">
        <v>13</v>
      </c>
      <c r="F3" s="1443" t="s">
        <v>997</v>
      </c>
      <c r="G3" s="1443">
        <v>40</v>
      </c>
      <c r="H3" s="1443" t="s">
        <v>997</v>
      </c>
      <c r="I3" s="1443" t="s">
        <v>3325</v>
      </c>
      <c r="J3" s="1443" t="s">
        <v>998</v>
      </c>
      <c r="K3" s="1443" t="s">
        <v>999</v>
      </c>
      <c r="L3" s="1443" t="s">
        <v>999</v>
      </c>
      <c r="M3" s="1443" t="s">
        <v>999</v>
      </c>
      <c r="N3" s="1443" t="s">
        <v>999</v>
      </c>
      <c r="O3" s="1443" t="s">
        <v>999</v>
      </c>
      <c r="P3" s="1443" t="s">
        <v>999</v>
      </c>
      <c r="Q3" s="1443" t="s">
        <v>999</v>
      </c>
      <c r="R3" s="1443" t="s">
        <v>442</v>
      </c>
      <c r="S3" s="1443" t="s">
        <v>999</v>
      </c>
      <c r="T3" s="1443" t="s">
        <v>1000</v>
      </c>
      <c r="U3" s="1443" t="s">
        <v>999</v>
      </c>
      <c r="V3" s="1443" t="s">
        <v>1001</v>
      </c>
      <c r="W3" s="1443" t="s">
        <v>999</v>
      </c>
    </row>
    <row r="4" spans="1:23">
      <c r="A4" s="1441" t="s">
        <v>1002</v>
      </c>
      <c r="B4" s="1441" t="s">
        <v>1003</v>
      </c>
      <c r="C4" s="1442" t="s">
        <v>317</v>
      </c>
      <c r="D4" s="1443" t="s">
        <v>389</v>
      </c>
      <c r="E4" s="1443" t="s">
        <v>1004</v>
      </c>
      <c r="F4" s="1443" t="s">
        <v>1005</v>
      </c>
      <c r="G4" s="1443">
        <v>50</v>
      </c>
      <c r="H4" s="1443" t="s">
        <v>1005</v>
      </c>
      <c r="I4" s="1443" t="s">
        <v>3326</v>
      </c>
      <c r="K4" s="1443" t="s">
        <v>1006</v>
      </c>
      <c r="L4" s="1443" t="s">
        <v>1006</v>
      </c>
      <c r="M4" s="1443" t="s">
        <v>1006</v>
      </c>
      <c r="N4" s="1443" t="s">
        <v>1006</v>
      </c>
      <c r="O4" s="1443" t="s">
        <v>1006</v>
      </c>
      <c r="P4" s="1443" t="s">
        <v>1006</v>
      </c>
      <c r="Q4" s="1443" t="s">
        <v>1006</v>
      </c>
      <c r="R4" s="1443" t="s">
        <v>444</v>
      </c>
      <c r="S4" s="1443" t="s">
        <v>1006</v>
      </c>
      <c r="T4" s="1443" t="s">
        <v>1007</v>
      </c>
      <c r="U4" s="1443" t="s">
        <v>1006</v>
      </c>
      <c r="W4" s="1443" t="s">
        <v>1006</v>
      </c>
    </row>
    <row r="5" spans="1:23">
      <c r="A5" s="1441" t="s">
        <v>1008</v>
      </c>
      <c r="B5" s="1441" t="s">
        <v>1009</v>
      </c>
      <c r="C5" s="1442" t="s">
        <v>318</v>
      </c>
      <c r="F5" s="1443" t="s">
        <v>1010</v>
      </c>
      <c r="G5" s="1443">
        <v>70</v>
      </c>
      <c r="H5" s="1443" t="s">
        <v>1011</v>
      </c>
      <c r="I5" s="1443" t="s">
        <v>3327</v>
      </c>
      <c r="K5" s="1443" t="s">
        <v>1012</v>
      </c>
      <c r="L5" s="1443" t="s">
        <v>1012</v>
      </c>
      <c r="M5" s="1443" t="s">
        <v>1012</v>
      </c>
      <c r="N5" s="1443" t="s">
        <v>1012</v>
      </c>
      <c r="O5" s="1443" t="s">
        <v>1012</v>
      </c>
      <c r="P5" s="1443" t="s">
        <v>1012</v>
      </c>
      <c r="Q5" s="1443" t="s">
        <v>1012</v>
      </c>
      <c r="R5" s="1443" t="s">
        <v>445</v>
      </c>
      <c r="S5" s="1443" t="s">
        <v>1012</v>
      </c>
      <c r="T5" s="1443" t="s">
        <v>1013</v>
      </c>
      <c r="U5" s="1443" t="s">
        <v>1012</v>
      </c>
      <c r="W5" s="1443" t="s">
        <v>1012</v>
      </c>
    </row>
    <row r="6" spans="1:23">
      <c r="A6" s="1441" t="s">
        <v>1014</v>
      </c>
      <c r="B6" s="1444" t="s">
        <v>449</v>
      </c>
      <c r="C6" s="1446" t="s">
        <v>24</v>
      </c>
      <c r="F6" s="1443" t="s">
        <v>1011</v>
      </c>
      <c r="H6" s="1443" t="s">
        <v>1015</v>
      </c>
      <c r="I6" s="1443" t="s">
        <v>3328</v>
      </c>
      <c r="K6" s="1443" t="s">
        <v>1016</v>
      </c>
      <c r="L6" s="1443" t="s">
        <v>1016</v>
      </c>
      <c r="M6" s="1443" t="s">
        <v>1016</v>
      </c>
      <c r="N6" s="1443" t="s">
        <v>1016</v>
      </c>
      <c r="O6" s="1443" t="s">
        <v>1016</v>
      </c>
      <c r="P6" s="1443" t="s">
        <v>1016</v>
      </c>
      <c r="Q6" s="1443" t="s">
        <v>1016</v>
      </c>
      <c r="R6" s="1443" t="s">
        <v>446</v>
      </c>
      <c r="S6" s="1443" t="s">
        <v>1016</v>
      </c>
      <c r="T6" s="1443"/>
      <c r="U6" s="1443" t="s">
        <v>1016</v>
      </c>
      <c r="W6" s="1443" t="s">
        <v>1016</v>
      </c>
    </row>
    <row r="7" spans="1:23">
      <c r="A7" s="1441" t="s">
        <v>1017</v>
      </c>
      <c r="B7" s="1444" t="s">
        <v>450</v>
      </c>
      <c r="C7" s="1442" t="s">
        <v>25</v>
      </c>
      <c r="F7" s="1443" t="s">
        <v>1018</v>
      </c>
      <c r="H7" s="1443" t="s">
        <v>1019</v>
      </c>
      <c r="I7" s="1443" t="s">
        <v>3329</v>
      </c>
    </row>
    <row r="8" spans="1:23">
      <c r="A8" s="1441" t="s">
        <v>1020</v>
      </c>
      <c r="B8" s="1441" t="s">
        <v>1021</v>
      </c>
      <c r="C8" s="1442" t="s">
        <v>319</v>
      </c>
      <c r="F8" s="1443" t="s">
        <v>1022</v>
      </c>
      <c r="H8" s="1443" t="s">
        <v>2565</v>
      </c>
      <c r="I8" s="1443" t="s">
        <v>3330</v>
      </c>
    </row>
    <row r="9" spans="1:23">
      <c r="A9" s="1441" t="s">
        <v>1023</v>
      </c>
      <c r="B9" s="1441" t="s">
        <v>1024</v>
      </c>
      <c r="C9" s="1442" t="s">
        <v>320</v>
      </c>
      <c r="F9" s="1443" t="s">
        <v>1025</v>
      </c>
      <c r="H9" s="1443"/>
      <c r="I9" s="1445" t="s">
        <v>3331</v>
      </c>
    </row>
    <row r="10" spans="1:23">
      <c r="A10" s="1441" t="s">
        <v>1026</v>
      </c>
      <c r="B10" s="1441" t="s">
        <v>1027</v>
      </c>
      <c r="C10" s="1442" t="s">
        <v>321</v>
      </c>
      <c r="F10" s="1443" t="s">
        <v>2566</v>
      </c>
      <c r="I10" s="1445" t="s">
        <v>3332</v>
      </c>
    </row>
    <row r="11" spans="1:23">
      <c r="A11" s="1441" t="s">
        <v>1028</v>
      </c>
      <c r="B11" s="1441" t="s">
        <v>1029</v>
      </c>
      <c r="C11" s="1442" t="s">
        <v>322</v>
      </c>
      <c r="F11" s="1443" t="s">
        <v>13</v>
      </c>
      <c r="I11" s="1445" t="s">
        <v>3333</v>
      </c>
    </row>
    <row r="12" spans="1:23">
      <c r="A12" s="1441" t="s">
        <v>1030</v>
      </c>
      <c r="B12" s="1441" t="s">
        <v>1031</v>
      </c>
      <c r="C12" s="1442" t="s">
        <v>323</v>
      </c>
      <c r="I12" s="1445" t="s">
        <v>3334</v>
      </c>
    </row>
    <row r="13" spans="1:23">
      <c r="A13" s="1441" t="s">
        <v>1032</v>
      </c>
      <c r="B13" s="1441" t="s">
        <v>1033</v>
      </c>
      <c r="C13" s="1442" t="s">
        <v>324</v>
      </c>
      <c r="I13" s="1445" t="s">
        <v>3335</v>
      </c>
    </row>
    <row r="14" spans="1:23">
      <c r="A14" s="1441" t="s">
        <v>1034</v>
      </c>
      <c r="B14" s="1441" t="s">
        <v>1035</v>
      </c>
      <c r="C14" s="1443" t="s">
        <v>13</v>
      </c>
      <c r="I14" s="1445" t="s">
        <v>3336</v>
      </c>
    </row>
    <row r="15" spans="1:23">
      <c r="A15" s="1441" t="s">
        <v>1036</v>
      </c>
      <c r="B15" s="1441" t="s">
        <v>1037</v>
      </c>
      <c r="C15" s="1442"/>
      <c r="I15" s="1445" t="s">
        <v>3337</v>
      </c>
    </row>
    <row r="16" spans="1:23">
      <c r="A16" s="1441" t="s">
        <v>1038</v>
      </c>
      <c r="B16" s="1441" t="s">
        <v>312</v>
      </c>
      <c r="C16" s="1442"/>
    </row>
    <row r="17" spans="1:3">
      <c r="A17" s="1441" t="s">
        <v>1039</v>
      </c>
      <c r="B17" s="1441" t="s">
        <v>2283</v>
      </c>
      <c r="C17" s="1442"/>
    </row>
    <row r="18" spans="1:3">
      <c r="A18" s="1441" t="s">
        <v>1040</v>
      </c>
      <c r="B18" s="1441" t="s">
        <v>2422</v>
      </c>
      <c r="C18" s="1442"/>
    </row>
    <row r="19" spans="1:3">
      <c r="A19" s="1441" t="s">
        <v>1041</v>
      </c>
      <c r="B19" s="1441"/>
      <c r="C19" s="1442"/>
    </row>
    <row r="20" spans="1:3">
      <c r="A20" s="1441" t="s">
        <v>1042</v>
      </c>
      <c r="B20" s="1441" t="s">
        <v>313</v>
      </c>
      <c r="C20" s="1442"/>
    </row>
    <row r="21" spans="1:3">
      <c r="A21" s="1441" t="s">
        <v>1043</v>
      </c>
      <c r="B21" s="1441" t="s">
        <v>313</v>
      </c>
      <c r="C21" s="1442"/>
    </row>
    <row r="22" spans="1:3">
      <c r="A22" s="1441" t="s">
        <v>1044</v>
      </c>
      <c r="B22" s="1441" t="s">
        <v>313</v>
      </c>
      <c r="C22" s="1442"/>
    </row>
    <row r="23" spans="1:3">
      <c r="A23" s="1441" t="s">
        <v>1045</v>
      </c>
      <c r="B23" s="1441" t="s">
        <v>313</v>
      </c>
      <c r="C23" s="1442"/>
    </row>
    <row r="24" spans="1:3">
      <c r="A24" s="1441" t="s">
        <v>1046</v>
      </c>
      <c r="B24" s="1441" t="s">
        <v>313</v>
      </c>
      <c r="C24" s="1442"/>
    </row>
    <row r="25" spans="1:3">
      <c r="A25" s="1441" t="s">
        <v>1047</v>
      </c>
      <c r="B25" s="1441" t="s">
        <v>313</v>
      </c>
      <c r="C25" s="1442"/>
    </row>
    <row r="26" spans="1:3">
      <c r="A26" s="1441" t="s">
        <v>1048</v>
      </c>
      <c r="B26" s="1441" t="s">
        <v>313</v>
      </c>
      <c r="C26" s="1442"/>
    </row>
    <row r="27" spans="1:3">
      <c r="A27" s="1441" t="s">
        <v>3834</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2488</v>
      </c>
      <c r="B1" s="2755"/>
      <c r="C1" s="2755"/>
      <c r="D1" s="2755"/>
      <c r="E1" s="2755"/>
      <c r="F1" s="2756"/>
      <c r="I1" s="3133" t="s">
        <v>2581</v>
      </c>
      <c r="J1" s="2781"/>
      <c r="K1" s="2781"/>
      <c r="L1" s="2781"/>
      <c r="M1" s="2781"/>
      <c r="N1" s="2966"/>
      <c r="O1" s="2966"/>
      <c r="P1" s="2966"/>
      <c r="Q1" s="2966"/>
      <c r="R1" s="2966"/>
    </row>
    <row r="2" spans="1:18">
      <c r="A2" s="2758"/>
      <c r="B2" s="2759"/>
      <c r="C2" s="2759"/>
      <c r="D2" s="2759"/>
      <c r="E2" s="2759"/>
      <c r="F2" s="2760"/>
      <c r="I2" s="3235" t="s">
        <v>2568</v>
      </c>
      <c r="J2" s="3235"/>
      <c r="K2" s="3235"/>
      <c r="L2" s="3235"/>
      <c r="M2" s="3235"/>
      <c r="N2" s="3235"/>
      <c r="O2" s="3235"/>
      <c r="P2" s="3235"/>
      <c r="Q2" s="3235"/>
      <c r="R2" s="3235"/>
    </row>
    <row r="3" spans="1:18">
      <c r="A3" s="2761" t="s">
        <v>2489</v>
      </c>
      <c r="B3" s="2762">
        <f>项目基本情况!D3</f>
        <v>45719</v>
      </c>
      <c r="C3" s="2764"/>
      <c r="D3" s="2764"/>
      <c r="E3" s="2764"/>
      <c r="F3" s="2760"/>
      <c r="I3" s="2776"/>
      <c r="J3" s="2776" t="s">
        <v>2572</v>
      </c>
      <c r="K3" s="2776" t="s">
        <v>2573</v>
      </c>
      <c r="L3" s="2776" t="s">
        <v>2574</v>
      </c>
      <c r="M3" s="2776" t="s">
        <v>2575</v>
      </c>
      <c r="N3" s="3134" t="s">
        <v>2576</v>
      </c>
      <c r="O3" s="3134" t="s">
        <v>2577</v>
      </c>
      <c r="P3" s="3134" t="s">
        <v>2578</v>
      </c>
      <c r="Q3" s="3134" t="s">
        <v>2579</v>
      </c>
      <c r="R3" s="3134" t="s">
        <v>2580</v>
      </c>
    </row>
    <row r="4" spans="1:18">
      <c r="A4" s="2761" t="s">
        <v>2490</v>
      </c>
      <c r="B4" s="2764" t="s">
        <v>2491</v>
      </c>
      <c r="C4" s="2764" t="s">
        <v>2492</v>
      </c>
      <c r="D4" s="2764" t="s">
        <v>2493</v>
      </c>
      <c r="E4" s="2764" t="s">
        <v>2494</v>
      </c>
      <c r="F4" s="2760"/>
      <c r="I4" s="2776" t="s">
        <v>2569</v>
      </c>
      <c r="J4" s="2776">
        <v>80</v>
      </c>
      <c r="K4" s="2776">
        <v>70</v>
      </c>
      <c r="L4" s="2776">
        <v>20</v>
      </c>
      <c r="M4" s="2776">
        <v>30</v>
      </c>
      <c r="N4" s="2764">
        <v>45</v>
      </c>
      <c r="O4" s="2764">
        <v>60</v>
      </c>
      <c r="P4" s="2764">
        <v>50</v>
      </c>
      <c r="Q4" s="2764">
        <v>20</v>
      </c>
      <c r="R4" s="2764">
        <v>375</v>
      </c>
    </row>
    <row r="5" spans="1:18">
      <c r="A5" s="2765">
        <v>40</v>
      </c>
      <c r="B5" s="2762">
        <v>46375</v>
      </c>
      <c r="C5" s="2764">
        <f>ROUNDDOWN(MIN((B5-B3)/365,A5),2)</f>
        <v>1.79</v>
      </c>
      <c r="D5" s="2766">
        <f>IF(ISERROR(ROUND(POWER(1+E5,A5-C5)*(POWER(1+E5,C5)-1)/(POWER(1+E5,A5)-1),3)),0,ROUND(POWER(1+E5,A5-C5)*(POWER(1+E5,C5)-1)/(POWER(1+E5,A5)-1),4))</f>
        <v>8.5599999999999996E-2</v>
      </c>
      <c r="E5" s="2767">
        <v>0.04</v>
      </c>
      <c r="F5" s="2760"/>
      <c r="I5" s="2776" t="s">
        <v>2570</v>
      </c>
      <c r="J5" s="2776">
        <v>70</v>
      </c>
      <c r="K5" s="2776">
        <v>60</v>
      </c>
      <c r="L5" s="2776">
        <v>15</v>
      </c>
      <c r="M5" s="2776">
        <v>25</v>
      </c>
      <c r="N5" s="2764">
        <v>40</v>
      </c>
      <c r="O5" s="2764">
        <v>50</v>
      </c>
      <c r="P5" s="2764">
        <v>40</v>
      </c>
      <c r="Q5" s="2764">
        <v>15</v>
      </c>
      <c r="R5" s="2764">
        <v>315</v>
      </c>
    </row>
    <row r="6" spans="1:18">
      <c r="A6" s="2765">
        <v>50</v>
      </c>
      <c r="B6" s="2762">
        <v>50028</v>
      </c>
      <c r="C6" s="2764">
        <f>ROUNDDOWN(MIN((B6-B3)/365,A6),2)</f>
        <v>11.8</v>
      </c>
      <c r="D6" s="2766">
        <f>IF(ISERROR(ROUND(POWER(1+E6,A6-C6)*(POWER(1+E6,C6)-1)/(POWER(1+E6,A6)-1),3)),0,ROUND(POWER(1+E6,A6-C6)*(POWER(1+E6,C6)-1)/(POWER(1+E6,A6)-1),4))</f>
        <v>0.43120000000000003</v>
      </c>
      <c r="E6" s="2767">
        <v>0.04</v>
      </c>
      <c r="F6" s="2760"/>
      <c r="I6" s="2776" t="s">
        <v>2571</v>
      </c>
      <c r="J6" s="2776">
        <v>60</v>
      </c>
      <c r="K6" s="2776">
        <v>50</v>
      </c>
      <c r="L6" s="2776">
        <v>10</v>
      </c>
      <c r="M6" s="2776">
        <v>20</v>
      </c>
      <c r="N6" s="2764">
        <v>35</v>
      </c>
      <c r="O6" s="2764">
        <v>40</v>
      </c>
      <c r="P6" s="2764">
        <v>30</v>
      </c>
      <c r="Q6" s="2764">
        <v>10</v>
      </c>
      <c r="R6" s="2764">
        <v>255</v>
      </c>
    </row>
    <row r="7" spans="1:18">
      <c r="A7" s="2765">
        <v>70</v>
      </c>
      <c r="B7" s="2762">
        <v>57333</v>
      </c>
      <c r="C7" s="2764">
        <f>ROUNDDOWN(MIN((B7-B3)/365,A7),2)</f>
        <v>31.81</v>
      </c>
      <c r="D7" s="2766">
        <f>IF(ISERROR(ROUND(POWER(1+E7,A7-C7)*(POWER(1+E7,C7)-1)/(POWER(1+E7,A7)-1),3)),0,ROUND(POWER(1+E7,A7-C7)*(POWER(1+E7,C7)-1)/(POWER(1+E7,A7)-1),4))</f>
        <v>0.76170000000000004</v>
      </c>
      <c r="E7" s="2767">
        <v>0.04</v>
      </c>
      <c r="F7" s="2760"/>
    </row>
    <row r="8" spans="1:18">
      <c r="A8" s="2758"/>
      <c r="B8" s="2759"/>
      <c r="C8" s="2759"/>
      <c r="D8" s="2759"/>
      <c r="E8" s="2759"/>
      <c r="F8" s="2760"/>
    </row>
    <row r="9" spans="1:18">
      <c r="A9" s="2761" t="s">
        <v>2495</v>
      </c>
      <c r="B9" s="2764"/>
      <c r="C9" s="2764"/>
      <c r="D9" s="2764"/>
      <c r="E9" s="2764"/>
      <c r="F9" s="2768"/>
    </row>
    <row r="10" spans="1:18">
      <c r="A10" s="2761" t="s">
        <v>2496</v>
      </c>
      <c r="B10" s="2764"/>
      <c r="C10" s="2764"/>
      <c r="D10" s="2764" t="s">
        <v>2494</v>
      </c>
      <c r="E10" s="2764"/>
      <c r="F10" s="2768" t="s">
        <v>2493</v>
      </c>
    </row>
    <row r="11" spans="1:18">
      <c r="A11" s="2761" t="s">
        <v>2497</v>
      </c>
      <c r="B11" s="2769">
        <v>70</v>
      </c>
      <c r="C11" s="2764" t="s">
        <v>2498</v>
      </c>
      <c r="D11" s="2769">
        <v>4.4999999999999998E-2</v>
      </c>
      <c r="E11" s="2764" t="s">
        <v>2499</v>
      </c>
      <c r="F11" s="2770">
        <f>ROUND(1-(1/(POWER(1+D11,B11))),4)</f>
        <v>0.95409999999999995</v>
      </c>
    </row>
    <row r="12" spans="1:18">
      <c r="A12" s="2761" t="s">
        <v>2500</v>
      </c>
      <c r="B12" s="2769">
        <v>40</v>
      </c>
      <c r="C12" s="2764" t="s">
        <v>2501</v>
      </c>
      <c r="D12" s="2769">
        <v>4.4999999999999998E-2</v>
      </c>
      <c r="E12" s="2764" t="s">
        <v>2502</v>
      </c>
      <c r="F12" s="2770">
        <f>ROUND(1-(1/(POWER(1+D12,B12))),4)</f>
        <v>0.82809999999999995</v>
      </c>
    </row>
    <row r="13" spans="1:18">
      <c r="A13" s="2761" t="s">
        <v>2503</v>
      </c>
      <c r="B13" s="2764"/>
      <c r="C13" s="2764"/>
      <c r="D13" s="2759"/>
      <c r="E13" s="2759"/>
      <c r="F13" s="2760"/>
    </row>
    <row r="14" spans="1:18">
      <c r="A14" s="2761" t="s">
        <v>2504</v>
      </c>
      <c r="B14" s="2769">
        <v>5000</v>
      </c>
      <c r="C14" s="2763"/>
      <c r="D14" s="2759"/>
      <c r="E14" s="2759"/>
      <c r="F14" s="2760"/>
    </row>
    <row r="15" spans="1:18">
      <c r="A15" s="2761" t="s">
        <v>2505</v>
      </c>
      <c r="B15" s="2764">
        <f>ROUND(B14*F12/F11,2)</f>
        <v>4339.6899999999996</v>
      </c>
      <c r="C15" s="2764">
        <f>ROUND(F12/F11,4)</f>
        <v>0.8679</v>
      </c>
      <c r="D15" s="2759"/>
      <c r="E15" s="2759"/>
      <c r="F15" s="2760"/>
    </row>
    <row r="16" spans="1:18">
      <c r="A16" s="2761" t="s">
        <v>2506</v>
      </c>
      <c r="B16" s="2764"/>
      <c r="C16" s="2764"/>
      <c r="D16" s="2759"/>
      <c r="E16" s="2759"/>
      <c r="F16" s="2760"/>
    </row>
    <row r="17" spans="1:14">
      <c r="A17" s="2761" t="s">
        <v>2505</v>
      </c>
      <c r="B17" s="2769">
        <v>4810</v>
      </c>
      <c r="C17" s="2763"/>
      <c r="D17" s="2759"/>
      <c r="E17" s="2759"/>
      <c r="F17" s="2760"/>
    </row>
    <row r="18" spans="1:14" ht="14.25" thickBot="1">
      <c r="A18" s="2771" t="s">
        <v>2504</v>
      </c>
      <c r="B18" s="2772">
        <f>ROUND(B17*F11/F12,2)</f>
        <v>5541.87</v>
      </c>
      <c r="C18" s="2772">
        <f>ROUND(F11/F12,4)</f>
        <v>1.1521999999999999</v>
      </c>
      <c r="D18" s="2773"/>
      <c r="E18" s="2773"/>
      <c r="F18" s="2774"/>
    </row>
    <row r="19" spans="1:14" ht="14.25" thickBot="1"/>
    <row r="20" spans="1:14" s="2807" customFormat="1" ht="14.25" thickTop="1">
      <c r="A20" s="2804" t="s">
        <v>2507</v>
      </c>
      <c r="B20" s="2805"/>
      <c r="C20" s="2805"/>
      <c r="D20" s="2805"/>
      <c r="E20" s="2805"/>
      <c r="F20" s="2805"/>
      <c r="G20" s="2806"/>
      <c r="I20" s="2808" t="s">
        <v>2552</v>
      </c>
      <c r="J20" s="2808" t="s">
        <v>2557</v>
      </c>
      <c r="K20" s="2808"/>
      <c r="L20" s="2808"/>
      <c r="M20" s="2808"/>
    </row>
    <row r="21" spans="1:14">
      <c r="A21" s="2775"/>
      <c r="B21" s="2776" t="s">
        <v>2508</v>
      </c>
      <c r="C21" s="2776" t="s">
        <v>2509</v>
      </c>
      <c r="D21" s="2776" t="s">
        <v>2510</v>
      </c>
      <c r="E21" s="2776" t="s">
        <v>2511</v>
      </c>
      <c r="F21" s="2776" t="s">
        <v>2512</v>
      </c>
      <c r="G21" s="2777" t="s">
        <v>2513</v>
      </c>
      <c r="I21" s="2798">
        <v>5</v>
      </c>
      <c r="J21" s="2798">
        <v>54.2</v>
      </c>
    </row>
    <row r="22" spans="1:14">
      <c r="A22" s="2775" t="s">
        <v>2514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2555</v>
      </c>
      <c r="N23" s="3151" t="s">
        <v>2556</v>
      </c>
    </row>
    <row r="24" spans="1:14">
      <c r="A24" s="2775" t="s">
        <v>2516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2554</v>
      </c>
      <c r="N24" s="3151">
        <v>10</v>
      </c>
    </row>
    <row r="25" spans="1:14">
      <c r="A25" s="2775" t="s">
        <v>2517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2558</v>
      </c>
      <c r="N25" s="3151">
        <v>8</v>
      </c>
    </row>
    <row r="26" spans="1:14">
      <c r="A26" s="2780"/>
      <c r="B26" s="2781"/>
      <c r="C26" s="2781"/>
      <c r="D26" s="2781"/>
      <c r="E26" s="2781"/>
      <c r="F26" s="2781"/>
      <c r="G26" s="2782"/>
      <c r="I26" s="2798">
        <v>30</v>
      </c>
      <c r="J26" s="2798">
        <v>90.5</v>
      </c>
      <c r="K26" s="2798">
        <f t="shared" si="2"/>
        <v>4.2000000000000028</v>
      </c>
      <c r="L26" s="2798" t="s">
        <v>2559</v>
      </c>
      <c r="N26" s="3151">
        <v>5</v>
      </c>
    </row>
    <row r="27" spans="1:14">
      <c r="A27" s="2780" t="s">
        <v>2518</v>
      </c>
      <c r="B27" s="2781"/>
      <c r="C27" s="2781"/>
      <c r="D27" s="2781"/>
      <c r="E27" s="2781"/>
      <c r="F27" s="2781"/>
      <c r="G27" s="2782"/>
      <c r="I27" s="2798">
        <v>35</v>
      </c>
      <c r="J27" s="2798">
        <v>93.8</v>
      </c>
      <c r="K27" s="2798">
        <f t="shared" si="2"/>
        <v>3.2999999999999972</v>
      </c>
      <c r="L27" s="2798" t="s">
        <v>2560</v>
      </c>
      <c r="N27" s="3151">
        <v>3</v>
      </c>
    </row>
    <row r="28" spans="1:14">
      <c r="A28" s="2780" t="s">
        <v>2519</v>
      </c>
      <c r="B28" s="2781"/>
      <c r="C28" s="2781"/>
      <c r="D28" s="2781"/>
      <c r="E28" s="2781"/>
      <c r="F28" s="2781"/>
      <c r="G28" s="2782"/>
      <c r="I28" s="2798">
        <v>40</v>
      </c>
      <c r="J28" s="2798">
        <v>96.4</v>
      </c>
      <c r="K28" s="2798">
        <f t="shared" si="2"/>
        <v>2.6000000000000085</v>
      </c>
      <c r="L28" s="2798" t="s">
        <v>2561</v>
      </c>
      <c r="N28" s="3151">
        <v>2</v>
      </c>
    </row>
    <row r="29" spans="1:14">
      <c r="A29" s="2780" t="s">
        <v>2520</v>
      </c>
      <c r="B29" s="2781"/>
      <c r="C29" s="2781"/>
      <c r="D29" s="2781"/>
      <c r="E29" s="2781"/>
      <c r="F29" s="2781"/>
      <c r="G29" s="2782"/>
      <c r="I29" s="2798">
        <v>45</v>
      </c>
      <c r="J29" s="2798">
        <v>98.4</v>
      </c>
      <c r="K29" s="2798">
        <f t="shared" si="2"/>
        <v>2</v>
      </c>
    </row>
    <row r="30" spans="1:14">
      <c r="A30" s="2780" t="s">
        <v>2521</v>
      </c>
      <c r="B30" s="2781"/>
      <c r="C30" s="2781"/>
      <c r="D30" s="2781"/>
      <c r="E30" s="2781"/>
      <c r="F30" s="2781"/>
      <c r="G30" s="2782"/>
      <c r="I30" s="2798">
        <v>50</v>
      </c>
      <c r="J30" s="2798">
        <v>100</v>
      </c>
      <c r="K30" s="2798">
        <f t="shared" si="2"/>
        <v>1.5999999999999943</v>
      </c>
    </row>
    <row r="31" spans="1:14">
      <c r="A31" s="2780" t="s">
        <v>2522</v>
      </c>
      <c r="B31" s="2781"/>
      <c r="C31" s="2781"/>
      <c r="D31" s="2781"/>
      <c r="E31" s="2781"/>
      <c r="F31" s="2781"/>
      <c r="G31" s="2782"/>
      <c r="I31" s="2798" t="s">
        <v>2553</v>
      </c>
    </row>
    <row r="32" spans="1:14">
      <c r="A32" s="2780" t="s">
        <v>2523</v>
      </c>
      <c r="B32" s="2781"/>
      <c r="C32" s="2781"/>
      <c r="D32" s="2781"/>
      <c r="E32" s="2781"/>
      <c r="F32" s="2781"/>
      <c r="G32" s="2782"/>
    </row>
    <row r="33" spans="1:14">
      <c r="A33" s="2780" t="s">
        <v>2524</v>
      </c>
      <c r="B33" s="2781"/>
      <c r="C33" s="2781"/>
      <c r="D33" s="2781"/>
      <c r="E33" s="2781"/>
      <c r="F33" s="2781"/>
      <c r="G33" s="2782"/>
      <c r="I33" s="2798" t="s">
        <v>2552</v>
      </c>
      <c r="J33" s="2798" t="s">
        <v>2562</v>
      </c>
    </row>
    <row r="34" spans="1:14">
      <c r="A34" s="2780" t="s">
        <v>2525</v>
      </c>
      <c r="B34" s="2781"/>
      <c r="C34" s="2781"/>
      <c r="D34" s="2781"/>
      <c r="E34" s="2781"/>
      <c r="F34" s="2781"/>
      <c r="G34" s="2782"/>
      <c r="I34" s="2798">
        <v>5</v>
      </c>
      <c r="J34" s="2798">
        <v>55.1</v>
      </c>
    </row>
    <row r="35" spans="1:14">
      <c r="A35" s="2780" t="s">
        <v>2526</v>
      </c>
      <c r="B35" s="2781"/>
      <c r="C35" s="2781"/>
      <c r="D35" s="2781"/>
      <c r="E35" s="2781"/>
      <c r="F35" s="2781"/>
      <c r="G35" s="2782"/>
      <c r="I35" s="2798">
        <v>10</v>
      </c>
      <c r="J35" s="2798">
        <v>67</v>
      </c>
      <c r="K35" s="2798">
        <f>J35-J34</f>
        <v>11.899999999999999</v>
      </c>
    </row>
    <row r="36" spans="1:14">
      <c r="A36" s="2780" t="s">
        <v>2527</v>
      </c>
      <c r="B36" s="2781"/>
      <c r="C36" s="2781"/>
      <c r="D36" s="2781"/>
      <c r="E36" s="2781"/>
      <c r="F36" s="2781"/>
      <c r="G36" s="2782"/>
      <c r="I36" s="2798">
        <v>15</v>
      </c>
      <c r="J36" s="2798">
        <v>76.3</v>
      </c>
      <c r="K36" s="2798">
        <f t="shared" ref="K36:K41" si="3">J36-J35</f>
        <v>9.2999999999999972</v>
      </c>
      <c r="L36" s="2798" t="s">
        <v>2555</v>
      </c>
      <c r="N36" s="3151" t="s">
        <v>2556</v>
      </c>
    </row>
    <row r="37" spans="1:14">
      <c r="A37" s="2780" t="s">
        <v>2528</v>
      </c>
      <c r="B37" s="2781"/>
      <c r="C37" s="2781"/>
      <c r="D37" s="2781"/>
      <c r="E37" s="2781"/>
      <c r="F37" s="2781"/>
      <c r="G37" s="2782"/>
      <c r="I37" s="2798">
        <v>20</v>
      </c>
      <c r="J37" s="2798">
        <v>83.6</v>
      </c>
      <c r="K37" s="2798">
        <f t="shared" si="3"/>
        <v>7.2999999999999972</v>
      </c>
      <c r="L37" s="2798" t="s">
        <v>2554</v>
      </c>
      <c r="N37" s="3151">
        <v>10</v>
      </c>
    </row>
    <row r="38" spans="1:14">
      <c r="A38" s="2780" t="s">
        <v>2529</v>
      </c>
      <c r="B38" s="2781"/>
      <c r="C38" s="2781"/>
      <c r="D38" s="2781"/>
      <c r="E38" s="2781"/>
      <c r="F38" s="2781"/>
      <c r="G38" s="2782"/>
      <c r="I38" s="2798">
        <v>25</v>
      </c>
      <c r="J38" s="2798">
        <v>89.3</v>
      </c>
      <c r="K38" s="2798">
        <f t="shared" si="3"/>
        <v>5.7000000000000028</v>
      </c>
      <c r="L38" s="2798" t="s">
        <v>2558</v>
      </c>
      <c r="N38" s="3151">
        <v>8</v>
      </c>
    </row>
    <row r="39" spans="1:14">
      <c r="A39" s="2780"/>
      <c r="B39" s="2781"/>
      <c r="C39" s="2781"/>
      <c r="D39" s="2781"/>
      <c r="E39" s="2781"/>
      <c r="F39" s="2781"/>
      <c r="G39" s="2782"/>
      <c r="I39" s="2798">
        <v>30</v>
      </c>
      <c r="J39" s="2798">
        <v>93.8</v>
      </c>
      <c r="K39" s="2798">
        <f t="shared" si="3"/>
        <v>4.5</v>
      </c>
      <c r="L39" s="2798" t="s">
        <v>2559</v>
      </c>
      <c r="N39" s="3151">
        <v>6</v>
      </c>
    </row>
    <row r="40" spans="1:14">
      <c r="A40" s="2783" t="s">
        <v>2530</v>
      </c>
      <c r="B40" s="2784"/>
      <c r="C40" s="2784"/>
      <c r="D40" s="2784"/>
      <c r="E40" s="2784"/>
      <c r="F40" s="2784"/>
      <c r="G40" s="2785"/>
      <c r="I40" s="2798">
        <v>35</v>
      </c>
      <c r="J40" s="2798">
        <v>97.2</v>
      </c>
      <c r="K40" s="2798">
        <f t="shared" si="3"/>
        <v>3.4000000000000057</v>
      </c>
      <c r="L40" s="2798" t="s">
        <v>2560</v>
      </c>
      <c r="N40" s="3151">
        <v>3</v>
      </c>
    </row>
    <row r="41" spans="1:14">
      <c r="A41" s="2786" t="s">
        <v>2531</v>
      </c>
      <c r="B41" s="2787" t="s">
        <v>2532</v>
      </c>
      <c r="C41" s="2788" t="s">
        <v>2533</v>
      </c>
      <c r="D41" s="2788" t="s">
        <v>2534</v>
      </c>
      <c r="E41" s="2789"/>
      <c r="F41" s="2790"/>
      <c r="G41" s="2791"/>
      <c r="I41" s="2798">
        <v>40</v>
      </c>
      <c r="J41" s="2798">
        <v>100</v>
      </c>
      <c r="K41" s="2798">
        <f t="shared" si="3"/>
        <v>2.7999999999999972</v>
      </c>
    </row>
    <row r="42" spans="1:14">
      <c r="A42" s="2786" t="s">
        <v>2535</v>
      </c>
      <c r="B42" s="2787" t="s">
        <v>2536</v>
      </c>
      <c r="C42" s="2788" t="s">
        <v>2537</v>
      </c>
      <c r="D42" s="2792" t="s">
        <v>2538</v>
      </c>
      <c r="E42" s="2784" t="s">
        <v>2539</v>
      </c>
      <c r="F42" s="2784"/>
      <c r="G42" s="2785"/>
    </row>
    <row r="43" spans="1:14">
      <c r="A43" s="2786" t="s">
        <v>2540</v>
      </c>
      <c r="B43" s="2787" t="s">
        <v>2541</v>
      </c>
      <c r="C43" s="2788" t="s">
        <v>2542</v>
      </c>
      <c r="D43" s="2788" t="s">
        <v>2543</v>
      </c>
      <c r="E43" s="2789" t="s">
        <v>2544</v>
      </c>
      <c r="F43" s="2790"/>
      <c r="G43" s="2791"/>
      <c r="I43" s="2798" t="s">
        <v>2552</v>
      </c>
      <c r="J43" s="2798" t="s">
        <v>2563</v>
      </c>
    </row>
    <row r="44" spans="1:14">
      <c r="A44" s="2786" t="s">
        <v>2545</v>
      </c>
      <c r="B44" s="2787" t="s">
        <v>2546</v>
      </c>
      <c r="C44" s="2788" t="s">
        <v>2547</v>
      </c>
      <c r="D44" s="2792">
        <v>0.5</v>
      </c>
      <c r="E44" s="2789" t="s">
        <v>2548</v>
      </c>
      <c r="F44" s="2790"/>
      <c r="G44" s="2791"/>
      <c r="I44" s="2798">
        <v>30</v>
      </c>
      <c r="J44" s="2798">
        <v>81.7</v>
      </c>
    </row>
    <row r="45" spans="1:14" ht="14.25" thickBot="1">
      <c r="A45" s="2793" t="s">
        <v>2549</v>
      </c>
      <c r="B45" s="2794" t="s">
        <v>2536</v>
      </c>
      <c r="C45" s="2795" t="s">
        <v>2536</v>
      </c>
      <c r="D45" s="2795" t="s">
        <v>2550</v>
      </c>
      <c r="E45" s="2796" t="s">
        <v>2551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3376</v>
      </c>
    </row>
    <row r="50" spans="1:4">
      <c r="A50" s="3143" t="s">
        <v>3377</v>
      </c>
      <c r="B50" s="3143" t="s">
        <v>3378</v>
      </c>
      <c r="C50" s="3143" t="s">
        <v>3379</v>
      </c>
      <c r="D50" s="3143" t="s">
        <v>3380</v>
      </c>
    </row>
    <row r="51" spans="1:4">
      <c r="A51" s="3143" t="s">
        <v>3381</v>
      </c>
      <c r="B51" s="2763">
        <f>B52+B53</f>
        <v>15000</v>
      </c>
      <c r="C51" s="3144">
        <f>D51/B51</f>
        <v>2666.6666666666665</v>
      </c>
      <c r="D51" s="2763">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3">
        <f>B51</f>
        <v>15000</v>
      </c>
      <c r="C54" s="2769">
        <v>700</v>
      </c>
      <c r="D54" s="2763">
        <f t="shared" ref="D54:D55" si="5">C54*B54</f>
        <v>10500000</v>
      </c>
    </row>
    <row r="55" spans="1:4">
      <c r="A55" s="3143" t="s">
        <v>3385</v>
      </c>
      <c r="B55" s="2763">
        <f>B51</f>
        <v>15000</v>
      </c>
      <c r="C55" s="2769">
        <v>1500</v>
      </c>
      <c r="D55" s="2763">
        <f t="shared" si="5"/>
        <v>22500000</v>
      </c>
    </row>
    <row r="56" spans="1:4">
      <c r="A56" s="3143" t="s">
        <v>3386</v>
      </c>
      <c r="B56" s="2763">
        <f>B51</f>
        <v>15000</v>
      </c>
      <c r="C56" s="3148">
        <f>C51+C54+C55</f>
        <v>4866.6666666666661</v>
      </c>
      <c r="D56" s="2763">
        <f>D51+D54+D55</f>
        <v>73000000</v>
      </c>
    </row>
    <row r="58" spans="1:4">
      <c r="A58" s="3143" t="s">
        <v>3387</v>
      </c>
      <c r="B58" s="3149">
        <v>0.05</v>
      </c>
      <c r="C58" s="2763">
        <f>C56*(1+B58)</f>
        <v>5110</v>
      </c>
      <c r="D58" s="2763">
        <f>D56*B58</f>
        <v>3650000</v>
      </c>
    </row>
    <row r="60" spans="1:4">
      <c r="A60" s="3143" t="s">
        <v>3388</v>
      </c>
      <c r="B60" s="2769">
        <v>3500</v>
      </c>
      <c r="C60" s="2769">
        <f>C53</f>
        <v>5000</v>
      </c>
      <c r="D60" s="2763">
        <f>C60*B60</f>
        <v>17500000</v>
      </c>
    </row>
    <row r="62" spans="1:4">
      <c r="A62" s="3143" t="s">
        <v>3389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F23" sqref="F23"/>
    </sheetView>
  </sheetViews>
  <sheetFormatPr defaultColWidth="10" defaultRowHeight="12.75"/>
  <cols>
    <col min="1" max="1" width="16.875" style="1618" customWidth="1"/>
    <col min="2" max="2" width="11.875" style="1618" customWidth="1"/>
    <col min="3" max="3" width="11.5" style="1618" customWidth="1"/>
    <col min="4" max="4" width="12.5"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2158</v>
      </c>
      <c r="B1" s="3243" t="str">
        <f>IF(B10="北京市","北京市",C10)&amp;F10&amp;IF(结果表!G1="在建","出让国有建设用地使用权及在建建筑物",IF(结果表!G1="土地","出让国有建设用地使用权",))&amp;B9&amp;"预评估"</f>
        <v>北京市大兴区半壁店绿茵度假公寓1幢1-7层全部其他用房房地产抵押价值预评估</v>
      </c>
      <c r="C1" s="3244"/>
      <c r="D1" s="3244"/>
      <c r="E1" s="3244"/>
      <c r="F1" s="3244"/>
      <c r="G1" s="3244"/>
      <c r="H1" s="3244"/>
      <c r="I1" s="324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北京市大兴区半壁店绿茵度假公寓1幢1-7层全部其他用房房地产抵押价值</v>
      </c>
      <c r="T1" s="1618"/>
      <c r="U1" s="1618"/>
      <c r="V1" s="1618"/>
      <c r="W1" s="1618"/>
      <c r="X1" s="1618"/>
      <c r="Y1" s="1618"/>
      <c r="Z1" s="1618"/>
      <c r="AA1" s="1618"/>
      <c r="AB1" s="1618"/>
    </row>
    <row r="2" spans="1:30">
      <c r="A2" s="2182" t="s">
        <v>2159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北京市大兴区半壁店绿茵度假公寓1幢1-7层全部其他用房房地产</v>
      </c>
      <c r="T2" s="1618"/>
      <c r="U2" s="1618"/>
      <c r="V2" s="1618"/>
      <c r="W2" s="1618"/>
      <c r="X2" s="1618"/>
      <c r="Y2" s="1618"/>
      <c r="Z2" s="1618"/>
      <c r="AA2" s="1618"/>
      <c r="AB2" s="1618"/>
    </row>
    <row r="3" spans="1:30">
      <c r="A3" s="294" t="s">
        <v>2160</v>
      </c>
      <c r="B3" s="2185">
        <v>45719</v>
      </c>
      <c r="C3" s="2186" t="s">
        <v>2161</v>
      </c>
      <c r="D3" s="2185">
        <f>B3</f>
        <v>45719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2162</v>
      </c>
      <c r="B4" s="2187" t="s">
        <v>3821</v>
      </c>
      <c r="C4" s="2188">
        <f ca="1">SUMIF(注册房地产估价师,B4,估价师及机构信息!B3:B24)</f>
        <v>1120070131</v>
      </c>
      <c r="D4" s="2187" t="s">
        <v>3822</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2163</v>
      </c>
      <c r="B5" s="3152"/>
      <c r="C5" s="2191"/>
      <c r="D5" s="2192"/>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2164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2165</v>
      </c>
      <c r="B7" s="2197"/>
      <c r="C7" s="2195"/>
      <c r="D7" s="2196"/>
      <c r="E7" s="2440"/>
      <c r="F7" s="2441"/>
      <c r="G7" s="2441"/>
      <c r="H7" s="2441"/>
      <c r="I7" s="2441"/>
      <c r="J7" s="2244"/>
      <c r="K7" s="2401"/>
      <c r="L7" s="2398"/>
      <c r="M7" s="2398"/>
      <c r="N7" s="2244"/>
      <c r="O7" s="1670"/>
      <c r="P7" s="2244"/>
      <c r="Q7" s="2244"/>
      <c r="R7" s="2244"/>
    </row>
    <row r="8" spans="1:30">
      <c r="A8" s="2198" t="s">
        <v>2166</v>
      </c>
      <c r="B8" s="2199" t="s">
        <v>3391</v>
      </c>
      <c r="C8" s="2200"/>
      <c r="D8" s="3246" t="s">
        <v>2167</v>
      </c>
      <c r="E8" s="2201" t="s">
        <v>3392</v>
      </c>
      <c r="F8" s="2202"/>
      <c r="G8" s="2441"/>
      <c r="H8" s="2441"/>
      <c r="I8" s="2441"/>
      <c r="J8" s="2244"/>
      <c r="K8" s="2399"/>
      <c r="L8" s="2398"/>
      <c r="M8" s="2398"/>
      <c r="N8" s="2244"/>
      <c r="O8" s="1670"/>
      <c r="P8" s="2244"/>
      <c r="Q8" s="2244"/>
      <c r="R8" s="2244"/>
    </row>
    <row r="9" spans="1:30" ht="13.5" thickBot="1">
      <c r="A9" s="2203" t="s">
        <v>2168</v>
      </c>
      <c r="B9" s="2204" t="s">
        <v>3392</v>
      </c>
      <c r="C9" s="2205"/>
      <c r="D9" s="3247"/>
      <c r="E9" s="2204"/>
      <c r="F9" s="2206"/>
      <c r="G9" s="2442"/>
      <c r="H9" s="2442"/>
      <c r="I9" s="2442"/>
      <c r="J9" s="2244"/>
      <c r="K9" s="2401"/>
      <c r="L9" s="2398"/>
      <c r="M9" s="2398"/>
      <c r="N9" s="2244"/>
      <c r="O9" s="1670"/>
      <c r="P9" s="2244"/>
      <c r="Q9" s="2244"/>
      <c r="R9" s="2244"/>
    </row>
    <row r="10" spans="1:30" ht="13.5" thickTop="1">
      <c r="A10" s="2207" t="s">
        <v>2169</v>
      </c>
      <c r="B10" s="2208" t="s">
        <v>3393</v>
      </c>
      <c r="C10" s="2209"/>
      <c r="D10" s="2192"/>
      <c r="E10" s="2210" t="s">
        <v>2170</v>
      </c>
      <c r="F10" s="3193" t="s">
        <v>3854</v>
      </c>
      <c r="G10" s="2443"/>
      <c r="H10" s="2444"/>
      <c r="I10" s="2445"/>
      <c r="J10" s="2244"/>
      <c r="K10" s="2401"/>
      <c r="L10" s="2398"/>
      <c r="M10" s="2398"/>
      <c r="N10" s="2244"/>
      <c r="O10" s="1670"/>
      <c r="P10" s="2244"/>
      <c r="Q10" s="2244"/>
      <c r="R10" s="2244"/>
    </row>
    <row r="11" spans="1:30">
      <c r="A11" s="2211" t="s">
        <v>2171</v>
      </c>
      <c r="B11" s="2212" t="s">
        <v>3394</v>
      </c>
      <c r="C11" s="2213"/>
      <c r="D11" s="2214"/>
      <c r="E11" s="2182"/>
      <c r="F11" s="2182"/>
      <c r="G11" s="2182"/>
      <c r="H11" s="2182"/>
      <c r="I11" s="2182"/>
      <c r="J11" s="2800"/>
      <c r="K11" s="2398"/>
      <c r="L11" s="2398"/>
      <c r="M11" s="2398"/>
      <c r="N11" s="2244"/>
      <c r="O11" s="1670"/>
      <c r="P11" s="2244"/>
      <c r="Q11" s="2244"/>
      <c r="R11" s="2244"/>
    </row>
    <row r="12" spans="1:30">
      <c r="A12" s="2215" t="s">
        <v>2172</v>
      </c>
      <c r="B12" s="315" t="s">
        <v>2173</v>
      </c>
      <c r="C12" s="2216" t="s">
        <v>2174</v>
      </c>
      <c r="D12" s="2216" t="s">
        <v>2175</v>
      </c>
      <c r="E12" s="2216" t="s">
        <v>2176</v>
      </c>
      <c r="F12" s="2216" t="s">
        <v>2177</v>
      </c>
      <c r="G12" s="2216" t="s">
        <v>2178</v>
      </c>
      <c r="H12" s="2216" t="s">
        <v>2179</v>
      </c>
      <c r="I12" s="2799" t="s">
        <v>2564</v>
      </c>
      <c r="J12" s="2801"/>
      <c r="K12" s="2398"/>
      <c r="L12" s="2398"/>
      <c r="M12" s="2244"/>
      <c r="N12" s="1670"/>
      <c r="O12" s="2244"/>
      <c r="P12" s="2244"/>
      <c r="Q12" s="2244"/>
      <c r="AD12" s="1618"/>
    </row>
    <row r="13" spans="1:30">
      <c r="A13" s="3120" t="s">
        <v>3319</v>
      </c>
      <c r="B13" s="2217" t="s">
        <v>2180</v>
      </c>
      <c r="C13" s="803"/>
      <c r="D13" s="3530">
        <v>50465</v>
      </c>
      <c r="E13" s="803"/>
      <c r="F13" s="803"/>
      <c r="G13" s="803"/>
      <c r="H13" s="803"/>
      <c r="I13" s="3530">
        <v>54118</v>
      </c>
      <c r="J13" s="2801"/>
      <c r="K13" s="2398"/>
      <c r="L13" s="2398"/>
      <c r="M13" s="2244"/>
      <c r="N13" s="1670"/>
      <c r="O13" s="2244"/>
      <c r="P13" s="2244"/>
      <c r="Q13" s="2244"/>
      <c r="AD13" s="1618"/>
    </row>
    <row r="14" spans="1:30">
      <c r="A14" s="1018"/>
      <c r="B14" s="2217" t="s">
        <v>2181</v>
      </c>
      <c r="C14" s="2218"/>
      <c r="D14" s="2218">
        <v>40</v>
      </c>
      <c r="E14" s="2218"/>
      <c r="F14" s="2218">
        <v>50</v>
      </c>
      <c r="G14" s="2218"/>
      <c r="H14" s="2218"/>
      <c r="I14" s="2218">
        <v>40</v>
      </c>
      <c r="J14" s="2802"/>
      <c r="K14" s="2398"/>
      <c r="L14" s="2398"/>
      <c r="M14" s="2244"/>
      <c r="N14" s="1670"/>
      <c r="O14" s="2244"/>
      <c r="P14" s="2244"/>
      <c r="Q14" s="2244"/>
      <c r="AD14" s="1618"/>
    </row>
    <row r="15" spans="1:30">
      <c r="A15" s="312"/>
      <c r="B15" s="2219" t="s">
        <v>2182</v>
      </c>
      <c r="C15" s="2220" t="str">
        <f>IF(A13="出让",IF(C13="","",ROUNDDOWN(MIN((C13-$D$3)/365,C14),2)),C14)</f>
        <v/>
      </c>
      <c r="D15" s="2220">
        <f>IF(A13="出让",IF(D13="","",ROUNDDOWN(MIN((D13-$D$3)/365,D14),2)),D14)</f>
        <v>13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f>IF(A13="出让",IF(I13="","",ROUNDDOWN(MIN((I13-$D$3)/365,I14),2)),I14)</f>
        <v>23.01</v>
      </c>
      <c r="J15" s="2803"/>
      <c r="K15" s="1670"/>
      <c r="L15" s="1670"/>
      <c r="M15" s="2244"/>
      <c r="N15" s="1670"/>
      <c r="O15" s="2244"/>
      <c r="P15" s="2244"/>
      <c r="Q15" s="2244"/>
      <c r="AD15" s="1618"/>
    </row>
    <row r="16" spans="1:30">
      <c r="A16" s="2210" t="s">
        <v>2183</v>
      </c>
      <c r="B16" s="3253"/>
      <c r="C16" s="3254"/>
      <c r="D16" s="3255"/>
      <c r="E16" s="2221" t="s">
        <v>2184</v>
      </c>
      <c r="F16" s="3256"/>
      <c r="G16" s="3257"/>
      <c r="H16" s="3257"/>
      <c r="I16" s="3258"/>
      <c r="J16" s="2244"/>
      <c r="K16" s="2402"/>
      <c r="L16" s="1670"/>
      <c r="M16" s="1670"/>
      <c r="N16" s="2244"/>
      <c r="O16" s="1670"/>
      <c r="P16" s="2244"/>
      <c r="Q16" s="2244"/>
      <c r="R16" s="2244"/>
    </row>
    <row r="17" spans="1:28">
      <c r="A17" s="305" t="s">
        <v>2185</v>
      </c>
      <c r="B17" s="294" t="s">
        <v>2186</v>
      </c>
      <c r="C17" s="8">
        <f>'数据-汇总表'!E3</f>
        <v>10446.719999999999</v>
      </c>
      <c r="D17" s="1256" t="s">
        <v>2187</v>
      </c>
      <c r="E17" s="3259" t="s">
        <v>2188</v>
      </c>
      <c r="F17" s="3260"/>
      <c r="G17" s="3260"/>
      <c r="H17" s="3260"/>
      <c r="I17" s="3261"/>
      <c r="J17" s="2244"/>
      <c r="K17" s="2403"/>
      <c r="L17" s="1670"/>
      <c r="M17" s="1670"/>
      <c r="N17" s="2244"/>
      <c r="O17" s="1670"/>
      <c r="P17" s="2244"/>
      <c r="Q17" s="2244"/>
      <c r="R17" s="2244"/>
      <c r="S17" s="2244"/>
      <c r="T17" s="2244"/>
      <c r="U17" s="2244"/>
      <c r="V17" s="2244"/>
    </row>
    <row r="18" spans="1:28" ht="24.75" thickBot="1">
      <c r="A18" s="2222" t="s">
        <v>2189</v>
      </c>
      <c r="B18" s="1027" t="s">
        <v>2190</v>
      </c>
      <c r="C18" s="2223">
        <f>'数据-汇总表'!D3</f>
        <v>0</v>
      </c>
      <c r="D18" s="1029" t="s">
        <v>2191</v>
      </c>
      <c r="E18" s="3262" t="s">
        <v>2192</v>
      </c>
      <c r="F18" s="3263"/>
      <c r="G18" s="3263"/>
      <c r="H18" s="3263"/>
      <c r="I18" s="3264"/>
      <c r="J18" s="2244"/>
      <c r="K18" s="2403"/>
      <c r="L18" s="1670"/>
      <c r="M18" s="1670"/>
      <c r="N18" s="2244"/>
      <c r="O18" s="1670"/>
      <c r="P18" s="2244"/>
      <c r="Q18" s="2244"/>
      <c r="R18" s="2244"/>
      <c r="S18" s="2244"/>
      <c r="T18" s="2244"/>
      <c r="U18" s="2244"/>
      <c r="V18" s="2244"/>
    </row>
    <row r="19" spans="1:28" ht="25.5" thickTop="1" thickBot="1">
      <c r="A19" s="319" t="s">
        <v>1049</v>
      </c>
      <c r="B19" s="299" t="s">
        <v>2193</v>
      </c>
      <c r="C19" s="1455"/>
      <c r="D19" s="1456" t="s">
        <v>2194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2195</v>
      </c>
      <c r="B20" s="3249" t="s">
        <v>2196</v>
      </c>
      <c r="C20" s="3250"/>
      <c r="D20" s="3251" t="s">
        <v>2197</v>
      </c>
      <c r="E20" s="3252"/>
      <c r="F20" s="2429" t="s">
        <v>1050</v>
      </c>
      <c r="G20" s="2441"/>
      <c r="H20" s="2441"/>
      <c r="I20" s="2441"/>
      <c r="J20" s="2244"/>
      <c r="K20" s="3248" t="s">
        <v>2198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2199</v>
      </c>
      <c r="C21" s="2295" t="s">
        <v>1051</v>
      </c>
      <c r="D21" s="1460" t="s">
        <v>2200</v>
      </c>
      <c r="E21" s="2418" t="s">
        <v>1051</v>
      </c>
      <c r="F21" s="2430"/>
      <c r="G21" s="2441"/>
      <c r="H21" s="2441"/>
      <c r="I21" s="2441"/>
      <c r="J21" s="2244"/>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2201</v>
      </c>
      <c r="C22" s="2295" t="s">
        <v>1052</v>
      </c>
      <c r="D22" s="2441"/>
      <c r="E22" s="2441"/>
      <c r="F22" s="2441"/>
      <c r="G22" s="2441"/>
      <c r="H22" s="2441"/>
      <c r="I22" s="2441"/>
      <c r="J22" s="2244"/>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2202</v>
      </c>
      <c r="B23" s="2292" t="s">
        <v>2203</v>
      </c>
      <c r="C23" s="2421"/>
      <c r="D23" s="2422" t="s">
        <v>2203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1053</v>
      </c>
      <c r="C24" s="2270"/>
      <c r="D24" s="2420" t="s">
        <v>1053</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1054</v>
      </c>
      <c r="C25" s="2270"/>
      <c r="D25" s="2420" t="s">
        <v>1054</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1055</v>
      </c>
      <c r="C26" s="2427"/>
      <c r="D26" s="2425" t="s">
        <v>1055</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7" t="s">
        <v>2204</v>
      </c>
      <c r="B27" s="312" t="s">
        <v>2205</v>
      </c>
      <c r="C27" s="2224" t="s">
        <v>3831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7"/>
      <c r="B28" s="294" t="s">
        <v>2206</v>
      </c>
      <c r="C28" s="2226" t="s">
        <v>3395</v>
      </c>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7"/>
      <c r="B29" s="294" t="s">
        <v>2207</v>
      </c>
      <c r="C29" s="2228" t="s">
        <v>3396</v>
      </c>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8"/>
      <c r="B30" s="294" t="s">
        <v>2208</v>
      </c>
      <c r="C30" s="3239"/>
      <c r="D30" s="3240"/>
      <c r="E30" s="2441"/>
      <c r="F30" s="2441"/>
      <c r="G30" s="2441"/>
      <c r="H30" s="2441"/>
      <c r="I30" s="2441"/>
      <c r="J30" s="2244"/>
      <c r="K30" s="2401"/>
      <c r="L30" s="2398"/>
      <c r="M30" s="2398"/>
      <c r="N30" s="2244"/>
      <c r="O30" s="1670"/>
      <c r="P30" s="2244"/>
      <c r="Q30" s="2244"/>
      <c r="R30" s="2244"/>
      <c r="S30" s="2244"/>
      <c r="T30" s="2244"/>
      <c r="U30" s="2244"/>
      <c r="V30" s="2244"/>
    </row>
    <row r="31" spans="1:28">
      <c r="A31" s="3241" t="s">
        <v>2209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2210</v>
      </c>
      <c r="B34" s="1870"/>
      <c r="C34" s="1870"/>
      <c r="D34" s="1870"/>
      <c r="E34" s="1870"/>
      <c r="F34" s="1870"/>
      <c r="G34" s="1870"/>
      <c r="H34" s="1870"/>
      <c r="I34" s="2441"/>
      <c r="J34" s="2244"/>
      <c r="K34" s="8">
        <f>COUNTIF(B34:H34,"——")</f>
        <v>0</v>
      </c>
      <c r="L34" s="315" t="s">
        <v>2211</v>
      </c>
      <c r="M34" s="315" t="s">
        <v>2212</v>
      </c>
      <c r="N34" s="315" t="s">
        <v>2213</v>
      </c>
      <c r="O34" s="315" t="s">
        <v>2214</v>
      </c>
      <c r="P34" s="315" t="s">
        <v>2215</v>
      </c>
      <c r="Q34" s="315" t="s">
        <v>2216</v>
      </c>
      <c r="R34" s="315" t="s">
        <v>2217</v>
      </c>
      <c r="S34" s="3236" t="s">
        <v>2218</v>
      </c>
      <c r="T34" s="315" t="str">
        <f>NUMBERSTRING(7-K34,1)&amp;"通"</f>
        <v>七通</v>
      </c>
      <c r="U34" s="2244"/>
      <c r="V34" s="2244"/>
    </row>
    <row r="35" spans="1:30">
      <c r="A35" s="2235"/>
      <c r="B35" s="3236" t="s">
        <v>2219</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3"/>
      <c r="B36" s="8" t="s">
        <v>2175</v>
      </c>
      <c r="C36" s="8" t="s">
        <v>2176</v>
      </c>
      <c r="D36" s="8" t="s">
        <v>2174</v>
      </c>
      <c r="E36" s="8" t="s">
        <v>2179</v>
      </c>
      <c r="F36" s="2799" t="s">
        <v>2567</v>
      </c>
      <c r="G36" s="2441"/>
      <c r="H36" s="2441"/>
      <c r="I36" s="2441"/>
      <c r="J36" s="2244"/>
      <c r="K36" s="2401"/>
      <c r="L36" s="2398"/>
      <c r="M36" s="2398"/>
      <c r="N36" s="2244"/>
      <c r="O36" s="1670"/>
      <c r="P36" s="2244"/>
      <c r="Q36" s="2244"/>
      <c r="R36" s="2244"/>
      <c r="S36" s="2244"/>
      <c r="T36" s="2244"/>
      <c r="U36" s="2244"/>
      <c r="V36" s="2244"/>
    </row>
    <row r="37" spans="1:30">
      <c r="A37" s="2414" t="s">
        <v>2220</v>
      </c>
      <c r="B37" s="2236" t="s">
        <v>307</v>
      </c>
      <c r="C37" s="2236"/>
      <c r="D37" s="2236"/>
      <c r="E37" s="2236"/>
      <c r="F37" s="2236" t="s">
        <v>307</v>
      </c>
      <c r="G37" s="2441"/>
      <c r="H37" s="2441"/>
      <c r="I37" s="2441"/>
      <c r="J37" s="2244"/>
      <c r="K37" s="2401"/>
      <c r="L37" s="2398"/>
      <c r="M37" s="2398"/>
      <c r="N37" s="2244"/>
      <c r="O37" s="1670"/>
      <c r="P37" s="2244"/>
      <c r="Q37" s="2244"/>
      <c r="R37" s="2244"/>
      <c r="S37" s="2244"/>
      <c r="T37" s="2244"/>
      <c r="U37" s="2244"/>
      <c r="V37" s="2244"/>
    </row>
    <row r="38" spans="1:30" ht="13.5" thickBot="1">
      <c r="A38" s="2415" t="s">
        <v>2221</v>
      </c>
      <c r="B38" s="2237" t="s">
        <v>207</v>
      </c>
      <c r="C38" s="2237"/>
      <c r="D38" s="2237"/>
      <c r="E38" s="2237"/>
      <c r="F38" s="2237" t="s">
        <v>207</v>
      </c>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2222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2223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2224</v>
      </c>
      <c r="B42" s="8" t="s">
        <v>2225</v>
      </c>
      <c r="C42" s="8" t="s">
        <v>2226</v>
      </c>
      <c r="D42" s="8" t="s">
        <v>2227</v>
      </c>
      <c r="E42" s="8" t="s">
        <v>2228</v>
      </c>
      <c r="F42" s="8" t="s">
        <v>2229</v>
      </c>
      <c r="G42" s="8" t="s">
        <v>2230</v>
      </c>
      <c r="H42" s="8" t="s">
        <v>2231</v>
      </c>
      <c r="I42" s="8" t="s">
        <v>2232</v>
      </c>
      <c r="J42" s="2410" t="s">
        <v>2233</v>
      </c>
      <c r="K42" s="2411" t="s">
        <v>2234</v>
      </c>
      <c r="L42" s="2411" t="s">
        <v>2235</v>
      </c>
      <c r="M42" s="2411" t="s">
        <v>2236</v>
      </c>
      <c r="N42" s="2404" t="s">
        <v>2237</v>
      </c>
      <c r="O42" s="2404" t="s">
        <v>2238</v>
      </c>
      <c r="P42" s="2404" t="s">
        <v>2239</v>
      </c>
      <c r="Q42" s="2405" t="s">
        <v>2240</v>
      </c>
      <c r="R42" s="2405" t="s">
        <v>2241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1056</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1057</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1058</v>
      </c>
      <c r="B2" s="8" t="s">
        <v>1059</v>
      </c>
      <c r="C2" s="8" t="s">
        <v>1060</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1061</v>
      </c>
      <c r="AZ2" s="987" t="s">
        <v>1062</v>
      </c>
      <c r="BA2" s="8" t="s">
        <v>1063</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10446.719999999999</v>
      </c>
      <c r="C3" s="1469" t="s">
        <v>1064</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1065</v>
      </c>
      <c r="B5" s="1259"/>
      <c r="C5" s="1259"/>
      <c r="D5" s="1260"/>
      <c r="E5" s="13" t="s">
        <v>0</v>
      </c>
      <c r="F5" s="13">
        <f>SUM(F13:F587)</f>
        <v>0</v>
      </c>
      <c r="G5" s="13">
        <f>SUM(G13:G587)</f>
        <v>10446.719999999999</v>
      </c>
      <c r="H5" s="13">
        <f t="shared" ref="H5:AT5" si="0">SUM(H13:H656)</f>
        <v>10446.719999999999</v>
      </c>
      <c r="I5" s="13">
        <f t="shared" si="0"/>
        <v>10446.719999999999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1065</v>
      </c>
      <c r="AW5" s="1259"/>
      <c r="AX5" s="1259"/>
      <c r="AY5" s="14" t="s">
        <v>2</v>
      </c>
      <c r="AZ5" s="15">
        <f t="shared" ref="AZ5:BT5" si="1">SUM(AZ13:AZ656)</f>
        <v>10446.719999999999</v>
      </c>
      <c r="BA5" s="15">
        <f t="shared" si="1"/>
        <v>10446.719999999999</v>
      </c>
      <c r="BB5" s="15">
        <f t="shared" si="1"/>
        <v>10446.719999999999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1066</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1066</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1067</v>
      </c>
      <c r="B7" s="1461" t="s">
        <v>1068</v>
      </c>
      <c r="C7" s="1461" t="s">
        <v>1069</v>
      </c>
      <c r="D7" s="1461" t="s">
        <v>1070</v>
      </c>
      <c r="E7" s="1461" t="s">
        <v>1071</v>
      </c>
      <c r="F7" s="1461" t="s">
        <v>1072</v>
      </c>
      <c r="G7" s="1478" t="s">
        <v>1073</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1074</v>
      </c>
      <c r="AV7" s="20" t="s">
        <v>1075</v>
      </c>
      <c r="AW7" s="1466" t="s">
        <v>1076</v>
      </c>
      <c r="AX7" s="20" t="s">
        <v>1069</v>
      </c>
      <c r="AY7" s="1259" t="s">
        <v>1077</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1078</v>
      </c>
      <c r="H8" s="1484" t="s">
        <v>1079</v>
      </c>
      <c r="I8" s="1485"/>
      <c r="J8" s="1269"/>
      <c r="K8" s="1269"/>
      <c r="L8" s="1269"/>
      <c r="M8" s="1269"/>
      <c r="N8" s="1269"/>
      <c r="O8" s="1269"/>
      <c r="P8" s="1269"/>
      <c r="Q8" s="1269"/>
      <c r="R8" s="1269"/>
      <c r="S8" s="1269"/>
      <c r="T8" s="1269"/>
      <c r="U8" s="1269"/>
      <c r="V8" s="1486"/>
      <c r="W8" s="1269"/>
      <c r="X8" s="1269"/>
      <c r="Y8" s="1269"/>
      <c r="Z8" s="1269"/>
      <c r="AA8" s="1486"/>
      <c r="AB8" s="1487"/>
      <c r="AC8" s="761" t="s">
        <v>1080</v>
      </c>
      <c r="AD8" s="1488"/>
      <c r="AE8" s="1480"/>
      <c r="AF8" s="1269"/>
      <c r="AG8" s="1269"/>
      <c r="AH8" s="1269"/>
      <c r="AI8" s="1269"/>
      <c r="AJ8" s="1269"/>
      <c r="AK8" s="1269"/>
      <c r="AL8" s="1269"/>
      <c r="AM8" s="1269"/>
      <c r="AN8" s="1269"/>
      <c r="AO8" s="1269"/>
      <c r="AP8" s="1269"/>
      <c r="AQ8" s="1269"/>
      <c r="AR8" s="1269"/>
      <c r="AS8" s="1269"/>
      <c r="AT8" s="1007" t="s">
        <v>1081</v>
      </c>
      <c r="AU8" s="1482" t="s">
        <v>1082</v>
      </c>
      <c r="AV8" s="1007"/>
      <c r="AW8" s="1467"/>
      <c r="AX8" s="1007"/>
      <c r="AY8" s="1466" t="s">
        <v>1083</v>
      </c>
      <c r="AZ8" s="1268" t="s">
        <v>1084</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1085</v>
      </c>
      <c r="I9" s="1491" t="s">
        <v>3398</v>
      </c>
      <c r="J9" s="761"/>
      <c r="K9" s="1491"/>
      <c r="L9" s="761"/>
      <c r="M9" s="1491"/>
      <c r="N9" s="761"/>
      <c r="O9" s="1491"/>
      <c r="P9" s="761"/>
      <c r="Q9" s="1491"/>
      <c r="R9" s="761"/>
      <c r="S9" s="1491"/>
      <c r="T9" s="761"/>
      <c r="U9" s="1491"/>
      <c r="V9" s="761"/>
      <c r="W9" s="1491"/>
      <c r="X9" s="1492"/>
      <c r="Y9" s="1491"/>
      <c r="Z9" s="761"/>
      <c r="AA9" s="1491"/>
      <c r="AB9" s="761"/>
      <c r="AC9" s="1483"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3"/>
      <c r="AT9" s="1482"/>
      <c r="AU9" s="1482" t="s">
        <v>1088</v>
      </c>
      <c r="AV9" s="1007"/>
      <c r="AW9" s="1467"/>
      <c r="AX9" s="1007"/>
      <c r="AY9" s="25"/>
      <c r="AZ9" s="25" t="s">
        <v>1078</v>
      </c>
      <c r="BA9" s="1494" t="s">
        <v>1089</v>
      </c>
      <c r="BB9" s="1495"/>
      <c r="BC9" s="1025"/>
      <c r="BD9" s="1025"/>
      <c r="BE9" s="1025"/>
      <c r="BF9" s="1025"/>
      <c r="BG9" s="1025"/>
      <c r="BH9" s="1025"/>
      <c r="BI9" s="1025"/>
      <c r="BJ9" s="1025"/>
      <c r="BK9" s="1496"/>
      <c r="BL9" s="12" t="s">
        <v>1090</v>
      </c>
      <c r="BM9" s="1269"/>
      <c r="BN9" s="1485"/>
      <c r="BO9" s="1269"/>
      <c r="BP9" s="1269"/>
      <c r="BQ9" s="1269"/>
      <c r="BR9" s="1269"/>
      <c r="BS9" s="1269"/>
      <c r="BT9" s="23"/>
    </row>
    <row r="10" spans="1:72" s="1489" customFormat="1" ht="12.75">
      <c r="A10" s="1482"/>
      <c r="B10" s="1482"/>
      <c r="C10" s="1482"/>
      <c r="D10" s="1482"/>
      <c r="E10" s="1482"/>
      <c r="F10" s="1482"/>
      <c r="G10" s="1007"/>
      <c r="H10" s="25"/>
      <c r="I10" s="1491" t="s">
        <v>3832</v>
      </c>
      <c r="J10" s="761"/>
      <c r="K10" s="1497"/>
      <c r="L10" s="761"/>
      <c r="M10" s="1497"/>
      <c r="N10" s="761"/>
      <c r="O10" s="1497"/>
      <c r="P10" s="761"/>
      <c r="Q10" s="1497"/>
      <c r="R10" s="761"/>
      <c r="S10" s="1497"/>
      <c r="T10" s="761"/>
      <c r="U10" s="1497"/>
      <c r="V10" s="761"/>
      <c r="W10" s="1497"/>
      <c r="X10" s="761"/>
      <c r="Y10" s="1497"/>
      <c r="Z10" s="761"/>
      <c r="AA10" s="1497"/>
      <c r="AB10" s="761"/>
      <c r="AC10" s="1007"/>
      <c r="AD10" s="12" t="s">
        <v>1091</v>
      </c>
      <c r="AE10" s="1498"/>
      <c r="AF10" s="12" t="s">
        <v>1091</v>
      </c>
      <c r="AG10" s="1498"/>
      <c r="AH10" s="12" t="s">
        <v>1092</v>
      </c>
      <c r="AI10" s="1498"/>
      <c r="AJ10" s="12" t="s">
        <v>1092</v>
      </c>
      <c r="AK10" s="1498"/>
      <c r="AL10" s="12" t="s">
        <v>1093</v>
      </c>
      <c r="AM10" s="1013"/>
      <c r="AN10" s="12" t="s">
        <v>1093</v>
      </c>
      <c r="AO10" s="1013"/>
      <c r="AP10" s="12" t="s">
        <v>1094</v>
      </c>
      <c r="AQ10" s="1013"/>
      <c r="AR10" s="12" t="s">
        <v>1094</v>
      </c>
      <c r="AS10" s="1013"/>
      <c r="AT10" s="1482"/>
      <c r="AU10" s="1482"/>
      <c r="AV10" s="1007"/>
      <c r="AW10" s="1467"/>
      <c r="AX10" s="1007"/>
      <c r="AY10" s="25"/>
      <c r="AZ10" s="25"/>
      <c r="BA10" s="1499" t="s">
        <v>1085</v>
      </c>
      <c r="BB10" s="1500" t="str">
        <f>I9</f>
        <v>地上</v>
      </c>
      <c r="BC10" s="26">
        <f>K9</f>
        <v>0</v>
      </c>
      <c r="BD10" s="26">
        <f>M9</f>
        <v>0</v>
      </c>
      <c r="BE10" s="26">
        <f>O9</f>
        <v>0</v>
      </c>
      <c r="BF10" s="26">
        <f>Q9</f>
        <v>0</v>
      </c>
      <c r="BG10" s="26">
        <f>S9</f>
        <v>0</v>
      </c>
      <c r="BH10" s="26">
        <f>U9</f>
        <v>0</v>
      </c>
      <c r="BI10" s="26">
        <f>W9</f>
        <v>0</v>
      </c>
      <c r="BJ10" s="26">
        <f>Y9</f>
        <v>0</v>
      </c>
      <c r="BK10" s="26">
        <f>AA9</f>
        <v>0</v>
      </c>
      <c r="BL10" s="22" t="s">
        <v>1085</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3833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1095</v>
      </c>
      <c r="AE11" s="1270"/>
      <c r="AF11" s="1504" t="s">
        <v>1095</v>
      </c>
      <c r="AG11" s="1270"/>
      <c r="AH11" s="1504" t="s">
        <v>1096</v>
      </c>
      <c r="AI11" s="1505"/>
      <c r="AJ11" s="1504" t="s">
        <v>1096</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8" t="s">
        <v>1098</v>
      </c>
      <c r="W12" s="8" t="s">
        <v>1097</v>
      </c>
      <c r="X12" s="8" t="s">
        <v>1098</v>
      </c>
      <c r="Y12" s="8" t="s">
        <v>1097</v>
      </c>
      <c r="Z12" s="8" t="s">
        <v>1098</v>
      </c>
      <c r="AA12" s="8" t="s">
        <v>1097</v>
      </c>
      <c r="AB12" s="8" t="s">
        <v>1098</v>
      </c>
      <c r="AC12" s="1509"/>
      <c r="AD12" s="1260"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7" t="s">
        <v>1098</v>
      </c>
      <c r="AT12" s="1510"/>
      <c r="AU12" s="1507"/>
      <c r="AV12" s="28"/>
      <c r="AW12" s="1466"/>
      <c r="AX12" s="28"/>
      <c r="AY12" s="1511"/>
      <c r="AZ12" s="25"/>
      <c r="BA12" s="1499"/>
      <c r="BB12" s="21" t="str">
        <f>I11</f>
        <v>养老服务中心</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3397</v>
      </c>
      <c r="E13" s="13">
        <f>IF($C$3="是",ROUND($A$3*G13/$B$3,2),ROUND($A$3*(G13-AT13)/$B$3,2))</f>
        <v>0</v>
      </c>
      <c r="F13" s="29"/>
      <c r="G13" s="30">
        <f>H13+AC13+AT13</f>
        <v>10446.719999999999</v>
      </c>
      <c r="H13" s="17">
        <f>SUMIF(I$12:AB$12,"总值",I13:AB13)</f>
        <v>10446.719999999999</v>
      </c>
      <c r="I13" s="1514">
        <v>10446.719999999999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10446.719999999999</v>
      </c>
      <c r="BA13" s="13">
        <f>SUM(BB13:BK13)</f>
        <v>10446.719999999999</v>
      </c>
      <c r="BB13" s="13">
        <f>IF($D13="是",I13-J13,0)</f>
        <v>10446.719999999999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f>2000-2+50</f>
        <v>2048</v>
      </c>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2048</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1124</v>
      </c>
      <c r="B1" s="1071"/>
      <c r="C1" s="1071"/>
      <c r="D1" s="1071"/>
      <c r="E1" s="1071"/>
      <c r="F1" s="1071"/>
      <c r="G1" s="1071"/>
      <c r="H1" s="1071"/>
      <c r="I1" s="1071"/>
      <c r="J1" s="1071"/>
      <c r="K1" s="1071"/>
      <c r="L1" s="1071"/>
      <c r="M1" s="1071"/>
      <c r="N1" s="1071"/>
      <c r="O1" s="1071"/>
      <c r="P1" s="1071"/>
    </row>
    <row r="2" spans="1:16" ht="15">
      <c r="A2" s="3274" t="s">
        <v>1125</v>
      </c>
      <c r="B2" s="3274"/>
      <c r="C2" s="3274"/>
      <c r="D2" s="748" t="s">
        <v>1101</v>
      </c>
      <c r="E2" s="1523" t="s">
        <v>1102</v>
      </c>
      <c r="F2" s="2438"/>
      <c r="G2" s="2431"/>
      <c r="H2" s="2432"/>
      <c r="I2" s="2146" t="s">
        <v>1126</v>
      </c>
      <c r="J2" s="2438"/>
      <c r="K2" s="2438"/>
      <c r="L2" s="2438"/>
      <c r="M2" s="2438"/>
      <c r="N2" s="2439"/>
      <c r="O2" s="2438"/>
      <c r="P2" s="2438"/>
    </row>
    <row r="3" spans="1:16" ht="15.75" thickBot="1">
      <c r="A3" s="3275" t="s">
        <v>1099</v>
      </c>
      <c r="B3" s="3275"/>
      <c r="C3" s="3275"/>
      <c r="D3" s="41">
        <f>'数据-基础表'!AY6</f>
        <v>0</v>
      </c>
      <c r="E3" s="41">
        <f>'数据-基础表'!AZ5</f>
        <v>10446.719999999999</v>
      </c>
      <c r="F3" s="2438"/>
      <c r="G3" s="42"/>
      <c r="H3" s="43" t="s">
        <v>1100</v>
      </c>
      <c r="I3" s="802" t="e">
        <f>ROUND('数据-基础表'!B3/'数据-基础表'!A3,2)</f>
        <v>#DIV/0!</v>
      </c>
      <c r="J3" s="2438"/>
      <c r="K3" s="2438"/>
      <c r="L3" s="2438"/>
      <c r="M3" s="2438"/>
      <c r="N3" s="2439"/>
      <c r="O3" s="2438"/>
      <c r="P3" s="2438"/>
    </row>
    <row r="4" spans="1:16" ht="15">
      <c r="A4" s="3276"/>
      <c r="B4" s="3277"/>
      <c r="C4" s="3278"/>
      <c r="D4" s="1524" t="s">
        <v>1101</v>
      </c>
      <c r="E4" s="1525" t="s">
        <v>1102</v>
      </c>
      <c r="F4" s="2438"/>
      <c r="G4" s="2433" t="s">
        <v>1127</v>
      </c>
      <c r="H4" s="43" t="s">
        <v>1107</v>
      </c>
      <c r="I4" s="802" t="e">
        <f>ROUND(SUMIF('数据-基础表'!I9:AS9,"地上",'数据-基础表'!I5:AS5)/'数据-基础表'!A3,2)</f>
        <v>#DIV/0!</v>
      </c>
      <c r="J4" s="2438"/>
      <c r="K4" s="2438"/>
      <c r="L4" s="2438"/>
      <c r="M4" s="2438"/>
      <c r="N4" s="2439"/>
      <c r="O4" s="2438"/>
      <c r="P4" s="2438"/>
    </row>
    <row r="5" spans="1:16">
      <c r="A5" s="42" t="s">
        <v>1103</v>
      </c>
      <c r="B5" s="3279" t="s">
        <v>1104</v>
      </c>
      <c r="C5" s="3279"/>
      <c r="D5" s="43">
        <f>ROUND($D$3*E5/$E$3,2)</f>
        <v>0</v>
      </c>
      <c r="E5" s="44">
        <f>SUMIF('数据-基础表'!$11:$11,"住宅",'数据-基础表'!$5:$5)</f>
        <v>0</v>
      </c>
      <c r="F5" s="2438"/>
      <c r="G5" s="42"/>
      <c r="H5" s="43" t="s">
        <v>1100</v>
      </c>
      <c r="I5" s="802" t="e">
        <f>ROUND(E31/D31,2)</f>
        <v>#DIV/0!</v>
      </c>
      <c r="J5" s="2438"/>
      <c r="K5" s="2438"/>
      <c r="L5" s="2438"/>
      <c r="M5" s="2438"/>
      <c r="N5" s="2438"/>
      <c r="O5" s="2438"/>
      <c r="P5" s="2438"/>
    </row>
    <row r="6" spans="1:16" ht="15" thickBot="1">
      <c r="A6" s="1527"/>
      <c r="B6" s="3279" t="s">
        <v>1105</v>
      </c>
      <c r="C6" s="3279"/>
      <c r="D6" s="43">
        <f>ROUND($D$3*E6/$E$3,2)</f>
        <v>0</v>
      </c>
      <c r="E6" s="44">
        <f>E3-E5</f>
        <v>10446.719999999999</v>
      </c>
      <c r="F6" s="2438"/>
      <c r="G6" s="1529" t="s">
        <v>1106</v>
      </c>
      <c r="H6" s="45" t="s">
        <v>1107</v>
      </c>
      <c r="I6" s="2434" t="e">
        <f>ROUND(F31/D31,2)</f>
        <v>#DIV/0!</v>
      </c>
      <c r="J6" s="2438"/>
      <c r="K6" s="2438"/>
      <c r="L6" s="2438"/>
      <c r="M6" s="2438"/>
      <c r="N6" s="2438"/>
      <c r="O6" s="2438"/>
      <c r="P6" s="2438"/>
    </row>
    <row r="7" spans="1:16" ht="15.75" thickBot="1">
      <c r="A7" s="3271"/>
      <c r="B7" s="3272"/>
      <c r="C7" s="3273"/>
      <c r="D7" s="1524" t="s">
        <v>1101</v>
      </c>
      <c r="E7" s="1528" t="s">
        <v>1108</v>
      </c>
      <c r="F7" s="2438"/>
      <c r="G7" s="2435" t="s">
        <v>1109</v>
      </c>
      <c r="H7" s="95"/>
      <c r="I7" s="2436">
        <v>1.5</v>
      </c>
      <c r="J7" s="2438"/>
      <c r="K7" s="2438"/>
      <c r="L7" s="2438"/>
      <c r="M7" s="2438"/>
      <c r="N7" s="2438"/>
      <c r="O7" s="2438"/>
      <c r="P7" s="2438"/>
    </row>
    <row r="8" spans="1:16">
      <c r="A8" s="42" t="s">
        <v>1110</v>
      </c>
      <c r="B8" s="45" t="s">
        <v>1111</v>
      </c>
      <c r="C8" s="43" t="s">
        <v>1112</v>
      </c>
      <c r="D8" s="43">
        <f t="shared" ref="D8:D15" si="0">ROUND($D$3*E8/$E$3,2)</f>
        <v>0</v>
      </c>
      <c r="E8" s="46">
        <f>SUMIF('数据-基础表'!BB10:BK10,"地上",'数据-基础表'!BB5:BK5)</f>
        <v>10446.719999999999</v>
      </c>
      <c r="F8" s="2438"/>
      <c r="G8" s="2438"/>
      <c r="H8" s="2438"/>
      <c r="I8" s="2438"/>
      <c r="J8" s="2438"/>
      <c r="K8" s="2438"/>
      <c r="L8" s="2438"/>
      <c r="M8" s="2438"/>
      <c r="N8" s="2438"/>
      <c r="O8" s="2438"/>
      <c r="P8" s="2438"/>
    </row>
    <row r="9" spans="1:16">
      <c r="A9" s="1529"/>
      <c r="B9" s="1530"/>
      <c r="C9" s="43" t="s">
        <v>1113</v>
      </c>
      <c r="D9" s="43">
        <f t="shared" si="0"/>
        <v>0</v>
      </c>
      <c r="E9" s="47">
        <v>0</v>
      </c>
      <c r="F9" s="2438"/>
      <c r="G9" s="2438"/>
      <c r="H9" s="2438"/>
      <c r="I9" s="2438"/>
      <c r="J9" s="2438"/>
      <c r="K9" s="2438"/>
      <c r="L9" s="2438"/>
      <c r="M9" s="2438"/>
      <c r="N9" s="2438"/>
      <c r="O9" s="2438"/>
      <c r="P9" s="2438"/>
    </row>
    <row r="10" spans="1:16">
      <c r="A10" s="1529"/>
      <c r="B10" s="1530"/>
      <c r="C10" s="43" t="s">
        <v>1122</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1114</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1115</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1116</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1128</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1123</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1117</v>
      </c>
      <c r="D16" s="45">
        <f>SUM(D8:D15)</f>
        <v>0</v>
      </c>
      <c r="E16" s="48">
        <f>SUM(E8:E15)</f>
        <v>10446.719999999999</v>
      </c>
      <c r="F16" s="2438"/>
      <c r="G16" s="2438"/>
      <c r="H16" s="1531" t="s">
        <v>1129</v>
      </c>
      <c r="I16" s="1532"/>
      <c r="J16" s="1071"/>
      <c r="K16" s="3268" t="s">
        <v>1129</v>
      </c>
      <c r="L16" s="3269"/>
      <c r="M16" s="3269"/>
      <c r="N16" s="3269"/>
      <c r="O16" s="3269"/>
      <c r="P16" s="3270"/>
    </row>
    <row r="17" spans="1:19" ht="15">
      <c r="A17" s="1533" t="s">
        <v>1130</v>
      </c>
      <c r="B17" s="1534" t="s">
        <v>1131</v>
      </c>
      <c r="C17" s="1535" t="s">
        <v>1132</v>
      </c>
      <c r="D17" s="1536" t="s">
        <v>1120</v>
      </c>
      <c r="E17" s="1537" t="s">
        <v>1121</v>
      </c>
      <c r="F17" s="1538"/>
      <c r="G17" s="1539"/>
      <c r="H17" s="1540" t="s">
        <v>1133</v>
      </c>
      <c r="I17" s="1541" t="s">
        <v>1118</v>
      </c>
      <c r="J17" s="1071"/>
      <c r="K17" s="3265" t="s">
        <v>1134</v>
      </c>
      <c r="L17" s="3266"/>
      <c r="M17" s="3267"/>
      <c r="N17" s="3265" t="s">
        <v>1135</v>
      </c>
      <c r="O17" s="3266"/>
      <c r="P17" s="3267"/>
      <c r="R17" s="769" t="s">
        <v>1136</v>
      </c>
      <c r="S17" s="54"/>
    </row>
    <row r="18" spans="1:19" ht="15">
      <c r="A18" s="1529"/>
      <c r="B18" s="1526"/>
      <c r="C18" s="1542"/>
      <c r="D18" s="1543"/>
      <c r="E18" s="1544" t="s">
        <v>1137</v>
      </c>
      <c r="F18" s="1545" t="s">
        <v>1138</v>
      </c>
      <c r="G18" s="1546" t="s">
        <v>1139</v>
      </c>
      <c r="H18" s="980" t="s">
        <v>1140</v>
      </c>
      <c r="I18" s="1547" t="s">
        <v>1141</v>
      </c>
      <c r="J18" s="1071"/>
      <c r="K18" s="980" t="s">
        <v>1142</v>
      </c>
      <c r="L18" s="1548" t="s">
        <v>1143</v>
      </c>
      <c r="M18" s="802" t="s">
        <v>1144</v>
      </c>
      <c r="N18" s="980" t="s">
        <v>1142</v>
      </c>
      <c r="O18" s="1548" t="s">
        <v>1143</v>
      </c>
      <c r="P18" s="802" t="s">
        <v>1144</v>
      </c>
      <c r="R18" s="43" t="s">
        <v>1145</v>
      </c>
      <c r="S18" s="43" t="s">
        <v>1146</v>
      </c>
    </row>
    <row r="19" spans="1:19">
      <c r="A19" s="1549"/>
      <c r="B19" s="45" t="s">
        <v>1119</v>
      </c>
      <c r="C19" s="3114" t="s">
        <v>3835</v>
      </c>
      <c r="D19" s="43">
        <f>ROUND($D$3*E19/$E$3,2)</f>
        <v>0</v>
      </c>
      <c r="E19" s="51">
        <f t="shared" ref="E19:E26" si="1">SUM(F19:G19)</f>
        <v>10446.719999999999</v>
      </c>
      <c r="F19" s="2556">
        <f>'数据-基础表'!I13</f>
        <v>10446.719999999999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10446.719999999999</v>
      </c>
    </row>
    <row r="20" spans="1:19">
      <c r="A20" s="1549"/>
      <c r="B20" s="45" t="s">
        <v>1147</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1147</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1147</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1147</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1147</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1147</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1147</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1148</v>
      </c>
      <c r="D27" s="1072">
        <f>SUM(D19:D26)</f>
        <v>0</v>
      </c>
      <c r="E27" s="1073">
        <f>IF(SUM(E19:E26)='数据-基础表'!BA5,SUM(E19:E26),IF(F27="地上面积有误","面积有误","地下面积有误"))</f>
        <v>10446.719999999999</v>
      </c>
      <c r="F27" s="1072">
        <f>IF(SUM(F19:F26)=E8,SUM(F19:F26),"地上面积有误")</f>
        <v>10446.719999999999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10446.719999999999</v>
      </c>
    </row>
    <row r="28" spans="1:19">
      <c r="A28" s="1549"/>
      <c r="B28" s="45" t="s">
        <v>1149</v>
      </c>
      <c r="C28" s="54" t="s">
        <v>1150</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1149</v>
      </c>
      <c r="C29" s="1555" t="s">
        <v>1151</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1148</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1152</v>
      </c>
      <c r="D31" s="643">
        <f>D27+D30</f>
        <v>0</v>
      </c>
      <c r="E31" s="643">
        <f>E27+E30</f>
        <v>10446.719999999999</v>
      </c>
      <c r="F31" s="644">
        <f>F27+F30</f>
        <v>10446.719999999999</v>
      </c>
      <c r="G31" s="645">
        <f>G27+G30</f>
        <v>0</v>
      </c>
      <c r="H31" s="2438"/>
      <c r="I31" s="2438"/>
      <c r="J31" s="2438"/>
      <c r="K31" s="2438"/>
      <c r="L31" s="2438"/>
      <c r="M31" s="2438"/>
      <c r="N31" s="2438"/>
      <c r="O31" s="2438"/>
      <c r="P31" s="2438"/>
    </row>
    <row r="32" spans="1:19">
      <c r="A32" s="1526"/>
      <c r="B32" s="1526" t="s">
        <v>1153</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3" sqref="P3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12.625" style="1561" customWidth="1"/>
    <col min="16" max="17" width="10.875" style="1561" customWidth="1"/>
    <col min="18" max="19" width="12.5" style="1561" customWidth="1"/>
    <col min="20" max="20" width="12.125" style="1561" customWidth="1"/>
    <col min="21" max="21" width="12.5" style="1561" customWidth="1"/>
    <col min="22" max="22" width="11.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1154</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1155</v>
      </c>
      <c r="B2" s="984">
        <f>项目基本情况!D3</f>
        <v>45719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1156</v>
      </c>
      <c r="B4" s="1564"/>
      <c r="C4" s="1565"/>
      <c r="D4" s="1566"/>
      <c r="E4" s="1565" t="s">
        <v>1157</v>
      </c>
      <c r="F4" s="1565"/>
      <c r="G4" s="1565"/>
      <c r="H4" s="1565"/>
      <c r="I4" s="1565"/>
      <c r="J4" s="1567"/>
      <c r="K4" s="1568"/>
      <c r="L4" s="1569"/>
      <c r="M4" s="1565"/>
      <c r="N4" s="1565" t="s">
        <v>1158</v>
      </c>
      <c r="O4" s="1565"/>
      <c r="P4" s="1565"/>
      <c r="Q4" s="1565"/>
      <c r="R4" s="1565"/>
      <c r="S4" s="1567"/>
      <c r="T4" s="2437" t="str">
        <f>'数据-汇总表'!I17</f>
        <v>按面积比例</v>
      </c>
      <c r="U4" s="1564" t="s">
        <v>1159</v>
      </c>
      <c r="V4" s="1565"/>
      <c r="W4" s="1565"/>
      <c r="X4" s="1565"/>
      <c r="Y4" s="1567"/>
      <c r="Z4" s="1535" t="s">
        <v>1160</v>
      </c>
      <c r="AA4" s="1535"/>
      <c r="AB4" s="1535"/>
      <c r="AC4" s="1535"/>
      <c r="AD4" s="1535"/>
      <c r="AE4" s="1533" t="s">
        <v>1161</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1162</v>
      </c>
      <c r="B5" s="1572" t="s">
        <v>1163</v>
      </c>
      <c r="C5" s="1573" t="s">
        <v>1164</v>
      </c>
      <c r="D5" s="1574" t="s">
        <v>1165</v>
      </c>
      <c r="E5" s="504" t="s">
        <v>1166</v>
      </c>
      <c r="F5" s="1575" t="s">
        <v>1167</v>
      </c>
      <c r="G5" s="504" t="s">
        <v>1168</v>
      </c>
      <c r="H5" s="504" t="s">
        <v>1169</v>
      </c>
      <c r="I5" s="504" t="s">
        <v>1170</v>
      </c>
      <c r="J5" s="1247" t="s">
        <v>1171</v>
      </c>
      <c r="K5" s="1576" t="s">
        <v>1172</v>
      </c>
      <c r="L5" s="1577" t="s">
        <v>1173</v>
      </c>
      <c r="M5" s="1578" t="s">
        <v>1174</v>
      </c>
      <c r="N5" s="1579" t="s">
        <v>3836</v>
      </c>
      <c r="O5" s="1577" t="s">
        <v>1175</v>
      </c>
      <c r="P5" s="1580" t="s">
        <v>1176</v>
      </c>
      <c r="Q5" s="58" t="s">
        <v>1177</v>
      </c>
      <c r="R5" s="1581" t="s">
        <v>1178</v>
      </c>
      <c r="S5" s="1582" t="s">
        <v>1179</v>
      </c>
      <c r="T5" s="1583" t="s">
        <v>1180</v>
      </c>
      <c r="U5" s="985" t="s">
        <v>1181</v>
      </c>
      <c r="V5" s="504" t="s">
        <v>1182</v>
      </c>
      <c r="W5" s="504" t="s">
        <v>1183</v>
      </c>
      <c r="X5" s="60"/>
      <c r="Y5" s="59" t="s">
        <v>1184</v>
      </c>
      <c r="Z5" s="1101" t="s">
        <v>1181</v>
      </c>
      <c r="AA5" s="504" t="s">
        <v>1182</v>
      </c>
      <c r="AB5" s="504" t="s">
        <v>1183</v>
      </c>
      <c r="AC5" s="60"/>
      <c r="AD5" s="60" t="s">
        <v>1184</v>
      </c>
      <c r="AE5" s="985" t="s">
        <v>1185</v>
      </c>
      <c r="AF5" s="504" t="s">
        <v>1186</v>
      </c>
      <c r="AG5" s="59" t="s">
        <v>1187</v>
      </c>
      <c r="AH5" s="985" t="s">
        <v>1188</v>
      </c>
      <c r="AI5" s="1101" t="s">
        <v>1189</v>
      </c>
      <c r="AJ5" s="1101" t="s">
        <v>1190</v>
      </c>
      <c r="AK5" s="504" t="s">
        <v>1191</v>
      </c>
      <c r="AL5" s="504" t="s">
        <v>1192</v>
      </c>
      <c r="AM5" s="59" t="s">
        <v>1193</v>
      </c>
      <c r="AN5" s="1584" t="s">
        <v>1194</v>
      </c>
      <c r="AO5" s="1454" t="s">
        <v>1195</v>
      </c>
      <c r="AP5" s="968" t="s">
        <v>1196</v>
      </c>
      <c r="AQ5" s="1585" t="s">
        <v>1197</v>
      </c>
      <c r="AR5" s="1585"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养老服务中心</v>
      </c>
      <c r="B6" s="1587" t="str">
        <f>IF(A6=0,"","经营性")</f>
        <v>经营性</v>
      </c>
      <c r="C6" s="1588" t="s">
        <v>3832</v>
      </c>
      <c r="D6" s="805">
        <f>SUMIF(项目基本情况!C$12:I$12,C6,项目基本情况!C$14:I$14)</f>
        <v>40</v>
      </c>
      <c r="E6" s="804">
        <f>IF(B6="","",SUMIF(项目基本情况!C$12:I$12,C6,项目基本情况!C$13:I$13))</f>
        <v>54118</v>
      </c>
      <c r="F6" s="61">
        <f>SUMIF(项目基本情况!C$12:I$12,C6,项目基本情况!C$15:I$15)</f>
        <v>23.01</v>
      </c>
      <c r="G6" s="62">
        <f>IF(ISERROR(ROUND(POWER(1+H6,D6-F6)*(POWER(1+H6,F6)-1)/(POWER(1+H6,D6)-1),3)),0,ROUND(POWER(1+H6,D6-F6)*(POWER(1+H6,F6)-1)/(POWER(1+H6,D6)-1),3))</f>
        <v>0.78600000000000003</v>
      </c>
      <c r="H6" s="691">
        <v>0.05</v>
      </c>
      <c r="I6" s="691">
        <v>5.5E-2</v>
      </c>
      <c r="J6" s="63">
        <v>7.0000000000000007E-2</v>
      </c>
      <c r="K6" s="970">
        <f>SUMIF('数据-汇总表'!C$19:C$33,A6,'数据-汇总表'!E$19:E$33)</f>
        <v>10446.719999999999</v>
      </c>
      <c r="L6" s="692">
        <v>4000</v>
      </c>
      <c r="M6" s="64">
        <f t="shared" ref="M6:M14" si="0">ROUND(K6*L6/10000,0)</f>
        <v>4179</v>
      </c>
      <c r="N6" s="690">
        <f>N21</f>
        <v>0.66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1.3</v>
      </c>
      <c r="V6" s="67">
        <v>1.4999999999999999E-2</v>
      </c>
      <c r="W6" s="67">
        <v>0.1</v>
      </c>
      <c r="X6" s="979"/>
      <c r="Y6" s="68">
        <f>N6</f>
        <v>0.66</v>
      </c>
      <c r="Z6" s="69"/>
      <c r="AA6" s="63"/>
      <c r="AB6" s="63"/>
      <c r="AC6" s="979"/>
      <c r="AD6" s="70"/>
      <c r="AE6" s="980">
        <f ca="1">IF(AN6="",0,SUMIF(INDIRECT("'"&amp;AN6&amp;"'"&amp;"!E:E"),$AE$5,INDIRECT("'"&amp;AN6&amp;"'"&amp;"!F:F")))</f>
        <v>23.01</v>
      </c>
      <c r="AF6" s="74"/>
      <c r="AG6" s="130">
        <f>IF(AF6="",0,AE6-AF6)</f>
        <v>0</v>
      </c>
      <c r="AH6" s="71"/>
      <c r="AI6" s="73">
        <v>365</v>
      </c>
      <c r="AJ6" s="696"/>
      <c r="AK6" s="696">
        <v>5.0000000000000001E-3</v>
      </c>
      <c r="AL6" s="697">
        <v>1E-3</v>
      </c>
      <c r="AM6" s="106">
        <v>0.01</v>
      </c>
      <c r="AN6" s="1589" t="s">
        <v>3816</v>
      </c>
      <c r="AO6" s="50">
        <f ca="1">SUMIF(INDIRECT("'"&amp;AN6&amp;"'"&amp;"!A:A"),"总价",INDIRECT("'"&amp;AN6&amp;"'"&amp;"!B:B"))</f>
        <v>5378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91"/>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v>365</v>
      </c>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1199</v>
      </c>
      <c r="B14" s="1587" t="s">
        <v>1200</v>
      </c>
      <c r="C14" s="1592" t="s">
        <v>1199</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1201</v>
      </c>
      <c r="B15" s="1587" t="s">
        <v>1200</v>
      </c>
      <c r="C15" s="1592"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1203</v>
      </c>
      <c r="B16" s="82"/>
      <c r="C16" s="783"/>
      <c r="D16" s="1594"/>
      <c r="E16" s="82"/>
      <c r="F16" s="82"/>
      <c r="G16" s="83">
        <f>ROUND(SUMPRODUCT(G6:G13,K6:K13)/SUMPRODUCT((G6:G13&gt;0)*(K6:K13)),3)</f>
        <v>0.78600000000000003</v>
      </c>
      <c r="H16" s="84">
        <f>ROUND(SUMPRODUCT(H6:H13,K6:K13)/SUMPRODUCT((H6:H13&gt;0)*(K6:K13)),3)</f>
        <v>0.05</v>
      </c>
      <c r="I16" s="85"/>
      <c r="J16" s="85"/>
      <c r="K16" s="86">
        <f>SUM(K6:K15)</f>
        <v>10446.719999999999</v>
      </c>
      <c r="L16" s="87">
        <f>ROUND(M16*10000/SUM(K6:K14),0)</f>
        <v>4000</v>
      </c>
      <c r="M16" s="87">
        <f>SUM(M6:M14)</f>
        <v>4179</v>
      </c>
      <c r="N16" s="88">
        <f>ROUND(SUMPRODUCT(M6:M14,N6:N14)/M16,3)</f>
        <v>0.66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1204</v>
      </c>
      <c r="B18" s="2459"/>
      <c r="C18" s="2438"/>
      <c r="D18" s="2450"/>
      <c r="E18" s="2438"/>
      <c r="F18" s="2438"/>
      <c r="G18" s="2438"/>
      <c r="H18" s="2438"/>
      <c r="I18" s="2438"/>
      <c r="J18" s="2438"/>
      <c r="K18" s="2448"/>
      <c r="L18" s="2448"/>
      <c r="M18" s="3154" t="s">
        <v>3837</v>
      </c>
      <c r="N18" s="2447">
        <v>2000</v>
      </c>
      <c r="O18" s="2447"/>
      <c r="P18" s="2447"/>
      <c r="Q18" s="2447">
        <f>Q16/B20</f>
        <v>0.05</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1205</v>
      </c>
      <c r="B19" s="97">
        <v>0</v>
      </c>
      <c r="C19" s="2559" t="s">
        <v>2292</v>
      </c>
      <c r="D19" s="2450"/>
      <c r="E19" s="2438"/>
      <c r="F19" s="2438"/>
      <c r="G19" s="2438"/>
      <c r="H19" s="2438"/>
      <c r="I19" s="2438"/>
      <c r="J19" s="2438"/>
      <c r="K19" s="2448"/>
      <c r="L19" s="2448"/>
      <c r="M19" s="3192" t="s">
        <v>3838</v>
      </c>
      <c r="N19" s="2447">
        <f>ROUND(1-(1-2%)*(2025-N18)/50,2)</f>
        <v>0.51</v>
      </c>
      <c r="O19" s="2447"/>
      <c r="P19" s="2447"/>
      <c r="Q19" s="2447"/>
      <c r="R19" s="2447"/>
      <c r="S19" s="2447"/>
      <c r="T19" s="2447"/>
      <c r="U19" s="2447" t="s">
        <v>3841</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1206</v>
      </c>
      <c r="B20" s="98">
        <v>2</v>
      </c>
      <c r="C20" s="2560" t="s">
        <v>2290</v>
      </c>
      <c r="D20" s="2450"/>
      <c r="E20" s="2438"/>
      <c r="F20" s="2438"/>
      <c r="G20" s="2438"/>
      <c r="H20" s="2438"/>
      <c r="I20" s="2438"/>
      <c r="J20" s="2438"/>
      <c r="K20" s="2448"/>
      <c r="L20" s="2448"/>
      <c r="M20" s="3154" t="s">
        <v>3839</v>
      </c>
      <c r="N20" s="2447">
        <v>0.8</v>
      </c>
      <c r="O20" s="2447"/>
      <c r="P20" s="2447"/>
      <c r="Q20" s="2447"/>
      <c r="R20" s="2447"/>
      <c r="S20" s="2447"/>
      <c r="T20" s="2447"/>
      <c r="U20" s="2447">
        <f>500*10000/365/K16</f>
        <v>1.311285277770085</v>
      </c>
      <c r="V20" s="2447"/>
      <c r="W20" s="2447"/>
      <c r="X20" s="2447"/>
      <c r="Y20" s="2447"/>
      <c r="Z20" s="3153"/>
      <c r="AA20" s="3153"/>
      <c r="AB20" s="3153"/>
      <c r="AC20" s="3153"/>
      <c r="AD20" s="2448"/>
      <c r="AE20" s="2447"/>
      <c r="AF20" s="2447"/>
      <c r="AG20" s="2447"/>
      <c r="AH20" s="2447"/>
      <c r="AI20" s="2447"/>
      <c r="AJ20" s="2447"/>
      <c r="AK20" s="2447"/>
      <c r="AL20" s="2447"/>
      <c r="AM20" s="2447"/>
      <c r="AN20" s="2447"/>
      <c r="AO20" s="2447"/>
      <c r="AP20" s="2447"/>
      <c r="AQ20" s="2447"/>
      <c r="AR20" s="2447"/>
    </row>
    <row r="21" spans="1:44" ht="14.25">
      <c r="A21" s="1598" t="s">
        <v>1207</v>
      </c>
      <c r="B21" s="98">
        <v>2</v>
      </c>
      <c r="C21" s="2438"/>
      <c r="D21" s="2450"/>
      <c r="E21" s="2438"/>
      <c r="F21" s="2438"/>
      <c r="G21" s="2438"/>
      <c r="H21" s="2438"/>
      <c r="I21" s="2438"/>
      <c r="J21" s="2438"/>
      <c r="K21" s="2448"/>
      <c r="L21" s="2448"/>
      <c r="M21" s="3154" t="s">
        <v>3840</v>
      </c>
      <c r="N21" s="2447">
        <f>ROUND((N19+N20)/2,2)</f>
        <v>0.66</v>
      </c>
      <c r="O21" s="2447"/>
      <c r="P21" s="2447"/>
      <c r="Q21" s="2447"/>
      <c r="R21" s="2447"/>
      <c r="S21" s="2447"/>
      <c r="T21" s="2447"/>
      <c r="U21" s="2447"/>
      <c r="V21" s="2447"/>
      <c r="W21" s="2447"/>
      <c r="X21" s="2447"/>
      <c r="Y21" s="2447"/>
      <c r="Z21" s="2448"/>
      <c r="AA21" s="2448"/>
      <c r="AB21" s="2448"/>
      <c r="AC21" s="2448"/>
      <c r="AD21" s="2448"/>
      <c r="AE21" s="2447"/>
      <c r="AF21" s="2447"/>
      <c r="AG21" s="2447"/>
      <c r="AH21" s="2447"/>
      <c r="AI21" s="2447"/>
      <c r="AJ21" s="2447"/>
      <c r="AK21" s="2447"/>
      <c r="AL21" s="2447"/>
      <c r="AM21" s="2447"/>
      <c r="AN21" s="2447"/>
      <c r="AO21" s="2447"/>
      <c r="AP21" s="2447"/>
      <c r="AQ21" s="2447"/>
      <c r="AR21" s="2447"/>
    </row>
    <row r="22" spans="1:44" ht="14.25">
      <c r="A22" s="1597" t="s">
        <v>1208</v>
      </c>
      <c r="B22" s="99">
        <f>B19+B20</f>
        <v>2</v>
      </c>
      <c r="C22" s="2438"/>
      <c r="D22" s="2450"/>
      <c r="E22" s="2438"/>
      <c r="F22" s="2438"/>
      <c r="G22" s="2438"/>
      <c r="H22" s="2438"/>
      <c r="I22" s="2438"/>
      <c r="J22" s="2438"/>
      <c r="K22" s="2448"/>
      <c r="L22" s="2438"/>
      <c r="M22" s="2448"/>
      <c r="N22" s="3153" t="s">
        <v>3407</v>
      </c>
      <c r="O22" s="3154" t="s">
        <v>3409</v>
      </c>
      <c r="P22" s="3154" t="s">
        <v>3408</v>
      </c>
      <c r="Q22" s="2447"/>
      <c r="R22" s="2447"/>
      <c r="S22" s="2447"/>
      <c r="T22" s="2447"/>
      <c r="U22" s="2447"/>
      <c r="V22" s="2447"/>
      <c r="W22" s="2447"/>
      <c r="X22" s="2447"/>
      <c r="Y22" s="2447"/>
      <c r="Z22" s="2448"/>
      <c r="AA22" s="2448"/>
      <c r="AB22" s="2448"/>
      <c r="AC22" s="2448"/>
      <c r="AD22" s="2448"/>
      <c r="AE22" s="2447"/>
      <c r="AF22" s="2447"/>
      <c r="AG22" s="2447"/>
      <c r="AH22" s="2447"/>
      <c r="AI22" s="2447"/>
      <c r="AJ22" s="2447"/>
      <c r="AK22" s="2447"/>
      <c r="AL22" s="2447"/>
      <c r="AM22" s="2447"/>
      <c r="AN22" s="2447"/>
      <c r="AO22" s="2447"/>
      <c r="AP22" s="2447"/>
      <c r="AQ22" s="2447"/>
      <c r="AR22" s="2447"/>
    </row>
    <row r="23" spans="1:44" ht="14.25">
      <c r="A23" s="1598" t="s">
        <v>1209</v>
      </c>
      <c r="B23" s="99">
        <f>B19+B21</f>
        <v>2</v>
      </c>
      <c r="C23" s="2438"/>
      <c r="D23" s="2450"/>
      <c r="E23" s="2438"/>
      <c r="F23" s="2438"/>
      <c r="G23" s="2438"/>
      <c r="H23" s="2438"/>
      <c r="I23" s="2438"/>
      <c r="J23" s="2438"/>
      <c r="K23" s="2448"/>
      <c r="L23" s="2438"/>
      <c r="M23" s="3155" t="s">
        <v>3401</v>
      </c>
      <c r="N23" s="3156"/>
      <c r="O23" s="3157"/>
      <c r="P23" s="3156"/>
      <c r="Q23" s="3154"/>
      <c r="R23" s="2447"/>
      <c r="S23" s="2447"/>
      <c r="T23" s="2447"/>
      <c r="U23" s="2447"/>
      <c r="V23" s="2447"/>
      <c r="W23" s="2447"/>
      <c r="X23" s="2447"/>
      <c r="Y23" s="2447"/>
      <c r="Z23" s="2448"/>
      <c r="AA23" s="2448"/>
      <c r="AB23" s="2448"/>
      <c r="AC23" s="2448"/>
      <c r="AD23" s="2448"/>
      <c r="AE23" s="2447"/>
      <c r="AF23" s="2447"/>
      <c r="AG23" s="2447"/>
      <c r="AH23" s="2447"/>
      <c r="AI23" s="2447"/>
      <c r="AJ23" s="2447"/>
      <c r="AK23" s="2447"/>
      <c r="AL23" s="2447"/>
      <c r="AM23" s="2447"/>
      <c r="AN23" s="2447"/>
      <c r="AO23" s="2447"/>
      <c r="AP23" s="2447"/>
      <c r="AQ23" s="2447"/>
      <c r="AR23" s="2447"/>
    </row>
    <row r="24" spans="1:44" ht="15" thickBot="1">
      <c r="A24" s="1599" t="s">
        <v>1210</v>
      </c>
      <c r="B24" s="100">
        <f>B20-B21</f>
        <v>0</v>
      </c>
      <c r="C24" s="2438"/>
      <c r="D24" s="2450"/>
      <c r="E24" s="2438"/>
      <c r="F24" s="2438"/>
      <c r="G24" s="2438"/>
      <c r="H24" s="2438"/>
      <c r="I24" s="2438"/>
      <c r="J24" s="2438"/>
      <c r="K24" s="2448"/>
      <c r="L24" s="2438"/>
      <c r="M24" s="3158" t="s">
        <v>3403</v>
      </c>
      <c r="N24" s="3159">
        <f>N25+N26</f>
        <v>10446.719999999999</v>
      </c>
      <c r="O24" s="3160">
        <f>P24/N24</f>
        <v>2000.0000000000002</v>
      </c>
      <c r="P24" s="3161">
        <f>P25+P26</f>
        <v>20893440</v>
      </c>
      <c r="Q24" s="3190"/>
      <c r="R24" s="3154"/>
      <c r="S24" s="2447"/>
      <c r="T24" s="2447"/>
      <c r="U24" s="2447"/>
      <c r="V24" s="2447"/>
      <c r="W24" s="2447"/>
      <c r="X24" s="2447"/>
      <c r="Y24" s="2447"/>
      <c r="Z24" s="2448"/>
      <c r="AA24" s="2448"/>
      <c r="AB24" s="2448"/>
      <c r="AC24" s="2448"/>
      <c r="AD24" s="2448"/>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38"/>
      <c r="M25" s="3162" t="s">
        <v>3398</v>
      </c>
      <c r="N25" s="3163">
        <f>K16</f>
        <v>10446.719999999999</v>
      </c>
      <c r="O25" s="3164">
        <v>2000</v>
      </c>
      <c r="P25" s="3164">
        <f>O25*N25</f>
        <v>20893440</v>
      </c>
      <c r="Q25" s="3190"/>
      <c r="R25" s="3154"/>
      <c r="S25" s="2447"/>
      <c r="T25" s="2447"/>
      <c r="U25" s="2447"/>
      <c r="V25" s="2447"/>
      <c r="W25" s="2447"/>
      <c r="X25" s="2447"/>
      <c r="Y25" s="2447"/>
      <c r="Z25" s="3153"/>
      <c r="AA25" s="2448"/>
      <c r="AB25" s="2448"/>
      <c r="AC25" s="2448"/>
      <c r="AD25" s="2448"/>
      <c r="AE25" s="2447"/>
      <c r="AF25" s="2447"/>
      <c r="AG25" s="2447"/>
      <c r="AH25" s="2447"/>
      <c r="AI25" s="2447"/>
      <c r="AJ25" s="2447"/>
      <c r="AK25" s="2447"/>
      <c r="AL25" s="2447"/>
      <c r="AM25" s="2447"/>
      <c r="AN25" s="2447"/>
      <c r="AO25" s="2447"/>
      <c r="AP25" s="2447"/>
      <c r="AQ25" s="2447"/>
      <c r="AR25" s="2447"/>
    </row>
    <row r="26" spans="1:44" ht="15" thickBot="1">
      <c r="A26" s="1562" t="s">
        <v>1211</v>
      </c>
      <c r="B26" s="1600" t="s">
        <v>1212</v>
      </c>
      <c r="C26" s="2451" t="s">
        <v>1213</v>
      </c>
      <c r="D26" s="2450"/>
      <c r="E26" s="2438"/>
      <c r="F26" s="2438"/>
      <c r="G26" s="2438"/>
      <c r="H26" s="2438"/>
      <c r="I26" s="2438"/>
      <c r="J26" s="2438"/>
      <c r="K26" s="2448"/>
      <c r="L26" s="3166"/>
      <c r="M26" s="3162" t="s">
        <v>3400</v>
      </c>
      <c r="N26" s="3163">
        <v>0</v>
      </c>
      <c r="O26" s="52">
        <v>4500</v>
      </c>
      <c r="P26" s="3164">
        <f t="shared" ref="P26:P29" si="12">O26*N26</f>
        <v>0</v>
      </c>
      <c r="Q26" s="3190"/>
      <c r="R26" s="3154"/>
      <c r="S26" s="2447"/>
      <c r="T26" s="2447"/>
      <c r="U26" s="2447"/>
      <c r="V26" s="2447"/>
      <c r="W26" s="2447"/>
      <c r="X26" s="2447"/>
      <c r="Y26" s="2447"/>
      <c r="Z26" s="3154"/>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1214</v>
      </c>
      <c r="B27" s="101">
        <v>160</v>
      </c>
      <c r="C27" s="2561" t="s">
        <v>2294</v>
      </c>
      <c r="D27" s="2453"/>
      <c r="E27" s="2439"/>
      <c r="F27" s="2439"/>
      <c r="G27" s="2438"/>
      <c r="H27" s="2438"/>
      <c r="I27" s="2438"/>
      <c r="J27" s="2438"/>
      <c r="K27" s="2448"/>
      <c r="L27" s="2438"/>
      <c r="M27" s="3158" t="s">
        <v>3404</v>
      </c>
      <c r="N27" s="3159">
        <f>N24</f>
        <v>10446.719999999999</v>
      </c>
      <c r="O27" s="2231">
        <v>700</v>
      </c>
      <c r="P27" s="3164">
        <f t="shared" si="12"/>
        <v>7312704</v>
      </c>
      <c r="Q27" s="3190"/>
      <c r="R27" s="3154"/>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1215</v>
      </c>
      <c r="B28" s="103">
        <v>200</v>
      </c>
      <c r="C28" s="2454"/>
      <c r="D28" s="2453"/>
      <c r="E28" s="2439"/>
      <c r="F28" s="2439"/>
      <c r="G28" s="2438"/>
      <c r="H28" s="2438"/>
      <c r="I28" s="2438"/>
      <c r="J28" s="2438"/>
      <c r="K28" s="2448"/>
      <c r="L28" s="2438"/>
      <c r="M28" s="3158" t="s">
        <v>3405</v>
      </c>
      <c r="N28" s="3159">
        <f>N24</f>
        <v>10446.719999999999</v>
      </c>
      <c r="O28" s="2231">
        <v>1300</v>
      </c>
      <c r="P28" s="3164">
        <f t="shared" si="12"/>
        <v>13580736</v>
      </c>
      <c r="Q28" s="3190"/>
      <c r="R28" s="3154"/>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1216</v>
      </c>
      <c r="B29" s="105">
        <f ca="1">成本法!C10</f>
        <v>209</v>
      </c>
      <c r="C29" s="2562" t="s">
        <v>2284</v>
      </c>
      <c r="D29" s="2453"/>
      <c r="E29" s="2439"/>
      <c r="F29" s="2439"/>
      <c r="G29" s="2438"/>
      <c r="H29" s="2438"/>
      <c r="I29" s="2438"/>
      <c r="J29" s="2438"/>
      <c r="K29" s="2448"/>
      <c r="L29" s="2438"/>
      <c r="M29" s="3155" t="s">
        <v>3410</v>
      </c>
      <c r="N29" s="3161">
        <v>0</v>
      </c>
      <c r="O29" s="3160">
        <f>O26</f>
        <v>4500</v>
      </c>
      <c r="P29" s="3160">
        <f t="shared" si="12"/>
        <v>0</v>
      </c>
      <c r="Q29" s="3191"/>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1217</v>
      </c>
      <c r="B30" s="638">
        <v>200</v>
      </c>
      <c r="C30" s="2454"/>
      <c r="D30" s="2453"/>
      <c r="E30" s="2439"/>
      <c r="F30" s="2439"/>
      <c r="G30" s="2438"/>
      <c r="H30" s="2438"/>
      <c r="I30" s="2438"/>
      <c r="J30" s="2438"/>
      <c r="K30" s="2448"/>
      <c r="L30" s="3167"/>
      <c r="M30" s="3155" t="s">
        <v>3411</v>
      </c>
      <c r="N30" s="3171">
        <f>N24+N29</f>
        <v>10446.719999999999</v>
      </c>
      <c r="O30" s="3172">
        <f>P30/N30</f>
        <v>4000.0000000000005</v>
      </c>
      <c r="P30" s="3157">
        <f>P24+P27+P28+P29</f>
        <v>41786880</v>
      </c>
      <c r="Q30" s="3168"/>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1218</v>
      </c>
      <c r="B31" s="104">
        <f>B30-B32</f>
        <v>150</v>
      </c>
      <c r="C31" s="2452"/>
      <c r="D31" s="2453"/>
      <c r="E31" s="2439"/>
      <c r="F31" s="2439"/>
      <c r="G31" s="2438"/>
      <c r="H31" s="2438"/>
      <c r="I31" s="2438"/>
      <c r="J31" s="2438"/>
      <c r="K31" s="2448"/>
      <c r="L31" s="2438"/>
      <c r="M31" s="3153" t="s">
        <v>3406</v>
      </c>
      <c r="N31" s="3169">
        <v>0.02</v>
      </c>
      <c r="O31" s="2447"/>
      <c r="P31" s="2447">
        <f>P30*N31</f>
        <v>835737.59999999998</v>
      </c>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1219</v>
      </c>
      <c r="B32" s="639">
        <v>50</v>
      </c>
      <c r="C32" s="2454"/>
      <c r="D32" s="2450"/>
      <c r="E32" s="2438"/>
      <c r="F32" s="2438"/>
      <c r="G32" s="2438"/>
      <c r="H32" s="2438"/>
      <c r="I32" s="2438"/>
      <c r="J32" s="2438"/>
      <c r="K32" s="2448"/>
      <c r="L32" s="2438"/>
      <c r="M32" s="3154"/>
      <c r="N32" s="2448"/>
      <c r="O32" s="2447"/>
      <c r="P32" s="3173">
        <f>P30+P31</f>
        <v>42622617.600000001</v>
      </c>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1220</v>
      </c>
      <c r="B33" s="640">
        <v>0.05</v>
      </c>
      <c r="C33" s="2563" t="s">
        <v>3372</v>
      </c>
      <c r="D33" s="2450"/>
      <c r="E33" s="2438"/>
      <c r="F33" s="2438"/>
      <c r="G33" s="2438"/>
      <c r="H33" s="2438"/>
      <c r="I33" s="2438"/>
      <c r="J33" s="2438"/>
      <c r="K33" s="2448"/>
      <c r="L33" s="3166"/>
      <c r="M33" s="3153"/>
      <c r="N33" s="3153"/>
      <c r="O33" s="3154"/>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1221</v>
      </c>
      <c r="B34" s="106"/>
      <c r="C34" s="2563" t="s">
        <v>2285</v>
      </c>
      <c r="D34" s="2458" t="s">
        <v>2291</v>
      </c>
      <c r="E34" s="2456"/>
      <c r="F34" s="2438"/>
      <c r="G34" s="2438"/>
      <c r="H34" s="2438"/>
      <c r="I34" s="2438"/>
      <c r="J34" s="2438"/>
      <c r="K34" s="2448"/>
      <c r="L34" s="3166"/>
      <c r="M34" s="3170"/>
      <c r="N34" s="2448"/>
      <c r="O34" s="2447"/>
      <c r="P34" s="2447"/>
      <c r="Q34" s="3154"/>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1222</v>
      </c>
      <c r="B35" s="103"/>
      <c r="C35" s="2563" t="s">
        <v>2286</v>
      </c>
      <c r="D35" s="2453"/>
      <c r="E35" s="2439"/>
      <c r="F35" s="2439"/>
      <c r="G35" s="2438"/>
      <c r="H35" s="2438"/>
      <c r="I35" s="2438"/>
      <c r="J35" s="2438"/>
      <c r="K35" s="2448"/>
      <c r="L35" s="3166"/>
      <c r="M35" s="3170"/>
      <c r="N35" s="2448"/>
      <c r="O35" s="2447"/>
      <c r="P35" s="2447"/>
      <c r="Q35" s="3165"/>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1223</v>
      </c>
      <c r="B36" s="107">
        <v>0.03</v>
      </c>
      <c r="C36" s="2563" t="s">
        <v>3390</v>
      </c>
      <c r="D36" s="2450"/>
      <c r="E36" s="2438"/>
      <c r="F36" s="2438"/>
      <c r="G36" s="2438"/>
      <c r="H36" s="2438"/>
      <c r="I36" s="2438"/>
      <c r="J36" s="2438"/>
      <c r="K36" s="2448"/>
      <c r="L36" s="3166"/>
      <c r="M36" s="3170"/>
      <c r="N36" s="2448"/>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1224</v>
      </c>
      <c r="B37" s="108">
        <v>0.03</v>
      </c>
      <c r="C37" s="2563" t="s">
        <v>3373</v>
      </c>
      <c r="D37" s="2450"/>
      <c r="E37" s="2438"/>
      <c r="F37" s="2438"/>
      <c r="G37" s="2438"/>
      <c r="H37" s="2438"/>
      <c r="I37" s="2438"/>
      <c r="J37" s="2438"/>
      <c r="K37" s="2448"/>
      <c r="L37" s="3166"/>
      <c r="M37" s="3170"/>
      <c r="N37" s="2448"/>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1225</v>
      </c>
      <c r="B38" s="106">
        <v>0.02</v>
      </c>
      <c r="C38" s="2563" t="s">
        <v>3374</v>
      </c>
      <c r="D38" s="2450"/>
      <c r="E38" s="2438"/>
      <c r="F38" s="2438"/>
      <c r="G38" s="2438"/>
      <c r="H38" s="2438"/>
      <c r="I38" s="2438"/>
      <c r="J38" s="2438"/>
      <c r="K38" s="2448"/>
      <c r="L38" s="3166"/>
      <c r="M38" s="3170"/>
      <c r="N38" s="2448"/>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1226</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1227</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1228</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1229</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1230</v>
      </c>
      <c r="B44" s="112">
        <v>0.05</v>
      </c>
      <c r="C44" s="2563" t="s">
        <v>3375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1231</v>
      </c>
      <c r="B45" s="110">
        <v>0.03</v>
      </c>
      <c r="C45" s="2562" t="s">
        <v>2287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1232</v>
      </c>
      <c r="B46" s="110">
        <v>0.02</v>
      </c>
      <c r="C46" s="2562" t="s">
        <v>2288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1233</v>
      </c>
      <c r="B47" s="113"/>
      <c r="C47" s="2565" t="s">
        <v>2295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1234</v>
      </c>
      <c r="B48" s="114">
        <v>0.03</v>
      </c>
      <c r="C48" s="2562" t="s">
        <v>2287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1235</v>
      </c>
      <c r="B49" s="110">
        <v>5.0000000000000001E-4</v>
      </c>
      <c r="C49" s="2562" t="s">
        <v>2289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1236</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1237</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1238</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1239</v>
      </c>
      <c r="B53" s="1611" t="s">
        <v>29</v>
      </c>
      <c r="C53" s="2439" t="s">
        <v>1240</v>
      </c>
      <c r="D53" s="2564" t="s">
        <v>2293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1241</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1242</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1243</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1244</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1245</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1246</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1247</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1248</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1249</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1250</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80" t="s">
        <v>2276</v>
      </c>
      <c r="B1" s="3281"/>
      <c r="C1" s="3281"/>
      <c r="D1" s="3281"/>
      <c r="E1" s="3281"/>
      <c r="F1" s="3281"/>
      <c r="G1" s="328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2271</v>
      </c>
      <c r="D2" s="1595"/>
      <c r="E2" s="2259"/>
      <c r="F2" s="2262"/>
      <c r="G2" s="2261" t="s">
        <v>2272</v>
      </c>
      <c r="H2" s="751"/>
      <c r="I2" s="751"/>
      <c r="J2" s="751"/>
      <c r="K2" s="751"/>
      <c r="L2" s="751"/>
      <c r="M2" s="751"/>
      <c r="N2" s="751"/>
      <c r="O2" s="751"/>
      <c r="P2" s="751"/>
      <c r="Q2" s="751"/>
    </row>
    <row r="3" spans="1:29" ht="48">
      <c r="A3" s="2246" t="s">
        <v>2273</v>
      </c>
      <c r="B3" s="2263" t="s">
        <v>2242</v>
      </c>
      <c r="C3" s="2264" t="s">
        <v>2274</v>
      </c>
      <c r="D3" s="2265"/>
      <c r="E3" s="2247" t="s">
        <v>2273</v>
      </c>
      <c r="F3" s="2266" t="s">
        <v>2243</v>
      </c>
      <c r="G3" s="2267" t="s">
        <v>2275</v>
      </c>
      <c r="H3" s="751"/>
      <c r="I3" s="751"/>
      <c r="J3" s="751"/>
      <c r="K3" s="751"/>
      <c r="L3" s="751"/>
      <c r="M3" s="751"/>
      <c r="N3" s="751"/>
      <c r="O3" s="751"/>
      <c r="P3" s="751"/>
      <c r="Q3" s="751"/>
    </row>
    <row r="4" spans="1:29" ht="36.75">
      <c r="A4" s="2247"/>
      <c r="B4" s="315" t="s">
        <v>2244</v>
      </c>
      <c r="C4" s="2268" t="s">
        <v>2245</v>
      </c>
      <c r="D4" s="2265"/>
      <c r="E4" s="2269"/>
      <c r="F4" s="1281" t="s">
        <v>2246</v>
      </c>
      <c r="G4" s="2270" t="s">
        <v>2247</v>
      </c>
      <c r="H4" s="751"/>
      <c r="I4" s="751"/>
      <c r="J4" s="751"/>
      <c r="K4" s="751"/>
      <c r="L4" s="751"/>
      <c r="M4" s="751"/>
      <c r="N4" s="751"/>
      <c r="O4" s="751"/>
      <c r="P4" s="751"/>
      <c r="Q4" s="751"/>
    </row>
    <row r="5" spans="1:29" ht="36.75">
      <c r="A5" s="2247"/>
      <c r="B5" s="315" t="s">
        <v>2248</v>
      </c>
      <c r="C5" s="2268" t="s">
        <v>2249</v>
      </c>
      <c r="D5" s="2265"/>
      <c r="E5" s="2269"/>
      <c r="F5" s="315" t="s">
        <v>2250</v>
      </c>
      <c r="G5" s="2270" t="s">
        <v>2251</v>
      </c>
      <c r="H5" s="751"/>
      <c r="I5" s="751"/>
      <c r="J5" s="751"/>
      <c r="K5" s="751"/>
      <c r="L5" s="751"/>
      <c r="M5" s="751"/>
      <c r="N5" s="751"/>
      <c r="O5" s="751"/>
      <c r="P5" s="751"/>
      <c r="Q5" s="751"/>
    </row>
    <row r="6" spans="1:29" ht="36">
      <c r="A6" s="2247"/>
      <c r="B6" s="315" t="s">
        <v>2252</v>
      </c>
      <c r="C6" s="2270" t="s">
        <v>2247</v>
      </c>
      <c r="D6" s="2265"/>
      <c r="E6" s="2269"/>
      <c r="F6" s="315" t="s">
        <v>2253</v>
      </c>
      <c r="G6" s="2270" t="s">
        <v>2254</v>
      </c>
      <c r="H6" s="751"/>
      <c r="I6" s="751"/>
      <c r="J6" s="751"/>
      <c r="K6" s="751"/>
      <c r="L6" s="751"/>
      <c r="M6" s="751"/>
      <c r="N6" s="751"/>
      <c r="O6" s="751"/>
      <c r="P6" s="751"/>
      <c r="Q6" s="751"/>
    </row>
    <row r="7" spans="1:29" ht="24.75" thickBot="1">
      <c r="A7" s="2247"/>
      <c r="B7" s="315" t="s">
        <v>2250</v>
      </c>
      <c r="C7" s="2270" t="s">
        <v>2251</v>
      </c>
      <c r="D7" s="2244"/>
      <c r="E7" s="2271"/>
      <c r="F7" s="2272" t="s">
        <v>2255</v>
      </c>
      <c r="G7" s="2273" t="s">
        <v>2256</v>
      </c>
      <c r="H7" s="751"/>
      <c r="I7" s="751"/>
      <c r="J7" s="751"/>
      <c r="K7" s="751"/>
      <c r="L7" s="751"/>
      <c r="M7" s="751"/>
      <c r="N7" s="751"/>
      <c r="O7" s="751"/>
      <c r="P7" s="751"/>
      <c r="Q7" s="751"/>
    </row>
    <row r="8" spans="1:29">
      <c r="A8" s="2247"/>
      <c r="B8" s="315" t="s">
        <v>2253</v>
      </c>
      <c r="C8" s="2270" t="s">
        <v>2254</v>
      </c>
      <c r="D8" s="2244"/>
      <c r="E8" s="2244"/>
      <c r="F8" s="121"/>
      <c r="G8" s="121"/>
      <c r="H8" s="751"/>
      <c r="I8" s="751"/>
      <c r="J8" s="751"/>
      <c r="K8" s="751"/>
      <c r="L8" s="751"/>
      <c r="M8" s="751"/>
      <c r="N8" s="751"/>
      <c r="O8" s="751"/>
      <c r="P8" s="751"/>
      <c r="Q8" s="751"/>
    </row>
    <row r="9" spans="1:29" ht="24">
      <c r="A9" s="2247"/>
      <c r="B9" s="315" t="s">
        <v>2257</v>
      </c>
      <c r="C9" s="2268" t="s">
        <v>2258</v>
      </c>
      <c r="D9" s="2265"/>
      <c r="E9" s="2244"/>
      <c r="F9" s="121"/>
      <c r="G9" s="121"/>
      <c r="H9" s="751"/>
      <c r="I9" s="751"/>
      <c r="J9" s="751"/>
      <c r="K9" s="751"/>
      <c r="L9" s="751"/>
      <c r="M9" s="751"/>
      <c r="N9" s="751"/>
      <c r="O9" s="751"/>
      <c r="P9" s="751"/>
      <c r="Q9" s="751"/>
    </row>
    <row r="10" spans="1:29" ht="15" thickBot="1">
      <c r="A10" s="2248"/>
      <c r="B10" s="2274" t="s">
        <v>2259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2260</v>
      </c>
      <c r="D14" s="2265"/>
      <c r="E14" s="2286"/>
      <c r="F14" s="2286"/>
      <c r="G14" s="2261" t="s">
        <v>2261</v>
      </c>
    </row>
    <row r="15" spans="1:29" ht="51">
      <c r="A15" s="2249" t="s">
        <v>2262</v>
      </c>
      <c r="B15" s="2287" t="s">
        <v>2242</v>
      </c>
      <c r="C15" s="2288" t="str">
        <f>C3</f>
        <v>估价对象周边居住用地比例、居住小区规模和社区发展完善程度，综合评价居住社区成熟度一般</v>
      </c>
      <c r="D15" s="2265"/>
      <c r="E15" s="2250" t="s">
        <v>2263</v>
      </c>
      <c r="F15" s="2287" t="s">
        <v>2264</v>
      </c>
      <c r="G15" s="2289" t="str">
        <f>G3</f>
        <v>估价对象位于XX开发区，园区建设成熟度XX，产业集聚程度XX</v>
      </c>
    </row>
    <row r="16" spans="1:29" ht="38.25">
      <c r="A16" s="2251"/>
      <c r="B16" s="2290" t="s">
        <v>2244</v>
      </c>
      <c r="C16" s="2291" t="str">
        <f>C4</f>
        <v>估价对象位于XX商圈，周边商业氛围成熟，人流量大，商业繁华度好</v>
      </c>
      <c r="D16" s="2265"/>
      <c r="E16" s="2252"/>
      <c r="F16" s="2292" t="s">
        <v>2246</v>
      </c>
      <c r="G16" s="2293" t="str">
        <f>G4</f>
        <v>估价对象周边道路状况、公共交通通达情况、停车便捷程度，综合评价交通便捷度较好</v>
      </c>
    </row>
    <row r="17" spans="1:17" ht="38.25">
      <c r="A17" s="2251"/>
      <c r="B17" s="2290" t="s">
        <v>2248</v>
      </c>
      <c r="C17" s="2291" t="str">
        <f>C5</f>
        <v>估价对象位于XX商圈，周边办公楼项目较多，入驻率高，办公集聚程度较好</v>
      </c>
      <c r="D17" s="2244"/>
      <c r="E17" s="2252"/>
      <c r="F17" s="2292" t="s">
        <v>2265</v>
      </c>
      <c r="G17" s="2294"/>
    </row>
    <row r="18" spans="1:17" ht="38.25">
      <c r="A18" s="2251"/>
      <c r="B18" s="2292" t="s">
        <v>2252</v>
      </c>
      <c r="C18" s="2293" t="str">
        <f>C6</f>
        <v>估价对象周边道路状况、公共交通通达情况、停车便捷程度，综合评价交通便捷度较好</v>
      </c>
      <c r="D18" s="2244"/>
      <c r="E18" s="2252"/>
      <c r="F18" s="2292" t="s">
        <v>2255</v>
      </c>
      <c r="G18" s="2293" t="str">
        <f>G7</f>
        <v>该园区内是否有污染型企业，绿化情况，卫生条件，整体环境状况判断</v>
      </c>
    </row>
    <row r="19" spans="1:17" ht="25.5">
      <c r="A19" s="2251"/>
      <c r="B19" s="2292" t="s">
        <v>2266</v>
      </c>
      <c r="C19" s="2294"/>
      <c r="D19" s="2265"/>
      <c r="E19" s="2252"/>
      <c r="F19" s="315" t="s">
        <v>2250</v>
      </c>
      <c r="G19" s="2293" t="str">
        <f>G5</f>
        <v>估价对象所在区域公共配套设施齐备情况</v>
      </c>
    </row>
    <row r="20" spans="1:17" ht="25.5">
      <c r="A20" s="2251"/>
      <c r="B20" s="2292" t="s">
        <v>2267</v>
      </c>
      <c r="C20" s="2291" t="str">
        <f>C9</f>
        <v>区域自然环境：；人文环境；综合评价环境状况一般</v>
      </c>
      <c r="D20" s="2244"/>
      <c r="E20" s="2252"/>
      <c r="F20" s="315" t="s">
        <v>2253</v>
      </c>
      <c r="G20" s="2293" t="str">
        <f>G6</f>
        <v>估价对象所在区域基础设施水平</v>
      </c>
    </row>
    <row r="21" spans="1:17" ht="25.5">
      <c r="A21" s="2251"/>
      <c r="B21" s="315" t="s">
        <v>2250</v>
      </c>
      <c r="C21" s="2293" t="str">
        <f>C7</f>
        <v>估价对象所在区域公共配套设施齐备情况</v>
      </c>
      <c r="D21" s="2265"/>
      <c r="E21" s="2252"/>
      <c r="F21" s="2292" t="s">
        <v>2268</v>
      </c>
      <c r="G21" s="2295"/>
    </row>
    <row r="22" spans="1:17" ht="13.5" customHeight="1">
      <c r="A22" s="2251"/>
      <c r="B22" s="315" t="s">
        <v>2253</v>
      </c>
      <c r="C22" s="2293" t="str">
        <f>C8</f>
        <v>估价对象所在区域基础设施水平</v>
      </c>
      <c r="D22" s="2265"/>
      <c r="E22" s="2252"/>
      <c r="F22" s="2292" t="s">
        <v>2259</v>
      </c>
      <c r="G22" s="2294"/>
    </row>
    <row r="23" spans="1:17" s="751" customFormat="1" ht="15" thickBot="1">
      <c r="A23" s="2251"/>
      <c r="B23" s="2292" t="s">
        <v>2268</v>
      </c>
      <c r="C23" s="2295"/>
      <c r="D23" s="1614"/>
      <c r="E23" s="2253"/>
      <c r="F23" s="2296" t="s">
        <v>2269</v>
      </c>
      <c r="G23" s="2297"/>
      <c r="H23" s="2276"/>
      <c r="I23" s="2276"/>
      <c r="J23" s="2276"/>
      <c r="K23" s="2276"/>
      <c r="L23" s="2276"/>
      <c r="M23" s="2276"/>
      <c r="N23" s="2276"/>
      <c r="O23" s="2276"/>
      <c r="P23" s="2276"/>
      <c r="Q23" s="2276"/>
    </row>
    <row r="24" spans="1:17" s="751" customFormat="1" ht="15" thickBot="1">
      <c r="A24" s="2254"/>
      <c r="B24" s="2296" t="s">
        <v>2270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6" sqref="F6"/>
    </sheetView>
  </sheetViews>
  <sheetFormatPr defaultColWidth="9" defaultRowHeight="13.5"/>
  <cols>
    <col min="1" max="1" width="25" style="2300" customWidth="1"/>
    <col min="2" max="9" width="15.75" style="2300" customWidth="1"/>
    <col min="10" max="16384" width="9" style="2300"/>
  </cols>
  <sheetData>
    <row r="1" spans="1:11" ht="16.5">
      <c r="A1" s="2299" t="s">
        <v>659</v>
      </c>
      <c r="B1" s="2299">
        <f>SUM(B14:B23)</f>
        <v>10446.719999999999</v>
      </c>
      <c r="C1" s="2460"/>
      <c r="D1" s="2460"/>
      <c r="E1" s="2460"/>
      <c r="F1" s="2460"/>
      <c r="G1" s="2461"/>
      <c r="H1" s="2461"/>
      <c r="I1" s="2461"/>
      <c r="J1" s="2461"/>
      <c r="K1" s="2461"/>
    </row>
    <row r="2" spans="1:11" ht="16.5">
      <c r="A2" s="2299" t="s">
        <v>647</v>
      </c>
      <c r="B2" s="2299">
        <f>SUM(C14:C23)</f>
        <v>0</v>
      </c>
      <c r="C2" s="2460"/>
      <c r="D2" s="2460"/>
      <c r="E2" s="2460"/>
      <c r="F2" s="2460"/>
      <c r="G2" s="2461"/>
      <c r="H2" s="2461"/>
      <c r="I2" s="2461"/>
      <c r="J2" s="2461"/>
      <c r="K2" s="2461"/>
    </row>
    <row r="3" spans="1:11" ht="16.5">
      <c r="A3" s="2299" t="s">
        <v>656</v>
      </c>
      <c r="B3" s="2301">
        <f>项目基本情况!D3</f>
        <v>45719</v>
      </c>
      <c r="C3" s="2460"/>
      <c r="D3" s="2460"/>
      <c r="E3" s="2460"/>
      <c r="F3" s="2460"/>
      <c r="G3" s="2461"/>
      <c r="H3" s="2461"/>
      <c r="I3" s="2461"/>
      <c r="J3" s="2461"/>
      <c r="K3" s="2461"/>
    </row>
    <row r="4" spans="1:11" ht="33">
      <c r="A4" s="2299" t="s">
        <v>655</v>
      </c>
      <c r="B4" s="2299" t="s">
        <v>654</v>
      </c>
      <c r="C4" s="2299" t="s">
        <v>653</v>
      </c>
      <c r="D4" s="2299" t="s">
        <v>652</v>
      </c>
      <c r="E4" s="2460"/>
      <c r="F4" s="2461"/>
      <c r="G4" s="2461"/>
      <c r="H4" s="2461"/>
      <c r="I4" s="2461"/>
      <c r="J4" s="2461"/>
      <c r="K4" s="2461"/>
    </row>
    <row r="5" spans="1:11" ht="16.5">
      <c r="A5" s="2299" t="s">
        <v>651</v>
      </c>
      <c r="B5" s="2299">
        <f ca="1">SUM(D14:D23)</f>
        <v>5593</v>
      </c>
      <c r="C5" s="2299">
        <f ca="1">IF(B5=D14,结果表!H102,ROUND(B5*10000/$B$1,0))</f>
        <v>5354</v>
      </c>
      <c r="D5" s="2299" t="e">
        <f ca="1">ROUND(B5*10000/$B$2,0)</f>
        <v>#DIV/0!</v>
      </c>
      <c r="E5" s="2460"/>
      <c r="F5" s="2461"/>
      <c r="G5" s="2461"/>
      <c r="H5" s="2461"/>
      <c r="I5" s="2461"/>
      <c r="J5" s="2461"/>
      <c r="K5" s="2461"/>
    </row>
    <row r="6" spans="1:11" ht="16.5">
      <c r="A6" s="2299" t="s">
        <v>650</v>
      </c>
      <c r="B6" s="2299">
        <f ca="1">SUM(G14:G23)</f>
        <v>5593</v>
      </c>
      <c r="C6" s="2299">
        <f ca="1">IF(B6=G14,结果表!H108,ROUND(B6*10000/$B$1,0))</f>
        <v>5354</v>
      </c>
      <c r="D6" s="2299" t="e">
        <f ca="1">ROUND(B6*10000/$B$2,0)</f>
        <v>#DIV/0!</v>
      </c>
      <c r="E6" s="2460"/>
      <c r="F6" s="2461"/>
      <c r="G6" s="2461"/>
      <c r="H6" s="2461"/>
      <c r="I6" s="2461"/>
      <c r="J6" s="2461"/>
      <c r="K6" s="2461"/>
    </row>
    <row r="7" spans="1:11" ht="16.5">
      <c r="A7" s="2299" t="s">
        <v>658</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649</v>
      </c>
      <c r="B9" s="1244"/>
      <c r="C9" s="2460"/>
      <c r="D9" s="2460"/>
      <c r="E9" s="2460"/>
      <c r="F9" s="2461"/>
      <c r="G9" s="2461"/>
      <c r="H9" s="2461"/>
      <c r="I9" s="2461"/>
      <c r="J9" s="2461"/>
      <c r="K9" s="2461"/>
    </row>
    <row r="10" spans="1:11" ht="16.5">
      <c r="A10" s="2299" t="s">
        <v>648</v>
      </c>
      <c r="B10" s="2299">
        <f>IF(E10="",0,ROUND(B1*(E10*365/G10)/10000,0))</f>
        <v>0</v>
      </c>
      <c r="C10" s="2299" t="s">
        <v>3343</v>
      </c>
      <c r="D10" s="2299" t="s">
        <v>3344</v>
      </c>
      <c r="E10" s="3135"/>
      <c r="F10" s="3139" t="s">
        <v>3345</v>
      </c>
      <c r="G10" s="3136"/>
      <c r="H10" s="2461"/>
      <c r="I10" s="2461"/>
      <c r="J10" s="2461"/>
      <c r="K10" s="2461"/>
    </row>
    <row r="11" spans="1:11" ht="16.5">
      <c r="A11" s="2299" t="s">
        <v>664</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663</v>
      </c>
      <c r="B13" s="2303" t="s">
        <v>660</v>
      </c>
      <c r="C13" s="2303" t="s">
        <v>662</v>
      </c>
      <c r="D13" s="2303" t="s">
        <v>661</v>
      </c>
      <c r="E13" s="2299" t="s">
        <v>653</v>
      </c>
      <c r="F13" s="2299" t="s">
        <v>652</v>
      </c>
      <c r="G13" s="2303" t="s">
        <v>646</v>
      </c>
      <c r="H13" s="2303" t="s">
        <v>657</v>
      </c>
      <c r="I13" s="2303" t="s">
        <v>645</v>
      </c>
      <c r="J13" s="2461"/>
      <c r="K13" s="2461"/>
    </row>
    <row r="14" spans="1:11" ht="16.5">
      <c r="A14" s="2304"/>
      <c r="B14" s="2305">
        <f>'数据-汇总表'!E3</f>
        <v>10446.719999999999</v>
      </c>
      <c r="C14" s="2305">
        <f>'数据-汇总表'!D3</f>
        <v>0</v>
      </c>
      <c r="D14" s="2305">
        <f ca="1">结果表!H101</f>
        <v>5593</v>
      </c>
      <c r="E14" s="2305">
        <f ca="1">ROUND(D14*10000/B14,0)</f>
        <v>5354</v>
      </c>
      <c r="F14" s="2305" t="e">
        <f ca="1">ROUND(D14*10000/C14,0)</f>
        <v>#DIV/0!</v>
      </c>
      <c r="G14" s="2305">
        <f ca="1">结果表!H107</f>
        <v>5593</v>
      </c>
      <c r="H14" s="2305"/>
      <c r="I14" s="2305"/>
      <c r="J14" s="2461"/>
      <c r="K14" s="2461"/>
    </row>
    <row r="15" spans="1:11" ht="16.5">
      <c r="A15" s="2304"/>
      <c r="B15" s="2306"/>
      <c r="C15" s="2306"/>
      <c r="D15" s="2306"/>
      <c r="E15" s="2305" t="e">
        <f t="shared" ref="E15:E23" si="0">ROUND(D15*10000/B15,0)</f>
        <v>#DIV/0!</v>
      </c>
      <c r="F15" s="2305" t="e">
        <f t="shared" ref="F15:F23" si="1">ROUND(D15*10000/C15,0)</f>
        <v>#DIV/0!</v>
      </c>
      <c r="G15" s="1244"/>
      <c r="H15" s="1244"/>
      <c r="I15" s="2306"/>
      <c r="J15" s="2461"/>
      <c r="K15" s="2461"/>
    </row>
    <row r="16" spans="1:11" ht="16.5">
      <c r="A16" s="2304"/>
      <c r="B16" s="2306"/>
      <c r="C16" s="2306"/>
      <c r="D16" s="2306"/>
      <c r="E16" s="2305" t="e">
        <f t="shared" si="0"/>
        <v>#DIV/0!</v>
      </c>
      <c r="F16" s="2305" t="e">
        <f t="shared" si="1"/>
        <v>#DIV/0!</v>
      </c>
      <c r="G16" s="1244"/>
      <c r="H16" s="1244"/>
      <c r="I16" s="2306"/>
      <c r="J16" s="2461"/>
      <c r="K16" s="2461"/>
    </row>
    <row r="17" spans="1:11" ht="16.5">
      <c r="A17" s="2304"/>
      <c r="B17" s="2306"/>
      <c r="C17" s="2306"/>
      <c r="D17" s="2306"/>
      <c r="E17" s="2305" t="e">
        <f t="shared" si="0"/>
        <v>#DIV/0!</v>
      </c>
      <c r="F17" s="2305" t="e">
        <f t="shared" si="1"/>
        <v>#DIV/0!</v>
      </c>
      <c r="G17" s="1244"/>
      <c r="H17" s="1244"/>
      <c r="I17" s="2306"/>
      <c r="J17" s="2461"/>
      <c r="K17" s="2461"/>
    </row>
    <row r="18" spans="1:11" ht="16.5">
      <c r="A18" s="2304"/>
      <c r="B18" s="2306"/>
      <c r="C18" s="2306"/>
      <c r="D18" s="2306"/>
      <c r="E18" s="2305" t="e">
        <f t="shared" si="0"/>
        <v>#DIV/0!</v>
      </c>
      <c r="F18" s="2305" t="e">
        <f t="shared" si="1"/>
        <v>#DIV/0!</v>
      </c>
      <c r="G18" s="2306"/>
      <c r="H18" s="2306"/>
      <c r="I18" s="2306"/>
      <c r="J18" s="2461"/>
      <c r="K18" s="2461"/>
    </row>
    <row r="19" spans="1:11" ht="16.5">
      <c r="A19" s="2304"/>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1256</v>
      </c>
      <c r="B1" s="646"/>
      <c r="C1" s="1620"/>
      <c r="D1" s="646"/>
      <c r="E1" s="646"/>
      <c r="F1" s="1621" t="s">
        <v>1257</v>
      </c>
      <c r="G1" s="1453" t="s">
        <v>3844</v>
      </c>
      <c r="H1" s="1621" t="str">
        <f>IF(G1="现房","——","估价对象范围")</f>
        <v>——</v>
      </c>
      <c r="I1" s="1622"/>
    </row>
    <row r="2" spans="1:12" ht="21.75" customHeight="1" thickBot="1">
      <c r="A2" s="3316" t="str">
        <f>项目基本情况!S2</f>
        <v>北京市大兴区半壁店绿茵度假公寓1幢1-7层全部其他用房房地产</v>
      </c>
      <c r="B2" s="3317"/>
      <c r="C2" s="3317"/>
      <c r="D2" s="3317"/>
      <c r="E2" s="3317"/>
      <c r="F2" s="3317"/>
      <c r="G2" s="3317"/>
      <c r="H2" s="3317"/>
      <c r="I2" s="3318"/>
    </row>
    <row r="3" spans="1:12" ht="12.75">
      <c r="A3" s="3320" t="s">
        <v>1258</v>
      </c>
      <c r="B3" s="3321"/>
      <c r="C3" s="3321"/>
      <c r="D3" s="3321"/>
      <c r="E3" s="3321"/>
      <c r="F3" s="3321"/>
      <c r="G3" s="3321"/>
      <c r="H3" s="3321"/>
      <c r="I3" s="3321"/>
    </row>
    <row r="4" spans="1:12" ht="14.25">
      <c r="A4" s="1624" t="s">
        <v>1259</v>
      </c>
      <c r="B4" s="1625" t="s">
        <v>1260</v>
      </c>
      <c r="C4" s="1626" t="s">
        <v>3762</v>
      </c>
      <c r="D4" s="1626" t="s">
        <v>3816</v>
      </c>
      <c r="E4" s="3322" t="s">
        <v>1261</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1262</v>
      </c>
      <c r="B5" s="3283">
        <v>25</v>
      </c>
      <c r="C5" s="3299"/>
      <c r="D5" s="3319"/>
      <c r="E5" s="123" t="s">
        <v>1263</v>
      </c>
      <c r="F5" s="1627"/>
      <c r="G5" s="1627"/>
      <c r="H5" s="1627"/>
      <c r="I5" s="1281"/>
    </row>
    <row r="6" spans="1:12" ht="12.75">
      <c r="A6" s="3296"/>
      <c r="B6" s="3283"/>
      <c r="C6" s="3300"/>
      <c r="D6" s="3319"/>
      <c r="E6" s="123" t="s">
        <v>1264</v>
      </c>
      <c r="F6" s="1627"/>
      <c r="G6" s="1627"/>
      <c r="H6" s="1627"/>
      <c r="I6" s="1281"/>
    </row>
    <row r="7" spans="1:12" ht="12.75">
      <c r="A7" s="3296"/>
      <c r="B7" s="3283"/>
      <c r="C7" s="3301"/>
      <c r="D7" s="3319"/>
      <c r="E7" s="123" t="s">
        <v>1265</v>
      </c>
      <c r="F7" s="1627"/>
      <c r="G7" s="1627"/>
      <c r="H7" s="1627"/>
      <c r="I7" s="1281"/>
    </row>
    <row r="8" spans="1:12" ht="12.75">
      <c r="A8" s="3296" t="s">
        <v>1266</v>
      </c>
      <c r="B8" s="3283">
        <v>15</v>
      </c>
      <c r="C8" s="3299"/>
      <c r="D8" s="3319"/>
      <c r="E8" s="123" t="s">
        <v>1267</v>
      </c>
      <c r="F8" s="1627"/>
      <c r="G8" s="1627"/>
      <c r="H8" s="1627"/>
      <c r="I8" s="1281"/>
    </row>
    <row r="9" spans="1:12" ht="12.75">
      <c r="A9" s="3296"/>
      <c r="B9" s="3283"/>
      <c r="C9" s="3301"/>
      <c r="D9" s="3319"/>
      <c r="E9" s="123" t="s">
        <v>1268</v>
      </c>
      <c r="F9" s="1627"/>
      <c r="G9" s="1627"/>
      <c r="H9" s="1627"/>
      <c r="I9" s="1281"/>
    </row>
    <row r="10" spans="1:12" ht="12.75">
      <c r="A10" s="3296" t="s">
        <v>1269</v>
      </c>
      <c r="B10" s="3283">
        <v>15</v>
      </c>
      <c r="C10" s="3299"/>
      <c r="D10" s="3319"/>
      <c r="E10" s="123" t="s">
        <v>1270</v>
      </c>
      <c r="F10" s="1627"/>
      <c r="G10" s="1627"/>
      <c r="H10" s="1627"/>
      <c r="I10" s="1281"/>
    </row>
    <row r="11" spans="1:12" ht="12.75">
      <c r="A11" s="3296"/>
      <c r="B11" s="3283"/>
      <c r="C11" s="3301"/>
      <c r="D11" s="3319"/>
      <c r="E11" s="123" t="s">
        <v>1271</v>
      </c>
      <c r="F11" s="1627"/>
      <c r="G11" s="1627"/>
      <c r="H11" s="1627"/>
      <c r="I11" s="1281"/>
    </row>
    <row r="12" spans="1:12" ht="12.75">
      <c r="A12" s="3296" t="s">
        <v>1272</v>
      </c>
      <c r="B12" s="3283">
        <v>15</v>
      </c>
      <c r="C12" s="3299"/>
      <c r="D12" s="3319"/>
      <c r="E12" s="123" t="s">
        <v>1273</v>
      </c>
      <c r="F12" s="1627"/>
      <c r="G12" s="1627"/>
      <c r="H12" s="1627"/>
      <c r="I12" s="1281"/>
    </row>
    <row r="13" spans="1:12" ht="12.75">
      <c r="A13" s="3296"/>
      <c r="B13" s="3283"/>
      <c r="C13" s="3301"/>
      <c r="D13" s="3319"/>
      <c r="E13" s="123" t="s">
        <v>1274</v>
      </c>
      <c r="F13" s="1627"/>
      <c r="G13" s="1627"/>
      <c r="H13" s="1627"/>
      <c r="I13" s="1281"/>
    </row>
    <row r="14" spans="1:12" ht="12.75">
      <c r="A14" s="3296" t="s">
        <v>1275</v>
      </c>
      <c r="B14" s="3283">
        <v>30</v>
      </c>
      <c r="C14" s="3299">
        <v>5</v>
      </c>
      <c r="D14" s="3319">
        <v>5</v>
      </c>
      <c r="E14" s="123" t="s">
        <v>1276</v>
      </c>
      <c r="F14" s="1627"/>
      <c r="G14" s="1627"/>
      <c r="H14" s="1627"/>
      <c r="I14" s="1281"/>
    </row>
    <row r="15" spans="1:12" ht="12.75">
      <c r="A15" s="3296"/>
      <c r="B15" s="3283"/>
      <c r="C15" s="3300"/>
      <c r="D15" s="3319"/>
      <c r="E15" s="123" t="s">
        <v>1277</v>
      </c>
      <c r="F15" s="1627"/>
      <c r="G15" s="1627"/>
      <c r="H15" s="1627"/>
      <c r="I15" s="1281"/>
    </row>
    <row r="16" spans="1:12" ht="12.75">
      <c r="A16" s="3296"/>
      <c r="B16" s="3283"/>
      <c r="C16" s="3301"/>
      <c r="D16" s="3319"/>
      <c r="E16" s="123" t="s">
        <v>1278</v>
      </c>
      <c r="F16" s="1627"/>
      <c r="G16" s="1627"/>
      <c r="H16" s="1627"/>
      <c r="I16" s="1281"/>
    </row>
    <row r="17" spans="1:36" ht="15">
      <c r="A17" s="1628" t="s">
        <v>1279</v>
      </c>
      <c r="B17" s="54"/>
      <c r="C17" s="124">
        <f>SUM(C5:C16)</f>
        <v>5</v>
      </c>
      <c r="D17" s="124">
        <f>SUM(D5:D16)</f>
        <v>5</v>
      </c>
      <c r="E17" s="121"/>
      <c r="F17" s="121"/>
      <c r="G17" s="121"/>
      <c r="H17" s="121"/>
      <c r="I17" s="121"/>
      <c r="K17" s="294"/>
      <c r="L17" s="294" t="s">
        <v>1280</v>
      </c>
      <c r="M17" s="294" t="s">
        <v>1281</v>
      </c>
    </row>
    <row r="18" spans="1:36" ht="31.9" customHeight="1" thickBot="1">
      <c r="A18" s="1629" t="s">
        <v>1282</v>
      </c>
      <c r="B18" s="1542"/>
      <c r="C18" s="125">
        <f>ROUND(C17/SUM(C17:D17),2)</f>
        <v>0.5</v>
      </c>
      <c r="D18" s="125">
        <f>1-C18</f>
        <v>0.5</v>
      </c>
      <c r="E18" s="3306" t="s">
        <v>2121</v>
      </c>
      <c r="F18" s="3307"/>
      <c r="G18" s="3307"/>
      <c r="H18" s="3307"/>
      <c r="I18" s="3307"/>
      <c r="K18" s="294" t="s">
        <v>1283</v>
      </c>
      <c r="L18" s="294">
        <f>IF(C1="",'数据-汇总表'!E3,SUMIF(项目类型,C1,'数据-汇总表'!E17:E26)+SUMIF(项目类型,C1,'数据-汇总表'!I17:I26))</f>
        <v>10446.719999999999</v>
      </c>
      <c r="M18" s="294">
        <f>IF(C1="",'数据-汇总表'!E3,SUMIF(项目类型,C1,'数据-汇总表'!E17:E26))</f>
        <v>10446.719999999999</v>
      </c>
    </row>
    <row r="19" spans="1:36" ht="15">
      <c r="A19" s="1630" t="s">
        <v>1284</v>
      </c>
      <c r="B19" s="1631" t="s">
        <v>1285</v>
      </c>
      <c r="C19" s="126">
        <f ca="1">SUMIF(INDIRECT("'"&amp;C4&amp;"'"&amp;"!A:A"),结果表!B19,INDIRECT("'"&amp;C4&amp;"'"&amp;"!B:B"))</f>
        <v>5808</v>
      </c>
      <c r="D19" s="127">
        <f ca="1">SUMIF(INDIRECT("'"&amp;D4&amp;"'"&amp;"!A:A"),结果表!B19,INDIRECT("'"&amp;D4&amp;"'"&amp;"!B:B"))</f>
        <v>5378</v>
      </c>
      <c r="E19" s="1630" t="s">
        <v>1286</v>
      </c>
      <c r="F19" s="1631" t="s">
        <v>1285</v>
      </c>
      <c r="G19" s="128">
        <f ca="1">ROUND(C19*$C$18+D19*$D$18,0)</f>
        <v>5593</v>
      </c>
      <c r="H19" s="1632"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3"/>
      <c r="B20" s="43" t="s">
        <v>1289</v>
      </c>
      <c r="C20" s="129">
        <f ca="1">SUMIF(INDIRECT("'"&amp;C4&amp;"'"&amp;"!A:A"),结果表!B20,INDIRECT("'"&amp;C4&amp;"'"&amp;"!B:B"))</f>
        <v>5560</v>
      </c>
      <c r="D20" s="130">
        <f ca="1">SUMIF(INDIRECT("'"&amp;D4&amp;"'"&amp;"!A:A"),结果表!B20,INDIRECT("'"&amp;D4&amp;"'"&amp;"!B:B"))</f>
        <v>5148</v>
      </c>
      <c r="E20" s="1633"/>
      <c r="F20" s="43" t="s">
        <v>1289</v>
      </c>
      <c r="G20" s="131">
        <f ca="1">ROUND(C20*$C$18+D20*$D$18,0)</f>
        <v>5354</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4" t="s">
        <v>1290</v>
      </c>
      <c r="I21" s="121"/>
    </row>
    <row r="22" spans="1:36" ht="15" thickBot="1">
      <c r="A22" s="1564" t="s">
        <v>1292</v>
      </c>
      <c r="B22" s="1635"/>
      <c r="C22" s="1636"/>
      <c r="D22" s="680">
        <f ca="1">IF(C19&lt;D19,D19/C19-1,C19/D19-1)</f>
        <v>7.9955373744886593E-2</v>
      </c>
      <c r="E22" s="121"/>
      <c r="F22" s="121"/>
      <c r="G22" s="121"/>
      <c r="H22" s="121"/>
      <c r="I22" s="121"/>
    </row>
    <row r="23" spans="1:36" ht="13.5" thickBot="1">
      <c r="A23" s="646"/>
      <c r="B23" s="646"/>
      <c r="C23" s="646"/>
      <c r="D23" s="646"/>
      <c r="E23" s="121"/>
      <c r="F23" s="121"/>
      <c r="G23" s="121"/>
      <c r="H23" s="121"/>
      <c r="I23" s="121"/>
    </row>
    <row r="24" spans="1:36" ht="14.25">
      <c r="A24" s="3290" t="s">
        <v>1293</v>
      </c>
      <c r="B24" s="1631" t="s">
        <v>1285</v>
      </c>
      <c r="C24" s="128">
        <f>IF(B30=0,0,D30)</f>
        <v>0</v>
      </c>
      <c r="D24" s="1637"/>
      <c r="E24" s="121"/>
      <c r="F24" s="121"/>
      <c r="G24" s="121"/>
      <c r="H24" s="121"/>
      <c r="I24" s="121"/>
    </row>
    <row r="25" spans="1:36" ht="14.25">
      <c r="A25" s="3291"/>
      <c r="B25" s="43" t="s">
        <v>1289</v>
      </c>
      <c r="C25" s="133">
        <f>IF(B30=0,0,C30)</f>
        <v>0</v>
      </c>
      <c r="D25" s="1638"/>
      <c r="E25" s="121"/>
      <c r="F25" s="121"/>
      <c r="G25" s="121"/>
      <c r="H25" s="121"/>
      <c r="I25" s="121"/>
    </row>
    <row r="26" spans="1:36" ht="13.5" customHeight="1">
      <c r="A26" s="1639" t="s">
        <v>1294</v>
      </c>
      <c r="B26" s="134" t="s">
        <v>1295</v>
      </c>
      <c r="C26" s="134" t="s">
        <v>1296</v>
      </c>
      <c r="D26" s="135" t="s">
        <v>1297</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1298</v>
      </c>
      <c r="B30" s="134"/>
      <c r="C30" s="134"/>
      <c r="D30" s="134"/>
      <c r="E30" s="2127" t="s">
        <v>2122</v>
      </c>
      <c r="F30" s="121"/>
      <c r="G30" s="121"/>
      <c r="H30" s="121"/>
      <c r="I30" s="121"/>
    </row>
    <row r="31" spans="1:36" s="2133" customFormat="1" ht="26.45" customHeight="1" thickTop="1" thickBot="1">
      <c r="A31" s="2128"/>
      <c r="B31" s="2129"/>
      <c r="C31" s="2129"/>
      <c r="D31" s="2129"/>
      <c r="E31" s="2129"/>
      <c r="F31" s="2129"/>
      <c r="G31" s="2129"/>
      <c r="H31" s="2129"/>
      <c r="I31" s="2130" t="s">
        <v>2123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1299</v>
      </c>
      <c r="B32" s="1535"/>
      <c r="C32" s="136">
        <f ca="1">IF(D32="总价",G19-C24,G20-C25)</f>
        <v>5593</v>
      </c>
      <c r="D32" s="1641" t="s">
        <v>3812</v>
      </c>
      <c r="E32" s="121"/>
      <c r="F32" s="121"/>
      <c r="G32" s="121"/>
      <c r="H32" s="121"/>
      <c r="I32" s="121"/>
    </row>
    <row r="33" spans="1:15" ht="15">
      <c r="A33" s="740" t="s">
        <v>1300</v>
      </c>
      <c r="B33" s="123"/>
      <c r="C33" s="1642" t="s">
        <v>3813</v>
      </c>
      <c r="D33" s="1643" t="s">
        <v>3762</v>
      </c>
      <c r="E33" s="1644" t="s">
        <v>1301</v>
      </c>
      <c r="F33" s="1645" t="str">
        <f>IF(D32="楼面单价","取值（单价）","取值（总价）")</f>
        <v>取值（总价）</v>
      </c>
      <c r="G33" s="121"/>
      <c r="H33" s="121"/>
      <c r="I33" s="121"/>
    </row>
    <row r="34" spans="1:15" ht="15">
      <c r="A34" s="1646"/>
      <c r="B34" s="1647" t="s">
        <v>1302</v>
      </c>
      <c r="C34" s="140">
        <f ca="1">IF(C33="自定义",F34,C32-C35)</f>
        <v>1980</v>
      </c>
      <c r="D34" s="808">
        <f ca="1">IF(C33="自定义",ROUND(C34/C32,3),IF(C33="收益比率",SUMIF(INDIRECT("'"&amp;D33&amp;"'"&amp;"!b:b"),"土地收益比率",INDIRECT("'"&amp;D33&amp;"'"&amp;"!c:c")),SUMIF(INDIRECT("'"&amp;D33&amp;"'"&amp;"!b:b"),"土地成本比率",INDIRECT("'"&amp;D33&amp;"'"&amp;"!c:c"))))</f>
        <v>0.35399999999999998</v>
      </c>
      <c r="E34" s="1648" t="s">
        <v>1303</v>
      </c>
      <c r="F34" s="1243"/>
      <c r="G34" s="121"/>
      <c r="H34" s="121"/>
      <c r="I34" s="121"/>
    </row>
    <row r="35" spans="1:15" ht="15.75" thickBot="1">
      <c r="A35" s="1649"/>
      <c r="B35" s="1650" t="s">
        <v>1304</v>
      </c>
      <c r="C35" s="1090">
        <f ca="1">IF(C33="自定义",F35,ROUND(C32*D35,0))</f>
        <v>3613</v>
      </c>
      <c r="D35" s="1091">
        <f ca="1">IF(C33="自定义",ROUND(C35/C32,3),IF(C33="收益比率",SUMIF(INDIRECT("'"&amp;D33&amp;"'"&amp;"!b:b"),"建筑物收益比率",INDIRECT("'"&amp;D33&amp;"'"&amp;"!c:c")),SUMIF(INDIRECT("'"&amp;D33&amp;"'"&amp;"!b:b"),"建筑物成本比率",INDIRECT("'"&amp;D33&amp;"'"&amp;"!c:c"))))</f>
        <v>0.64600000000000002</v>
      </c>
      <c r="E35" s="1651" t="s">
        <v>1305</v>
      </c>
      <c r="F35" s="146"/>
      <c r="G35" s="121"/>
      <c r="H35" s="121"/>
      <c r="I35" s="121"/>
    </row>
    <row r="36" spans="1:15" ht="15.75" thickBot="1">
      <c r="A36" s="3310" t="s">
        <v>1306</v>
      </c>
      <c r="B36" s="1652" t="s">
        <v>1307</v>
      </c>
      <c r="C36" s="137"/>
      <c r="D36" s="1653"/>
      <c r="E36" s="1567"/>
      <c r="F36" s="1654"/>
      <c r="G36" s="121"/>
      <c r="H36" s="121"/>
      <c r="I36" s="121"/>
    </row>
    <row r="37" spans="1:15" ht="15.75" thickBot="1">
      <c r="A37" s="3311"/>
      <c r="B37" s="1555" t="s">
        <v>1308</v>
      </c>
      <c r="C37" s="139"/>
      <c r="D37" s="1071"/>
      <c r="E37" s="1071"/>
      <c r="F37" s="1654"/>
      <c r="G37" s="121"/>
      <c r="H37" s="121"/>
      <c r="I37" s="121"/>
    </row>
    <row r="38" spans="1:15" ht="15.75" thickBot="1">
      <c r="A38" s="3312"/>
      <c r="B38" s="1655" t="s">
        <v>1309</v>
      </c>
      <c r="C38" s="641"/>
      <c r="D38" s="1656" t="s">
        <v>1310</v>
      </c>
      <c r="E38" s="1071"/>
      <c r="F38" s="1654"/>
      <c r="G38" s="121"/>
      <c r="H38" s="121"/>
      <c r="I38" s="121"/>
    </row>
    <row r="39" spans="1:15" ht="15">
      <c r="A39" s="1633" t="s">
        <v>1311</v>
      </c>
      <c r="B39" s="1657" t="s">
        <v>1312</v>
      </c>
      <c r="C39" s="1658" t="s">
        <v>1313</v>
      </c>
      <c r="D39" s="1658" t="s">
        <v>1314</v>
      </c>
      <c r="E39" s="1659" t="s">
        <v>1315</v>
      </c>
      <c r="F39" s="1654"/>
      <c r="G39" s="121"/>
      <c r="H39" s="121"/>
      <c r="I39" s="121"/>
    </row>
    <row r="40" spans="1:15" ht="14.25">
      <c r="A40" s="1660" t="s">
        <v>1316</v>
      </c>
      <c r="B40" s="141"/>
      <c r="C40" s="142"/>
      <c r="D40" s="142"/>
      <c r="E40" s="143"/>
      <c r="F40" s="1654"/>
      <c r="G40" s="121"/>
      <c r="H40" s="121"/>
      <c r="I40" s="121"/>
    </row>
    <row r="41" spans="1:15" ht="14.25">
      <c r="A41" s="1660" t="s">
        <v>1317</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1318</v>
      </c>
      <c r="B44" s="1664"/>
      <c r="C44" s="1664"/>
      <c r="D44" s="1665"/>
      <c r="E44" s="1665"/>
      <c r="F44" s="1666"/>
      <c r="G44" s="1666"/>
      <c r="H44" s="1666"/>
      <c r="I44" s="1666"/>
      <c r="J44" s="1667" t="s">
        <v>1319</v>
      </c>
      <c r="K44" s="4"/>
      <c r="L44" s="4"/>
      <c r="M44" s="4"/>
      <c r="N44" s="4"/>
      <c r="O44" s="4"/>
    </row>
    <row r="45" spans="1:15" ht="14.25" customHeight="1" thickBot="1">
      <c r="A45" s="3287" t="s">
        <v>1320</v>
      </c>
      <c r="B45" s="3288"/>
      <c r="C45" s="3289"/>
      <c r="D45" s="147">
        <f ca="1">ROUND(H101*F45,0)</f>
        <v>5593</v>
      </c>
      <c r="E45" s="148" t="s">
        <v>1321</v>
      </c>
      <c r="F45" s="149">
        <v>1</v>
      </c>
      <c r="G45" s="150" t="s">
        <v>1322</v>
      </c>
      <c r="H45" s="121"/>
      <c r="I45" s="121"/>
      <c r="J45" s="3365" t="s">
        <v>1323</v>
      </c>
      <c r="K45" s="3365"/>
      <c r="L45" s="3365"/>
      <c r="M45" s="3365"/>
      <c r="N45" s="3365"/>
      <c r="O45" s="3365"/>
    </row>
    <row r="46" spans="1:15" ht="14.25" customHeight="1">
      <c r="A46" s="3284" t="s">
        <v>1324</v>
      </c>
      <c r="B46" s="3285"/>
      <c r="C46" s="3285"/>
      <c r="D46" s="3285"/>
      <c r="E46" s="3285"/>
      <c r="F46" s="3285"/>
      <c r="G46" s="3286"/>
      <c r="H46" s="1668"/>
      <c r="I46" s="151"/>
      <c r="J46" s="2309">
        <v>1</v>
      </c>
      <c r="K46" s="3346" t="s">
        <v>1325</v>
      </c>
      <c r="L46" s="3346"/>
      <c r="M46" s="3366"/>
      <c r="N46" s="3366"/>
      <c r="O46" s="3366"/>
    </row>
    <row r="47" spans="1:15" ht="12" customHeight="1">
      <c r="A47" s="152" t="s">
        <v>1326</v>
      </c>
      <c r="B47" s="153"/>
      <c r="C47" s="154"/>
      <c r="D47" s="1024" t="s">
        <v>1327</v>
      </c>
      <c r="E47" s="294" t="s">
        <v>1328</v>
      </c>
      <c r="F47" s="155" t="s">
        <v>1329</v>
      </c>
      <c r="G47" s="2332" t="s">
        <v>1330</v>
      </c>
      <c r="H47" s="2333"/>
      <c r="I47" s="151"/>
      <c r="J47" s="2309">
        <v>2</v>
      </c>
      <c r="K47" s="3346" t="s">
        <v>1331</v>
      </c>
      <c r="L47" s="3346"/>
      <c r="M47" s="3367">
        <f>'数据-取费表'!B2</f>
        <v>45719</v>
      </c>
      <c r="N47" s="3367"/>
      <c r="O47" s="3367"/>
    </row>
    <row r="48" spans="1:15" ht="25.5">
      <c r="A48" s="3315" t="s">
        <v>1332</v>
      </c>
      <c r="B48" s="3298"/>
      <c r="C48" s="3298"/>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1333</v>
      </c>
      <c r="H48" s="2336"/>
      <c r="I48" s="1668"/>
      <c r="J48" s="2309">
        <v>3</v>
      </c>
      <c r="K48" s="3346" t="s">
        <v>1334</v>
      </c>
      <c r="L48" s="3346"/>
      <c r="M48" s="3368">
        <f ca="1">H101</f>
        <v>5593</v>
      </c>
      <c r="N48" s="3368"/>
      <c r="O48" s="3368"/>
    </row>
    <row r="49" spans="1:35" ht="25.5" customHeight="1">
      <c r="A49" s="2152" t="s">
        <v>1335</v>
      </c>
      <c r="B49" s="3282" t="s">
        <v>1336</v>
      </c>
      <c r="C49" s="3282"/>
      <c r="D49" s="1478">
        <v>0</v>
      </c>
      <c r="E49" s="316" t="s">
        <v>1337</v>
      </c>
      <c r="F49" s="2232" t="s">
        <v>28</v>
      </c>
      <c r="G49" s="3352"/>
      <c r="H49" s="2134" t="s">
        <v>2124</v>
      </c>
      <c r="I49" s="2135"/>
      <c r="J49" s="2309">
        <v>4</v>
      </c>
      <c r="K49" s="3346" t="str">
        <f>IF(项目基本情况!E8="房地产抵押价值","房地产抵押价值","抵押担保权已注销时的房地产抵押价值")</f>
        <v>房地产抵押价值</v>
      </c>
      <c r="L49" s="3346"/>
      <c r="M49" s="3368">
        <f ca="1">IF(项目基本情况!E8="房地产抵押价值",H107,H109)</f>
        <v>5593</v>
      </c>
      <c r="N49" s="3368"/>
      <c r="O49" s="3368"/>
    </row>
    <row r="50" spans="1:35" ht="25.5" customHeight="1">
      <c r="A50" s="2337"/>
      <c r="B50" s="3282" t="s">
        <v>1338</v>
      </c>
      <c r="C50" s="3282"/>
      <c r="D50" s="2189"/>
      <c r="E50" s="323"/>
      <c r="F50" s="2232"/>
      <c r="G50" s="3353"/>
      <c r="H50" s="2136" t="s">
        <v>2125</v>
      </c>
      <c r="I50" s="2135"/>
      <c r="J50" s="3365" t="s">
        <v>1339</v>
      </c>
      <c r="K50" s="3365"/>
      <c r="L50" s="3365"/>
      <c r="M50" s="3365"/>
      <c r="N50" s="3365"/>
      <c r="O50" s="3365"/>
    </row>
    <row r="51" spans="1:35" ht="20.45" customHeight="1">
      <c r="A51" s="2338"/>
      <c r="B51" s="3282" t="s">
        <v>1340</v>
      </c>
      <c r="C51" s="3282"/>
      <c r="D51" s="1024"/>
      <c r="E51" s="319"/>
      <c r="F51" s="2232"/>
      <c r="G51" s="3354"/>
      <c r="H51" s="2136" t="s">
        <v>2126</v>
      </c>
      <c r="I51" s="2135"/>
      <c r="J51" s="2310" t="s">
        <v>1341</v>
      </c>
      <c r="K51" s="3346" t="s">
        <v>1342</v>
      </c>
      <c r="L51" s="3346"/>
      <c r="M51" s="2310" t="s">
        <v>1343</v>
      </c>
      <c r="N51" s="2310" t="s">
        <v>1344</v>
      </c>
      <c r="O51" s="2310" t="s">
        <v>1345</v>
      </c>
    </row>
    <row r="52" spans="1:35" ht="24" customHeight="1">
      <c r="A52" s="2153" t="s">
        <v>1346</v>
      </c>
      <c r="B52" s="3282" t="s">
        <v>1347</v>
      </c>
      <c r="C52" s="3282"/>
      <c r="D52" s="1024">
        <f ca="1">ROUND(D45*'数据-取费表'!B41/(1+'数据-取费表'!C42),0)</f>
        <v>293</v>
      </c>
      <c r="E52" s="1256" t="s">
        <v>1348</v>
      </c>
      <c r="F52" s="2339">
        <f>'数据-取费表'!B41</f>
        <v>5.5000000000000007E-2</v>
      </c>
      <c r="G52" s="2340"/>
      <c r="H52" s="2330"/>
      <c r="I52" s="1669"/>
      <c r="J52" s="2309">
        <v>1</v>
      </c>
      <c r="K52" s="3347" t="s">
        <v>1349</v>
      </c>
      <c r="L52" s="3347"/>
      <c r="M52" s="2311" t="b">
        <f>D48</f>
        <v>0</v>
      </c>
      <c r="N52" s="2309" t="str">
        <f>E48</f>
        <v>销售额×税（费）率</v>
      </c>
      <c r="O52" s="2312">
        <f>F48</f>
        <v>5.5000000000000007E-2</v>
      </c>
    </row>
    <row r="53" spans="1:35" ht="12" customHeight="1">
      <c r="A53" s="2153" t="s">
        <v>1350</v>
      </c>
      <c r="B53" s="3308" t="s">
        <v>2281</v>
      </c>
      <c r="C53" s="3309"/>
      <c r="D53" s="1024">
        <f ca="1">ROUND(D45*'数据-取费表'!B41/(1+'数据-取费表'!C42),0)</f>
        <v>293</v>
      </c>
      <c r="E53" s="1256" t="s">
        <v>1348</v>
      </c>
      <c r="F53" s="2339">
        <f>'数据-取费表'!B41</f>
        <v>5.5000000000000007E-2</v>
      </c>
      <c r="G53" s="2340"/>
      <c r="H53" s="2330"/>
      <c r="I53" s="1669"/>
      <c r="J53" s="2309">
        <v>2</v>
      </c>
      <c r="K53" s="3347" t="s">
        <v>1351</v>
      </c>
      <c r="L53" s="3347"/>
      <c r="M53" s="2311">
        <f t="shared" ref="M53:O54" ca="1" si="0">D55</f>
        <v>3</v>
      </c>
      <c r="N53" s="2309" t="str">
        <f t="shared" si="0"/>
        <v>销售额×税（费）率</v>
      </c>
      <c r="O53" s="2312" t="str">
        <f t="shared" si="0"/>
        <v>免征</v>
      </c>
    </row>
    <row r="54" spans="1:35" ht="12" customHeight="1">
      <c r="A54" s="2153" t="s">
        <v>1352</v>
      </c>
      <c r="B54" s="3308" t="s">
        <v>2282</v>
      </c>
      <c r="C54" s="3309"/>
      <c r="D54" s="1024">
        <f ca="1">C68</f>
        <v>293</v>
      </c>
      <c r="E54" s="319" t="s">
        <v>1353</v>
      </c>
      <c r="F54" s="2339">
        <f>'数据-取费表'!B41</f>
        <v>5.5000000000000007E-2</v>
      </c>
      <c r="G54" s="2340"/>
      <c r="H54" s="2341"/>
      <c r="I54" s="1669"/>
      <c r="J54" s="2309">
        <v>3</v>
      </c>
      <c r="K54" s="3347" t="s">
        <v>1354</v>
      </c>
      <c r="L54" s="3347"/>
      <c r="M54" s="2311">
        <f t="shared" ca="1" si="0"/>
        <v>3171</v>
      </c>
      <c r="N54" s="2309" t="str">
        <f t="shared" si="0"/>
        <v>增值额×税（费）率</v>
      </c>
      <c r="O54" s="2313" t="str">
        <f t="shared" si="0"/>
        <v>免征</v>
      </c>
    </row>
    <row r="55" spans="1:35" ht="24" customHeight="1">
      <c r="A55" s="3297" t="s">
        <v>1355</v>
      </c>
      <c r="B55" s="3298"/>
      <c r="C55" s="3298"/>
      <c r="D55" s="12">
        <f ca="1">IF(H55="个人住宅",0,ROUND(D45*I55,0))</f>
        <v>3</v>
      </c>
      <c r="E55" s="1256" t="s">
        <v>1356</v>
      </c>
      <c r="F55" s="2339" t="str">
        <f>IF(H55="正常",I55,"免征")</f>
        <v>免征</v>
      </c>
      <c r="G55" s="2340"/>
      <c r="H55" s="2336"/>
      <c r="I55" s="157">
        <f>'数据-取费表'!B49</f>
        <v>5.0000000000000001E-4</v>
      </c>
      <c r="J55" s="2309">
        <f>IF(H59="非个人房产","",4)</f>
        <v>4</v>
      </c>
      <c r="K55" s="3347" t="str">
        <f>IF(H59="非个人房产","——","个人所得税")</f>
        <v>个人所得税</v>
      </c>
      <c r="L55" s="3347"/>
      <c r="M55" s="2314">
        <f ca="1">D59</f>
        <v>53</v>
      </c>
      <c r="N55" s="1883" t="str">
        <f>E59</f>
        <v>差额计税</v>
      </c>
      <c r="O55" s="2315">
        <f>F59</f>
        <v>0.01</v>
      </c>
    </row>
    <row r="56" spans="1:35" ht="24.75">
      <c r="A56" s="3297" t="s">
        <v>1357</v>
      </c>
      <c r="B56" s="3298"/>
      <c r="C56" s="3298"/>
      <c r="D56" s="12">
        <f ca="1">IF(H56="个人住宅",D57,D58)</f>
        <v>3171</v>
      </c>
      <c r="E56" s="1256" t="s">
        <v>1358</v>
      </c>
      <c r="F56" s="2339" t="str">
        <f>IF(H56="正常",F58,"免征")</f>
        <v>免征</v>
      </c>
      <c r="G56" s="2342" t="s">
        <v>1359</v>
      </c>
      <c r="H56" s="2343"/>
      <c r="I56" s="1670"/>
      <c r="J56" s="2309" t="str">
        <f>IF(项目基本情况!K6="上海银行",IF(J55="",4,J55+1),"")</f>
        <v/>
      </c>
      <c r="K56" s="3370" t="str">
        <f>IF(项目基本情况!K6="上海银行","其他处置费用","")</f>
        <v/>
      </c>
      <c r="L56" s="3371"/>
      <c r="M56" s="2311" t="str">
        <f>IF(项目基本情况!K6="上海银行",M69,"")</f>
        <v/>
      </c>
      <c r="N56" s="3370" t="str">
        <f>IF(项目基本情况!K6="上海银行","包含处置中涉及的律师、诉讼、拍卖、评估等费用","")</f>
        <v/>
      </c>
      <c r="O56" s="3373"/>
    </row>
    <row r="57" spans="1:35" ht="12.75">
      <c r="A57" s="2153" t="s">
        <v>1335</v>
      </c>
      <c r="B57" s="3308" t="s">
        <v>1360</v>
      </c>
      <c r="C57" s="3309"/>
      <c r="D57" s="1478">
        <v>0</v>
      </c>
      <c r="E57" s="316" t="s">
        <v>1337</v>
      </c>
      <c r="F57" s="294"/>
      <c r="G57" s="2340"/>
      <c r="H57" s="2344"/>
      <c r="I57" s="1670"/>
      <c r="J57" s="3347">
        <f>IF(AND(J55="",J56=""),4,IF(项目基本情况!K6="上海银行",结果表!J56+1,结果表!J55+1))</f>
        <v>5</v>
      </c>
      <c r="K57" s="3347" t="s">
        <v>1361</v>
      </c>
      <c r="L57" s="2316" t="s">
        <v>1362</v>
      </c>
      <c r="M57" s="2317"/>
      <c r="N57" s="2318">
        <f ca="1">SUMIF(M52:M56,"&lt;9e307")</f>
        <v>3227</v>
      </c>
      <c r="O57" s="2319"/>
      <c r="P57" s="2463">
        <f ca="1">N57/M49</f>
        <v>0.57697121401752194</v>
      </c>
    </row>
    <row r="58" spans="1:35" ht="24.75">
      <c r="A58" s="2153" t="s">
        <v>1346</v>
      </c>
      <c r="B58" s="3308" t="s">
        <v>1363</v>
      </c>
      <c r="C58" s="3282"/>
      <c r="D58" s="12">
        <f ca="1">IF(H58="转让取得",C81,C97)</f>
        <v>3171</v>
      </c>
      <c r="E58" s="1256" t="s">
        <v>1358</v>
      </c>
      <c r="F58" s="294" t="s">
        <v>28</v>
      </c>
      <c r="G58" s="2340"/>
      <c r="H58" s="2343"/>
      <c r="I58" s="1670"/>
      <c r="J58" s="3347"/>
      <c r="K58" s="3347"/>
      <c r="L58" s="2316" t="s">
        <v>1364</v>
      </c>
      <c r="M58" s="2320"/>
      <c r="N58" s="2321" t="str">
        <f ca="1">NUMBERSTRING(INT(N57*10000),2)&amp;"元整"</f>
        <v>叁仟贰佰贰拾柒万元整</v>
      </c>
      <c r="O58" s="2322"/>
    </row>
    <row r="59" spans="1:35" ht="24.75" thickBot="1">
      <c r="A59" s="3350" t="s">
        <v>1365</v>
      </c>
      <c r="B59" s="3351"/>
      <c r="C59" s="3351"/>
      <c r="D59" s="2345">
        <f ca="1">IF(H59="非个人房产","——",IF(H59="个人住宅（满五唯一有凭证）",0,IF(H59="个人其他（无凭证）",ROUND(D45*F59,0),ROUND(C67*F59,0))))</f>
        <v>53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1359</v>
      </c>
      <c r="H59" s="2138"/>
      <c r="I59" s="2137" t="s">
        <v>2127</v>
      </c>
      <c r="J59" s="3348">
        <f>J57+1</f>
        <v>6</v>
      </c>
      <c r="K59" s="3347" t="s">
        <v>1366</v>
      </c>
      <c r="L59" s="2309" t="s">
        <v>1362</v>
      </c>
      <c r="M59" s="2323"/>
      <c r="N59" s="2324">
        <f ca="1">M49-N57</f>
        <v>2366</v>
      </c>
      <c r="O59" s="2325"/>
    </row>
    <row r="60" spans="1:35" ht="12" customHeight="1">
      <c r="A60" s="1671"/>
      <c r="B60" s="646"/>
      <c r="C60" s="646"/>
      <c r="D60" s="646"/>
      <c r="E60" s="1466"/>
      <c r="F60" s="1670"/>
      <c r="G60" s="1670"/>
      <c r="H60" s="151"/>
      <c r="I60" s="121"/>
      <c r="J60" s="3349"/>
      <c r="K60" s="3347"/>
      <c r="L60" s="2316" t="s">
        <v>1364</v>
      </c>
      <c r="M60" s="2320"/>
      <c r="N60" s="2321" t="str">
        <f ca="1">NUMBERSTRING(INT(N59*10000),2)&amp;"元整"</f>
        <v>贰仟叁佰陆拾陆万元整</v>
      </c>
      <c r="O60" s="2322"/>
    </row>
    <row r="61" spans="1:35" ht="13.5" thickBot="1">
      <c r="A61" s="3295" t="s">
        <v>1367</v>
      </c>
      <c r="B61" s="3295"/>
      <c r="C61" s="3295"/>
      <c r="D61" s="3295"/>
      <c r="E61" s="3295"/>
      <c r="F61" s="1670"/>
      <c r="G61" s="1670"/>
      <c r="H61" s="151"/>
      <c r="I61" s="121"/>
      <c r="J61" s="2309">
        <f>J59+1</f>
        <v>7</v>
      </c>
      <c r="K61" s="3347" t="s">
        <v>1368</v>
      </c>
      <c r="L61" s="3347"/>
      <c r="M61" s="2326"/>
      <c r="N61" s="2327">
        <f ca="1">ROUND(N59*10000/'数据-汇总表'!E3,0)</f>
        <v>2265</v>
      </c>
      <c r="O61" s="2328"/>
    </row>
    <row r="62" spans="1:35" ht="12.75">
      <c r="A62" s="3313" t="s">
        <v>1369</v>
      </c>
      <c r="B62" s="3314"/>
      <c r="C62" s="1865"/>
      <c r="D62" s="1865" t="s">
        <v>1370</v>
      </c>
      <c r="E62" s="158" t="s">
        <v>1371</v>
      </c>
      <c r="F62" s="1670"/>
      <c r="G62" s="1670"/>
      <c r="H62" s="151"/>
      <c r="I62" s="121"/>
    </row>
    <row r="63" spans="1:35" ht="12.75">
      <c r="A63" s="165" t="s">
        <v>330</v>
      </c>
      <c r="B63" s="159" t="s">
        <v>1372</v>
      </c>
      <c r="C63" s="2349">
        <f ca="1">ROUND((C64+C65)/(1+'数据-取费表'!C42),0)</f>
        <v>5327</v>
      </c>
      <c r="D63" s="159"/>
      <c r="E63" s="160"/>
      <c r="F63" s="1670"/>
      <c r="G63" s="1670"/>
      <c r="H63" s="151"/>
      <c r="I63" s="121"/>
      <c r="J63" s="3372" t="s">
        <v>1373</v>
      </c>
      <c r="K63" s="1245" t="s">
        <v>1374</v>
      </c>
      <c r="L63" s="1245">
        <f ca="1">IF(M49&gt;10000,M49*0.5%,IF(AND(M49&gt;1000,M49&lt;=10000),M49*1%,IF(AND(M49&gt;100,M49&lt;=1000),M49*3%,IF(AND(M49&gt;10,M49&lt;=100),M49*5%,M49*8%))))</f>
        <v>55.93</v>
      </c>
      <c r="M63" s="294">
        <f ca="1">ROUND(L63,1)</f>
        <v>55.9</v>
      </c>
      <c r="N63" s="2329"/>
      <c r="Z63" s="1623"/>
      <c r="AI63" s="1561"/>
    </row>
    <row r="64" spans="1:35" ht="14.25" customHeight="1">
      <c r="A64" s="161" t="s">
        <v>325</v>
      </c>
      <c r="B64" s="162" t="s">
        <v>1375</v>
      </c>
      <c r="C64" s="2350">
        <f ca="1">D45</f>
        <v>5593</v>
      </c>
      <c r="D64" s="162" t="s">
        <v>26</v>
      </c>
      <c r="E64" s="164"/>
      <c r="F64" s="1670"/>
      <c r="G64" s="1670"/>
      <c r="H64" s="151"/>
      <c r="I64" s="121"/>
      <c r="J64" s="3372"/>
      <c r="K64" s="1245" t="s">
        <v>1376</v>
      </c>
      <c r="L64" s="1245">
        <f ca="1">IF(M49&gt;2000,M49*0.5%,IF(AND(M49&gt;1000,M49&lt;=2000),M49*0.6%,IF(AND(M49&gt;500,M49&lt;=1000),M49*0.7%,IF(AND(M49&gt;200,M49&lt;=500),M49*0.8%,IF(AND(M49&gt;100,M49&lt;=200),M49*0.9%,IF(AND(M49&gt;50,M49&lt;=100),M49*1%,IF(AND(M49&gt;20,M49&lt;=50),M49*1.5%,IF(AND(M49&gt;10,M49&lt;=20),M49*2%,IF(AND(M49&gt;1,M49&lt;=10),M49*2.5%)))))))))</f>
        <v>27.965</v>
      </c>
      <c r="M64" s="294">
        <f t="shared" ref="M64:M65" ca="1" si="1">ROUND(L64,1)</f>
        <v>28</v>
      </c>
      <c r="N64" s="2330" t="s">
        <v>1377</v>
      </c>
      <c r="Z64" s="1623"/>
      <c r="AI64" s="1561"/>
    </row>
    <row r="65" spans="1:35" ht="14.25" customHeight="1">
      <c r="A65" s="161" t="s">
        <v>326</v>
      </c>
      <c r="B65" s="162" t="s">
        <v>1378</v>
      </c>
      <c r="C65" s="2351"/>
      <c r="D65" s="162"/>
      <c r="E65" s="164"/>
      <c r="F65" s="1670"/>
      <c r="G65" s="1670"/>
      <c r="H65" s="151"/>
      <c r="I65" s="121"/>
      <c r="J65" s="3372"/>
      <c r="K65" s="1245" t="s">
        <v>1379</v>
      </c>
      <c r="L65" s="1245">
        <f ca="1">IF(M49&gt;1000,M49*0.1%,IF(AND(M49&gt;500,M49&lt;=1000),M49*0.5%,IF(AND(M49&gt;50,M49&lt;=500),M49*1%,IF(AND(M49&gt;1,M49&lt;=50),M49*1.5%))))</f>
        <v>5.593</v>
      </c>
      <c r="M65" s="294">
        <f t="shared" ca="1" si="1"/>
        <v>5.6</v>
      </c>
      <c r="N65" s="2330" t="s">
        <v>1377</v>
      </c>
      <c r="Z65" s="1623"/>
      <c r="AI65" s="1561"/>
    </row>
    <row r="66" spans="1:35" ht="14.25" customHeight="1">
      <c r="A66" s="165" t="s">
        <v>327</v>
      </c>
      <c r="B66" s="166" t="s">
        <v>1380</v>
      </c>
      <c r="C66" s="2352"/>
      <c r="D66" s="166" t="s">
        <v>26</v>
      </c>
      <c r="E66" s="1251" t="s">
        <v>665</v>
      </c>
      <c r="F66" s="1670"/>
      <c r="G66" s="1670"/>
      <c r="H66" s="151"/>
      <c r="I66" s="121"/>
      <c r="J66" s="3372"/>
      <c r="K66" s="1245" t="s">
        <v>1381</v>
      </c>
      <c r="L66" s="1245">
        <f ca="1">M49*0.5%</f>
        <v>27.965</v>
      </c>
      <c r="M66" s="294">
        <f ca="1">IF(L66&gt;0.5,0.5,ROUND(L66,0))</f>
        <v>0.5</v>
      </c>
      <c r="N66" s="2330" t="s">
        <v>1382</v>
      </c>
      <c r="Z66" s="1623"/>
      <c r="AI66" s="1561"/>
    </row>
    <row r="67" spans="1:35" ht="14.25" customHeight="1">
      <c r="A67" s="165" t="s">
        <v>328</v>
      </c>
      <c r="B67" s="166" t="s">
        <v>1383</v>
      </c>
      <c r="C67" s="2353">
        <f ca="1">C63-C66</f>
        <v>5327</v>
      </c>
      <c r="D67" s="162" t="s">
        <v>26</v>
      </c>
      <c r="E67" s="164"/>
      <c r="F67" s="1670"/>
      <c r="G67" s="1670"/>
      <c r="H67" s="151"/>
      <c r="I67" s="121"/>
      <c r="J67" s="3372"/>
      <c r="K67" s="1245" t="s">
        <v>1384</v>
      </c>
      <c r="L67" s="1245">
        <f ca="1">IF(M49&gt;=10000,(8.25+(M49-10000)*0.01%),IF(AND(M49&gt;=8000,M49&lt;10000),(7.85+(M49-8000)*0.02%),IF(AND(M49&gt;=5000,M49&lt;8000),(6.65+(M49-5000)*0.04%),IF(AND(M49&gt;=2000,M49&lt;5000),(4.25+(PM49-2000)*0.08%),IF(AND(M49&gt;=1000,M49&lt;2000),(2.75+(M49-1000)*0.15%),IF(AND(M49&gt;=100,M49&lt;1000),(0.5+(M49-100)*0.25%),IF(AND(M49&gt;0,M49&lt;100),M49*0.5%)))))))</f>
        <v>6.8872</v>
      </c>
      <c r="M67" s="294">
        <f ca="1">ROUND(L67*0.9,1)</f>
        <v>6.2</v>
      </c>
      <c r="N67" s="2329"/>
      <c r="Z67" s="1623"/>
      <c r="AI67" s="1561"/>
    </row>
    <row r="68" spans="1:35" ht="14.25" customHeight="1" thickBot="1">
      <c r="A68" s="168" t="s">
        <v>329</v>
      </c>
      <c r="B68" s="169" t="s">
        <v>1385</v>
      </c>
      <c r="C68" s="2354">
        <f ca="1">IF(C67&lt;=0,0,ROUND(C67*D68,0))</f>
        <v>293</v>
      </c>
      <c r="D68" s="2355">
        <f>'数据-取费表'!B41</f>
        <v>5.5000000000000007E-2</v>
      </c>
      <c r="E68" s="170"/>
      <c r="F68" s="1670"/>
      <c r="G68" s="1670"/>
      <c r="H68" s="151"/>
      <c r="I68" s="121"/>
      <c r="J68" s="3372"/>
      <c r="K68" s="1245" t="s">
        <v>1386</v>
      </c>
      <c r="L68" s="1245">
        <f ca="1">IF(M49&gt;10000,M49*0.5%,IF(AND(M49&gt;5000,M49&lt;=10000),M49*1%,IF(AND(M49&gt;1000,M49&lt;=5000),M49*2%,IF(AND(M49&gt;200,M49&lt;=1000),M49*3%,M49*5%))))</f>
        <v>55.93</v>
      </c>
      <c r="M68" s="294">
        <f ca="1">ROUND(L68,1)</f>
        <v>55.9</v>
      </c>
      <c r="N68" s="2329"/>
      <c r="Z68" s="1623"/>
      <c r="AI68" s="1561"/>
    </row>
    <row r="69" spans="1:35" ht="16.5" customHeight="1">
      <c r="A69" s="1672"/>
      <c r="B69" s="1673"/>
      <c r="C69" s="1674"/>
      <c r="D69" s="1675"/>
      <c r="E69" s="1676"/>
      <c r="F69" s="1466"/>
      <c r="G69" s="1466"/>
      <c r="H69" s="1467"/>
      <c r="I69" s="646"/>
      <c r="J69" s="3372"/>
      <c r="K69" s="1245" t="s">
        <v>1387</v>
      </c>
      <c r="L69" s="1245"/>
      <c r="M69" s="294">
        <f ca="1">ROUND(SUM(M63:M68),0)</f>
        <v>152</v>
      </c>
      <c r="N69" s="2331">
        <f ca="1">M69/M49</f>
        <v>2.7176828178079742E-2</v>
      </c>
      <c r="Z69" s="1623"/>
      <c r="AI69" s="1561"/>
    </row>
    <row r="70" spans="1:35" s="642" customFormat="1" ht="15" thickBot="1">
      <c r="A70" s="3334" t="s">
        <v>1388</v>
      </c>
      <c r="B70" s="3335"/>
      <c r="C70" s="3335"/>
      <c r="D70" s="3335"/>
      <c r="E70" s="3335"/>
      <c r="F70" s="3335"/>
      <c r="G70" s="3335"/>
      <c r="H70" s="333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1369</v>
      </c>
      <c r="B71" s="3314"/>
      <c r="C71" s="1865"/>
      <c r="D71" s="1865" t="s">
        <v>1370</v>
      </c>
      <c r="E71" s="171" t="s">
        <v>1371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1389</v>
      </c>
      <c r="C72" s="2353">
        <f ca="1">ROUND(D45/(1+'数据-取费表'!C42),0)</f>
        <v>5327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1390</v>
      </c>
      <c r="C73" s="2353">
        <f ca="1">C74+C78</f>
        <v>27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1391</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1392</v>
      </c>
      <c r="C75" s="2356"/>
      <c r="D75" s="162" t="s">
        <v>26</v>
      </c>
      <c r="E75" s="176" t="s">
        <v>1393</v>
      </c>
      <c r="F75" s="2357"/>
      <c r="G75" s="176" t="s">
        <v>1394</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1395</v>
      </c>
      <c r="C76" s="162">
        <f>IF(F75="购房发票",ROUND(C75*H75*D76,0),0)</f>
        <v>0</v>
      </c>
      <c r="D76" s="2359">
        <v>0.05</v>
      </c>
      <c r="E76" s="3308" t="s">
        <v>1396</v>
      </c>
      <c r="F76" s="3282"/>
      <c r="G76" s="3282"/>
      <c r="H76" s="333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1397</v>
      </c>
      <c r="C77" s="162">
        <f>ROUND(IF(G77="个人住宅",0,IF(G77="2016年5月1日前购买",C75*D77,C75*D77/(1+'数据-取费表'!C42))),0)</f>
        <v>0</v>
      </c>
      <c r="D77" s="2360">
        <f>'数据-取费表'!B48+'数据-取费表'!B49</f>
        <v>3.0499999999999999E-2</v>
      </c>
      <c r="E77" s="12" t="s">
        <v>1398</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1399</v>
      </c>
      <c r="C78" s="2361">
        <f ca="1">ROUND(D45*D78/(1+'数据-取费表'!C42),0)</f>
        <v>27</v>
      </c>
      <c r="D78" s="2362">
        <f>'数据-取费表'!B43</f>
        <v>5.000000000000001E-3</v>
      </c>
      <c r="E78" s="3292" t="s">
        <v>1400</v>
      </c>
      <c r="F78" s="3293"/>
      <c r="G78" s="3293"/>
      <c r="H78" s="330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1401</v>
      </c>
      <c r="C79" s="2353">
        <f ca="1">C72-C73</f>
        <v>5300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1402</v>
      </c>
      <c r="C80" s="2363">
        <f ca="1">IF(C79&lt;=0,0,C79/C73)</f>
        <v>196.2962962962963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1403</v>
      </c>
      <c r="C81" s="2364">
        <f ca="1">ROUND(IF(C79&lt;=0,0,IF(C80&gt;=200%,C79*60%-C73*35%,IF(C80&gt;=100%,C79*50%-C73*15%,IF(C80&gt;=50%,C79*40%-C73*5%,IF(C80&lt;50%,C79*30%,0))))),0)</f>
        <v>3171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4" t="s">
        <v>1404</v>
      </c>
      <c r="B83" s="3335"/>
      <c r="C83" s="3335"/>
      <c r="D83" s="3335"/>
      <c r="E83" s="3335"/>
      <c r="F83" s="3335"/>
      <c r="G83" s="3335"/>
      <c r="H83" s="333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1369</v>
      </c>
      <c r="B84" s="3314"/>
      <c r="C84" s="1865"/>
      <c r="D84" s="1865" t="s">
        <v>1370</v>
      </c>
      <c r="E84" s="171" t="s">
        <v>1371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1389</v>
      </c>
      <c r="C85" s="2353">
        <f ca="1">ROUND(D45/(1+'数据-取费表'!C42),0)</f>
        <v>5327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1390</v>
      </c>
      <c r="C86" s="2353">
        <f ca="1">IF(H88="仅含出让金",C87+C90+C91+C92+C93+C94,C87+C91+C92+C93+C94)</f>
        <v>27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1405</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1406</v>
      </c>
      <c r="C88" s="2367"/>
      <c r="D88" s="2362"/>
      <c r="E88" s="185" t="s">
        <v>1407</v>
      </c>
      <c r="F88" s="2148"/>
      <c r="G88" s="186" t="s">
        <v>1408</v>
      </c>
      <c r="H88" s="1684"/>
      <c r="I88" s="1681"/>
      <c r="J88" s="2307"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1397</v>
      </c>
      <c r="C89" s="2361">
        <f>ROUND(C88*D89,0)</f>
        <v>0</v>
      </c>
      <c r="D89" s="2362">
        <f>'数据-取费表'!B48+'数据-取费表'!B49</f>
        <v>3.0499999999999999E-2</v>
      </c>
      <c r="E89" s="185" t="s">
        <v>1409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1410</v>
      </c>
      <c r="C90" s="2367"/>
      <c r="D90" s="2362"/>
      <c r="E90" s="185" t="str">
        <f>IF(H88="-","土地取得成本中已包含该笔费用"," ")</f>
        <v xml:space="preserve"> </v>
      </c>
      <c r="F90" s="2148"/>
      <c r="G90" s="3374" t="s">
        <v>2119</v>
      </c>
      <c r="H90" s="3375"/>
      <c r="I90" s="1681"/>
      <c r="J90" s="2307"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1411</v>
      </c>
      <c r="B91" s="162" t="s">
        <v>1412</v>
      </c>
      <c r="C91" s="2361">
        <f>IF(H91="——",成本法!C33,I91)</f>
        <v>0</v>
      </c>
      <c r="D91" s="2362"/>
      <c r="E91" s="3292" t="s">
        <v>1413</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1414</v>
      </c>
      <c r="B92" s="162" t="s">
        <v>1415</v>
      </c>
      <c r="C92" s="2361">
        <f>ROUND((C87+C90+C91)*D92,0)</f>
        <v>0</v>
      </c>
      <c r="D92" s="2368"/>
      <c r="E92" s="3292" t="s">
        <v>1416</v>
      </c>
      <c r="F92" s="3293"/>
      <c r="G92" s="3293"/>
      <c r="H92" s="3302"/>
      <c r="I92" s="1681"/>
      <c r="J92" s="2308"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1417</v>
      </c>
      <c r="B93" s="162" t="s">
        <v>1399</v>
      </c>
      <c r="C93" s="2361">
        <f ca="1">ROUND(D45*D93/(1+'数据-取费表'!C42),0)</f>
        <v>27</v>
      </c>
      <c r="D93" s="2362">
        <f>'数据-取费表'!B43</f>
        <v>5.000000000000001E-3</v>
      </c>
      <c r="E93" s="3292" t="s">
        <v>1400</v>
      </c>
      <c r="F93" s="3293"/>
      <c r="G93" s="3293"/>
      <c r="H93" s="330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1418</v>
      </c>
      <c r="B94" s="162" t="s">
        <v>1419</v>
      </c>
      <c r="C94" s="2367">
        <f>ROUND((C87+C90+C91)*D94,0)</f>
        <v>0</v>
      </c>
      <c r="D94" s="2362">
        <v>0.2</v>
      </c>
      <c r="E94" s="3303" t="s">
        <v>1420</v>
      </c>
      <c r="F94" s="3304"/>
      <c r="G94" s="3304"/>
      <c r="H94" s="330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1401</v>
      </c>
      <c r="C95" s="2353">
        <f ca="1">ROUND(C85-C86,0)</f>
        <v>5300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1402</v>
      </c>
      <c r="C96" s="2363">
        <f ca="1">IF(C95&lt;=0,0,C95/C86)</f>
        <v>196.2962962962963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1403</v>
      </c>
      <c r="C97" s="2364">
        <f ca="1">ROUND(IF(C95&lt;=0,0,IF(C96&gt;=200%,C95*60%-C86*35%,IF(C96&gt;=100%,C95*50%-C86*15%,IF(C96&gt;=50%,C95*40%-C86*5%,IF(C96&lt;50%,C95*30%,0))))),0)</f>
        <v>3171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1421</v>
      </c>
      <c r="B99" s="646"/>
      <c r="C99" s="646"/>
      <c r="D99" s="646"/>
      <c r="E99" s="1466"/>
      <c r="F99" s="1466"/>
      <c r="G99" s="1466"/>
      <c r="H99" s="1467"/>
      <c r="I99" s="121"/>
    </row>
    <row r="100" spans="1:35" ht="18.75" customHeight="1">
      <c r="A100" s="3276" t="s">
        <v>1422</v>
      </c>
      <c r="B100" s="3277"/>
      <c r="C100" s="3277"/>
      <c r="D100" s="3294"/>
      <c r="E100" s="3277" t="s">
        <v>1423</v>
      </c>
      <c r="F100" s="3277"/>
      <c r="G100" s="3277"/>
      <c r="H100" s="3294"/>
      <c r="I100" s="121"/>
    </row>
    <row r="101" spans="1:35" ht="18.75" customHeight="1">
      <c r="A101" s="3355" t="s">
        <v>1424</v>
      </c>
      <c r="B101" s="3356"/>
      <c r="C101" s="2370" t="str">
        <f>C4</f>
        <v>成本法</v>
      </c>
      <c r="D101" s="2371" t="str">
        <f>D4</f>
        <v>收益法</v>
      </c>
      <c r="E101" s="3369" t="s">
        <v>1425</v>
      </c>
      <c r="F101" s="3326"/>
      <c r="G101" s="1687" t="s">
        <v>1426</v>
      </c>
      <c r="H101" s="2380">
        <f ca="1">H118</f>
        <v>5593</v>
      </c>
      <c r="I101" s="121"/>
    </row>
    <row r="102" spans="1:35" ht="18.75" customHeight="1">
      <c r="A102" s="3328" t="s">
        <v>1427</v>
      </c>
      <c r="B102" s="2369" t="s">
        <v>1426</v>
      </c>
      <c r="C102" s="2370">
        <f ca="1">IF(D32="楼面单价",ROUND(C19,0),C19)</f>
        <v>5808</v>
      </c>
      <c r="D102" s="2371">
        <f ca="1">IF(D32="楼面单价",ROUND(D19,0),D19)</f>
        <v>5378</v>
      </c>
      <c r="E102" s="3369"/>
      <c r="F102" s="3326"/>
      <c r="G102" s="1687" t="s">
        <v>1428</v>
      </c>
      <c r="H102" s="2340">
        <f ca="1">I118</f>
        <v>5354</v>
      </c>
      <c r="I102" s="121"/>
    </row>
    <row r="103" spans="1:35" ht="42.75" customHeight="1">
      <c r="A103" s="3328"/>
      <c r="B103" s="2369" t="s">
        <v>1428</v>
      </c>
      <c r="C103" s="2372">
        <f ca="1">C20</f>
        <v>5560</v>
      </c>
      <c r="D103" s="2373">
        <f ca="1">D20</f>
        <v>5148</v>
      </c>
      <c r="E103" s="3363" t="s">
        <v>1429</v>
      </c>
      <c r="F103" s="3364"/>
      <c r="G103" s="1688" t="s">
        <v>1430</v>
      </c>
      <c r="H103" s="2380">
        <f>IF(D36="正常操作",H104+H105+H106,H105+H106)</f>
        <v>0</v>
      </c>
      <c r="I103" s="121"/>
    </row>
    <row r="104" spans="1:35" ht="18.75" customHeight="1">
      <c r="A104" s="3328" t="s">
        <v>1431</v>
      </c>
      <c r="B104" s="2374" t="s">
        <v>1426</v>
      </c>
      <c r="C104" s="2375">
        <f ca="1">H118</f>
        <v>5593</v>
      </c>
      <c r="D104" s="2376"/>
      <c r="E104" s="1555" t="s">
        <v>1432</v>
      </c>
      <c r="F104" s="1548"/>
      <c r="G104" s="1688" t="s">
        <v>1430</v>
      </c>
      <c r="H104" s="2381">
        <f>IF(D36="同一抵押权人同一抵押物续贷",C36&amp;"（续贷，未扣减，详见特别提示）",C36)</f>
        <v>0</v>
      </c>
      <c r="I104" s="121"/>
    </row>
    <row r="105" spans="1:35" ht="18.75" customHeight="1" thickBot="1">
      <c r="A105" s="3329"/>
      <c r="B105" s="2377" t="s">
        <v>1428</v>
      </c>
      <c r="C105" s="2378">
        <f ca="1">I118</f>
        <v>5354</v>
      </c>
      <c r="D105" s="2379"/>
      <c r="E105" s="1555" t="s">
        <v>1433</v>
      </c>
      <c r="F105" s="1548"/>
      <c r="G105" s="1688" t="s">
        <v>1430</v>
      </c>
      <c r="H105" s="2382">
        <f>C37</f>
        <v>0</v>
      </c>
      <c r="I105" s="121"/>
    </row>
    <row r="106" spans="1:35" ht="18.75" customHeight="1">
      <c r="A106" s="646" t="s">
        <v>1434</v>
      </c>
      <c r="B106" s="646"/>
      <c r="C106" s="646"/>
      <c r="D106" s="646"/>
      <c r="E106" s="1689" t="s">
        <v>1435</v>
      </c>
      <c r="F106" s="1548"/>
      <c r="G106" s="1688" t="s">
        <v>1430</v>
      </c>
      <c r="H106" s="2382">
        <f>C38</f>
        <v>0</v>
      </c>
      <c r="I106" s="121"/>
    </row>
    <row r="107" spans="1:35" ht="18.75" customHeight="1">
      <c r="A107" s="121"/>
      <c r="B107" s="121"/>
      <c r="C107" s="121"/>
      <c r="D107" s="121"/>
      <c r="E107" s="3325" t="str">
        <f>IF(项目基本情况!E8="已注销","——","3.房地产抵押价值")</f>
        <v>3.房地产抵押价值</v>
      </c>
      <c r="F107" s="3326"/>
      <c r="G107" s="1687" t="s">
        <v>1426</v>
      </c>
      <c r="H107" s="2380">
        <f ca="1">IF(E107="——","——",H101-H103)</f>
        <v>5593</v>
      </c>
      <c r="I107" s="121"/>
    </row>
    <row r="108" spans="1:35" ht="18.75" customHeight="1">
      <c r="A108" s="121"/>
      <c r="B108" s="121"/>
      <c r="C108" s="121"/>
      <c r="D108" s="121"/>
      <c r="E108" s="3325"/>
      <c r="F108" s="3326"/>
      <c r="G108" s="1687" t="s">
        <v>1428</v>
      </c>
      <c r="H108" s="2340">
        <f ca="1">IF(H107=H101,H102,ROUND(H107*10000/'数据-汇总表'!E3,0))</f>
        <v>5354</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326"/>
      <c r="G109" s="1687" t="s">
        <v>1426</v>
      </c>
      <c r="H109" s="2383" t="str">
        <f>IF(E109="——","——",H101-H105-H106)</f>
        <v>——</v>
      </c>
      <c r="I109" s="121"/>
    </row>
    <row r="110" spans="1:35" ht="18.75" customHeight="1">
      <c r="A110" s="121"/>
      <c r="B110" s="121"/>
      <c r="C110" s="121"/>
      <c r="D110" s="121"/>
      <c r="E110" s="3325"/>
      <c r="F110" s="3326"/>
      <c r="G110" s="1687" t="s">
        <v>1428</v>
      </c>
      <c r="H110" s="2340" t="str">
        <f>IF(H109="——","——",ROUND(H109*10000/'数据-汇总表'!E3,0))</f>
        <v>——</v>
      </c>
      <c r="I110" s="121"/>
    </row>
    <row r="111" spans="1:35" ht="18.75" customHeight="1">
      <c r="A111" s="121"/>
      <c r="B111" s="121"/>
      <c r="C111" s="121"/>
      <c r="D111" s="121"/>
      <c r="E111" s="3357" t="str">
        <f>IF(项目基本情况!E9="抵押净值",IF(OR(项目基本情况!E8="已注销",项目基本情况!E8="房地产抵押价值"),"4.抵押净值","5.抵押净值"),"——")</f>
        <v>——</v>
      </c>
      <c r="F111" s="3327"/>
      <c r="G111" s="1687" t="s">
        <v>1426</v>
      </c>
      <c r="H111" s="2380" t="str">
        <f>IF(E111="——","——",N59)</f>
        <v>——</v>
      </c>
      <c r="I111" s="121"/>
    </row>
    <row r="112" spans="1:35" ht="18.75" customHeight="1" thickBot="1">
      <c r="A112" s="121"/>
      <c r="B112" s="121"/>
      <c r="C112" s="121"/>
      <c r="D112" s="121"/>
      <c r="E112" s="3358"/>
      <c r="F112" s="3359"/>
      <c r="G112" s="1690" t="s">
        <v>1428</v>
      </c>
      <c r="H112" s="2384" t="str">
        <f>IF(E111="——","——",N61)</f>
        <v>——</v>
      </c>
      <c r="I112" s="121"/>
    </row>
    <row r="113" spans="1:27" ht="18.75" customHeight="1">
      <c r="A113" s="121"/>
      <c r="B113" s="121"/>
      <c r="C113" s="121"/>
      <c r="D113" s="121"/>
      <c r="E113" s="3330" t="s">
        <v>1434</v>
      </c>
      <c r="F113" s="3330"/>
      <c r="G113" s="3330"/>
      <c r="H113" s="3330"/>
      <c r="I113" s="121"/>
    </row>
    <row r="114" spans="1:27" ht="3.75" customHeight="1">
      <c r="A114" s="646"/>
      <c r="B114" s="646"/>
      <c r="C114" s="646"/>
      <c r="D114" s="646"/>
      <c r="E114" s="1671"/>
      <c r="F114" s="1671"/>
      <c r="G114" s="1671"/>
      <c r="H114" s="1671"/>
      <c r="I114" s="646"/>
    </row>
    <row r="115" spans="1:27" ht="18.75" customHeight="1">
      <c r="A115" s="3340" t="s">
        <v>1436</v>
      </c>
      <c r="B115" s="3341"/>
      <c r="C115" s="3341"/>
      <c r="D115" s="3341"/>
      <c r="E115" s="3341"/>
      <c r="F115" s="3341"/>
      <c r="G115" s="3341"/>
      <c r="H115" s="3341"/>
      <c r="I115" s="3342"/>
    </row>
    <row r="116" spans="1:27" ht="27" customHeight="1">
      <c r="A116" s="3296" t="s">
        <v>1437</v>
      </c>
      <c r="B116" s="3331" t="s">
        <v>3814</v>
      </c>
      <c r="C116" s="3331" t="s">
        <v>3815</v>
      </c>
      <c r="D116" s="3344" t="s">
        <v>1438</v>
      </c>
      <c r="E116" s="3345"/>
      <c r="F116" s="3339" t="s">
        <v>1439</v>
      </c>
      <c r="G116" s="3339"/>
      <c r="H116" s="3296" t="s">
        <v>1440</v>
      </c>
      <c r="I116" s="3296"/>
    </row>
    <row r="117" spans="1:27" ht="18.75" customHeight="1">
      <c r="A117" s="3296"/>
      <c r="B117" s="3332"/>
      <c r="C117" s="3332"/>
      <c r="D117" s="2150" t="s">
        <v>1441</v>
      </c>
      <c r="E117" s="2150" t="s">
        <v>1442</v>
      </c>
      <c r="F117" s="2150" t="s">
        <v>1441</v>
      </c>
      <c r="G117" s="2150" t="s">
        <v>1443</v>
      </c>
      <c r="H117" s="2150" t="s">
        <v>1441</v>
      </c>
      <c r="I117" s="2150" t="s">
        <v>1443</v>
      </c>
    </row>
    <row r="118" spans="1:27" ht="24.75" customHeight="1">
      <c r="A118" s="2385" t="str">
        <f>项目基本情况!S2</f>
        <v>北京市大兴区半壁店绿茵度假公寓1幢1-7层全部其他用房房地产</v>
      </c>
      <c r="B118" s="2150">
        <f>M18</f>
        <v>10446.719999999999</v>
      </c>
      <c r="C118" s="2150">
        <f>M19</f>
        <v>0</v>
      </c>
      <c r="D118" s="2150">
        <f ca="1">ROUND(IF(D32="总价",C34,E118*B118/10000),0)</f>
        <v>1980</v>
      </c>
      <c r="E118" s="2150">
        <f ca="1">ROUND(IF(C33="自定义",IF(D32="楼面单价",C34,D118*10000/B118),I118-G118),0)</f>
        <v>1895</v>
      </c>
      <c r="F118" s="2150">
        <f ca="1">ROUND(IF(D32="总价",C35,G118*B118/10000),0)</f>
        <v>3613</v>
      </c>
      <c r="G118" s="2150">
        <f ca="1">ROUND(IF(D32="楼面单价",C35,F118*10000/B118),0)</f>
        <v>3459</v>
      </c>
      <c r="H118" s="2150">
        <f ca="1">ROUND(IF(D32="总价",C32,I118*B118/10000),0)</f>
        <v>5593</v>
      </c>
      <c r="I118" s="2150">
        <f ca="1">ROUND(IF(D32="楼面单价",C32,H118*10000/B118),0)</f>
        <v>5354</v>
      </c>
    </row>
    <row r="119" spans="1:27" ht="18.75" customHeight="1">
      <c r="A119" s="3296" t="s">
        <v>1444</v>
      </c>
      <c r="B119" s="3296"/>
      <c r="C119" s="3296"/>
      <c r="D119" s="3336" t="str">
        <f ca="1">NUMBERSTRING(INT(D118*10000),2)&amp;"元整"</f>
        <v>壹仟玖佰捌拾万元整</v>
      </c>
      <c r="E119" s="3338"/>
      <c r="F119" s="3336" t="str">
        <f ca="1">NUMBERSTRING(INT(F118*10000),2)&amp;"元整"</f>
        <v>叁仟陆佰壹拾叁万元整</v>
      </c>
      <c r="G119" s="3338"/>
      <c r="H119" s="3336" t="str">
        <f ca="1">NUMBERSTRING(INT(H118*10000),2)&amp;"元整"</f>
        <v>伍仟伍佰玖拾叁万元整</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6" t="s">
        <v>1444</v>
      </c>
      <c r="B121" s="3337"/>
      <c r="C121" s="3338"/>
      <c r="D121" s="3336" t="str">
        <f>IF(D120=0,"零元整",NUMBERSTRING(INT(D120*10000),2)&amp;"元整")</f>
        <v>零元整</v>
      </c>
      <c r="E121" s="3337"/>
      <c r="F121" s="3337"/>
      <c r="G121" s="3337"/>
      <c r="H121" s="3337"/>
      <c r="I121" s="3338"/>
      <c r="AA121" s="684"/>
    </row>
    <row r="122" spans="1:27" ht="18.75" customHeight="1">
      <c r="A122" s="3327" t="str">
        <f>IF(项目基本情况!B9="房地产市场价值","",MID(E107,3,LEN(E107)-2))</f>
        <v>房地产抵押价值</v>
      </c>
      <c r="B122" s="3327"/>
      <c r="C122" s="3327"/>
      <c r="D122" s="3360">
        <f ca="1">H107</f>
        <v>5593</v>
      </c>
      <c r="E122" s="3361"/>
      <c r="F122" s="3361"/>
      <c r="G122" s="3361"/>
      <c r="H122" s="3361"/>
      <c r="I122" s="3362"/>
      <c r="AA122" s="684"/>
    </row>
    <row r="123" spans="1:27" ht="18.75" customHeight="1">
      <c r="A123" s="3296" t="s">
        <v>1444</v>
      </c>
      <c r="B123" s="3296"/>
      <c r="C123" s="3296"/>
      <c r="D123" s="3336" t="str">
        <f ca="1">NUMBERSTRING(INT(D122*10000),2)&amp;"元整"</f>
        <v>伍仟伍佰玖拾叁万元整</v>
      </c>
      <c r="E123" s="3337"/>
      <c r="F123" s="3337"/>
      <c r="G123" s="3337"/>
      <c r="H123" s="3337"/>
      <c r="I123" s="3338"/>
      <c r="AA123" s="684"/>
    </row>
    <row r="124" spans="1:27" ht="18.75" customHeight="1">
      <c r="A124" s="3327" t="str">
        <f>IF(项目基本情况!B9="房地产市场价值","",MID(E109,3,LEN(E109)-2))</f>
        <v/>
      </c>
      <c r="B124" s="3327"/>
      <c r="C124" s="3327"/>
      <c r="D124" s="3360" t="str">
        <f>H109</f>
        <v>——</v>
      </c>
      <c r="E124" s="3361"/>
      <c r="F124" s="3361"/>
      <c r="G124" s="3361"/>
      <c r="H124" s="3361"/>
      <c r="I124" s="3362"/>
      <c r="AA124" s="684"/>
    </row>
    <row r="125" spans="1:27" ht="18.75" customHeight="1">
      <c r="A125" s="3296" t="s">
        <v>1444</v>
      </c>
      <c r="B125" s="3296"/>
      <c r="C125" s="3296"/>
      <c r="D125" s="3336" t="e">
        <f>NUMBERSTRING(INT(D124*10000),2)&amp;"元整"</f>
        <v>#VALUE!</v>
      </c>
      <c r="E125" s="3337"/>
      <c r="F125" s="3337"/>
      <c r="G125" s="3337"/>
      <c r="H125" s="3337"/>
      <c r="I125" s="3338"/>
      <c r="AA125" s="684"/>
    </row>
    <row r="126" spans="1:27" ht="18.75" customHeight="1">
      <c r="A126" s="3327" t="str">
        <f>IF(项目基本情况!B9="房地产市场价值","",MID(E111,3,LEN(E111)-2))</f>
        <v/>
      </c>
      <c r="B126" s="3327"/>
      <c r="C126" s="3327"/>
      <c r="D126" s="3360" t="str">
        <f>H111</f>
        <v>——</v>
      </c>
      <c r="E126" s="3361"/>
      <c r="F126" s="3361"/>
      <c r="G126" s="3361"/>
      <c r="H126" s="3361"/>
      <c r="I126" s="3362"/>
      <c r="AA126" s="684"/>
    </row>
    <row r="127" spans="1:27" ht="18.75" customHeight="1">
      <c r="A127" s="3296" t="s">
        <v>1444</v>
      </c>
      <c r="B127" s="3296"/>
      <c r="C127" s="3296"/>
      <c r="D127" s="3336" t="e">
        <f>NUMBERSTRING(INT(D126*10000),2)&amp;"元整"</f>
        <v>#VALUE!</v>
      </c>
      <c r="E127" s="3337"/>
      <c r="F127" s="3337"/>
      <c r="G127" s="3337"/>
      <c r="H127" s="3337"/>
      <c r="I127" s="3338"/>
      <c r="AA127" s="684"/>
    </row>
    <row r="128" spans="1:27" ht="21.75" customHeight="1">
      <c r="A128" s="3343" t="s">
        <v>1445</v>
      </c>
      <c r="B128" s="3343"/>
      <c r="C128" s="3343"/>
      <c r="D128" s="3343"/>
      <c r="E128" s="3343"/>
      <c r="F128" s="3343"/>
      <c r="G128" s="3343"/>
      <c r="H128" s="3343"/>
      <c r="I128" s="3343"/>
      <c r="AA128" s="684"/>
    </row>
    <row r="129" spans="1:35" ht="21.75" customHeight="1">
      <c r="A129" s="1691" t="s">
        <v>1446</v>
      </c>
      <c r="B129" s="1692"/>
      <c r="C129" s="1693" t="s">
        <v>1447</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1448</v>
      </c>
      <c r="G135" s="1706"/>
      <c r="H135" s="1706"/>
      <c r="I135" s="1707" t="s">
        <v>1449</v>
      </c>
    </row>
    <row r="136" spans="1:35" ht="21.75" customHeight="1">
      <c r="A136" s="684"/>
      <c r="B136" s="1708"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1451</v>
      </c>
    </row>
    <row r="139" spans="1:35" ht="21.75" customHeight="1">
      <c r="A139" s="684"/>
      <c r="B139" s="1708" t="s">
        <v>1452</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1451</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4"/>
      <c r="C1" s="190"/>
      <c r="D1" s="190"/>
      <c r="E1" s="190"/>
      <c r="F1" s="190"/>
      <c r="G1" s="1062">
        <f>MATCH(B1,'数据-取费表'!A6:A16,0)+5</f>
        <v>7</v>
      </c>
    </row>
    <row r="2" spans="1:9" s="192" customFormat="1" ht="18" customHeight="1">
      <c r="A2" s="193" t="s">
        <v>1454</v>
      </c>
      <c r="B2" s="194">
        <f ca="1">IF(D2="——",C52,C52-E2)</f>
        <v>5808</v>
      </c>
      <c r="C2" s="191" t="s">
        <v>1455</v>
      </c>
      <c r="D2" s="1711" t="s">
        <v>43</v>
      </c>
      <c r="E2" s="1089" t="e">
        <f ca="1">SUMIF(INDIRECT("'"&amp;G2&amp;"'"&amp;"!A:A"),"承租人权益价值",INDIRECT("'"&amp;G2&amp;"'"&amp;"!c:c"))</f>
        <v>#REF!</v>
      </c>
      <c r="F2" s="1712" t="s">
        <v>1455</v>
      </c>
      <c r="G2" s="1713"/>
    </row>
    <row r="3" spans="1:9" s="192" customFormat="1" ht="18" customHeight="1" thickBot="1">
      <c r="A3" s="195" t="s">
        <v>1456</v>
      </c>
      <c r="B3" s="196">
        <f ca="1">ROUND(B2*10000/(IF(B1="",'数据-汇总表'!E3,INDIRECT("'数据-取费表'!k"&amp;$G$1))),0)</f>
        <v>5560</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 ca="1">C6+C7+C8</f>
        <v>1590</v>
      </c>
      <c r="D5" s="203" t="s">
        <v>1461</v>
      </c>
      <c r="E5" s="204" t="s">
        <v>1462</v>
      </c>
      <c r="F5" s="204" t="s">
        <v>1463</v>
      </c>
      <c r="G5" s="205"/>
    </row>
    <row r="6" spans="1:9" s="206" customFormat="1" ht="13.5" customHeight="1">
      <c r="A6" s="732" t="s">
        <v>1464</v>
      </c>
      <c r="B6" s="207" t="s">
        <v>1465</v>
      </c>
      <c r="C6" s="208">
        <f>基准地价修正!E33</f>
        <v>1340</v>
      </c>
      <c r="D6" s="209"/>
      <c r="E6" s="210"/>
      <c r="F6" s="210"/>
      <c r="G6" s="211"/>
    </row>
    <row r="7" spans="1:9" s="206" customFormat="1" ht="13.5" customHeight="1">
      <c r="A7" s="732" t="s">
        <v>1466</v>
      </c>
      <c r="B7" s="207" t="s">
        <v>1467</v>
      </c>
      <c r="C7" s="212">
        <f>ROUND(C6*F7,0)</f>
        <v>41</v>
      </c>
      <c r="D7" s="212"/>
      <c r="E7" s="210"/>
      <c r="F7" s="213">
        <f>IF(项目基本情况!B8="出让",0,'数据-取费表'!B48+'数据-取费表'!B49)</f>
        <v>3.0499999999999999E-2</v>
      </c>
      <c r="G7" s="211"/>
    </row>
    <row r="8" spans="1:9" s="215" customFormat="1">
      <c r="A8" s="732" t="s">
        <v>1468</v>
      </c>
      <c r="B8" s="207" t="s">
        <v>1469</v>
      </c>
      <c r="C8" s="212">
        <f ca="1">IF(G8="已包含在土地购买价格中","0",IF(B1="",'数据-取费表'!B29,IF(G9="全部缴纳",C9+C10,H9)))</f>
        <v>209</v>
      </c>
      <c r="D8" s="214"/>
      <c r="E8" s="212"/>
      <c r="F8" s="213"/>
      <c r="G8" s="1714" t="s">
        <v>3742</v>
      </c>
    </row>
    <row r="9" spans="1:9" s="206" customFormat="1" ht="13.5" customHeight="1">
      <c r="A9" s="733" t="s">
        <v>355</v>
      </c>
      <c r="B9" s="216" t="s">
        <v>1470</v>
      </c>
      <c r="C9" s="217">
        <f ca="1">ROUND(D9*E9/10000,0)</f>
        <v>0</v>
      </c>
      <c r="D9" s="795">
        <f ca="1">IF(B1="",'数据-汇总表'!E5,IF(INDIRECT("'数据-取费表'!c"&amp;$G$1)="住宅",INDIRECT("'数据-取费表'!k"&amp;$G$1),0))</f>
        <v>0</v>
      </c>
      <c r="E9" s="217">
        <f>'数据-取费表'!B27</f>
        <v>160</v>
      </c>
      <c r="F9" s="213"/>
      <c r="G9" s="1715" t="s">
        <v>3743</v>
      </c>
      <c r="H9" s="1070"/>
      <c r="I9" s="1716" t="s">
        <v>1471</v>
      </c>
    </row>
    <row r="10" spans="1:9" s="206" customFormat="1" ht="13.5" customHeight="1">
      <c r="A10" s="733" t="s">
        <v>356</v>
      </c>
      <c r="B10" s="216" t="s">
        <v>1472</v>
      </c>
      <c r="C10" s="217">
        <f ca="1">ROUND(D10*E10/10000,0)</f>
        <v>209</v>
      </c>
      <c r="D10" s="795">
        <f ca="1">IF(B1="",'数据-汇总表'!E6,IF(INDIRECT("'数据-取费表'!c"&amp;$G$1)="住宅",INDIRECT("'数据-取费表'!s"&amp;$G$1),INDIRECT("'数据-取费表'!k"&amp;$G$1)+INDIRECT("'数据-取费表'!s"&amp;$G$1)))</f>
        <v>10446.719999999999</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t="str">
        <f>IF(G19="已包含在土地取得成本中","0",ROUND(D19*E19/10000,0))</f>
        <v>0</v>
      </c>
      <c r="D19" s="204">
        <f ca="1">D9+D10</f>
        <v>10446.719999999999</v>
      </c>
      <c r="E19" s="203">
        <f>'数据-取费表'!B31</f>
        <v>150</v>
      </c>
      <c r="F19" s="223"/>
      <c r="G19" s="1714" t="s">
        <v>3744</v>
      </c>
    </row>
    <row r="20" spans="1:7" s="206" customFormat="1" ht="13.5" customHeight="1">
      <c r="A20" s="247" t="s">
        <v>1485</v>
      </c>
      <c r="B20" s="202" t="s">
        <v>1486</v>
      </c>
      <c r="C20" s="224">
        <f ca="1">ROUND((C5+C19)*F20,0)</f>
        <v>48</v>
      </c>
      <c r="D20" s="224"/>
      <c r="E20" s="224"/>
      <c r="F20" s="225">
        <f>'数据-取费表'!B37</f>
        <v>0.03</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41">
        <f ca="1">ROUND(SUM(C23:C25),0)</f>
        <v>101</v>
      </c>
      <c r="D22" s="227">
        <f ca="1">C26</f>
        <v>5.9999999999999995E-4</v>
      </c>
      <c r="E22" s="228" t="s">
        <v>1490</v>
      </c>
      <c r="F22" s="229">
        <f ca="1">'数据-取费表'!B40</f>
        <v>3.1E-2</v>
      </c>
      <c r="G22" s="226" t="str">
        <f>IF('数据-取费表'!B22&lt;=1,"单利计息","复利计息")</f>
        <v>复利计息</v>
      </c>
    </row>
    <row r="23" spans="1:7" s="206" customFormat="1" ht="13.5" customHeight="1">
      <c r="A23" s="734" t="s">
        <v>1494</v>
      </c>
      <c r="B23" s="207" t="s">
        <v>1495</v>
      </c>
      <c r="C23" s="1042">
        <f ca="1">ROUND(IF('数据-取费表'!B22&lt;=1,C5*F22*'数据-取费表'!B23,C5*(POWER((1+F22),'数据-取费表'!B23)-1)),0)</f>
        <v>100</v>
      </c>
      <c r="D23" s="230"/>
      <c r="E23" s="230"/>
      <c r="F23" s="231"/>
      <c r="G23" s="232" t="s">
        <v>1496</v>
      </c>
    </row>
    <row r="24" spans="1:7" s="206" customFormat="1" ht="13.5" customHeight="1">
      <c r="A24" s="734" t="s">
        <v>1497</v>
      </c>
      <c r="B24" s="207" t="s">
        <v>1498</v>
      </c>
      <c r="C24" s="1042">
        <f ca="1">ROUND(IF('数据-取费表'!B22&lt;=1,C19*F22*('数据-取费表'!B19/2+'数据-取费表'!B21),C19*(POWER((1+F22),('数据-取费表'!B19/2+'数据-取费表'!B21))-1)),0)</f>
        <v>0</v>
      </c>
      <c r="D24" s="230"/>
      <c r="E24" s="230"/>
      <c r="F24" s="231"/>
      <c r="G24" s="232" t="s">
        <v>1499</v>
      </c>
    </row>
    <row r="25" spans="1:7" s="206" customFormat="1" ht="24">
      <c r="A25" s="734" t="s">
        <v>1500</v>
      </c>
      <c r="B25" s="207" t="s">
        <v>1501</v>
      </c>
      <c r="C25" s="1042">
        <f ca="1">ROUND(IF('数据-取费表'!B22&lt;=1,C20*F22*'数据-取费表'!B23/2,C20*(POWER((1+F22),'数据-取费表'!B23/2)-1)),0)</f>
        <v>1</v>
      </c>
      <c r="D25" s="230"/>
      <c r="E25" s="233"/>
      <c r="F25" s="231"/>
      <c r="G25" s="234" t="s">
        <v>1502</v>
      </c>
    </row>
    <row r="26" spans="1:7" s="206" customFormat="1">
      <c r="A26" s="734"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164</v>
      </c>
      <c r="D27" s="227">
        <f ca="1">C29</f>
        <v>2E-3</v>
      </c>
      <c r="E27" s="228" t="s">
        <v>1506</v>
      </c>
      <c r="F27" s="238">
        <f ca="1">IF(B1="",'数据-取费表'!Q16,INDIRECT("'数据-取费表'!q"&amp;$G$1))</f>
        <v>0.1</v>
      </c>
      <c r="G27" s="239" t="s">
        <v>1507</v>
      </c>
    </row>
    <row r="28" spans="1:7" s="206" customFormat="1" ht="13.5" customHeight="1">
      <c r="A28" s="734" t="s">
        <v>346</v>
      </c>
      <c r="B28" s="240" t="s">
        <v>1508</v>
      </c>
      <c r="C28" s="241">
        <f ca="1">ROUND((C5+C19+C20)*F27*'数据-取费表'!B21/'数据-取费表'!B20,0)</f>
        <v>164</v>
      </c>
      <c r="D28" s="227"/>
      <c r="E28" s="228"/>
      <c r="F28" s="238"/>
      <c r="G28" s="239"/>
    </row>
    <row r="29" spans="1:7" s="206" customFormat="1" ht="13.5" customHeight="1">
      <c r="A29" s="734" t="s">
        <v>347</v>
      </c>
      <c r="B29" s="240" t="s">
        <v>1509</v>
      </c>
      <c r="C29" s="230">
        <f ca="1">ROUND(C21*F27*'数据-取费表'!B21/'数据-取费表'!B20,4)</f>
        <v>2E-3</v>
      </c>
      <c r="D29" s="227"/>
      <c r="E29" s="228"/>
      <c r="F29" s="238"/>
      <c r="G29" s="239"/>
    </row>
    <row r="30" spans="1:7" s="206" customFormat="1" ht="13.5" customHeight="1">
      <c r="A30" s="247" t="s">
        <v>1510</v>
      </c>
      <c r="B30" s="202" t="s">
        <v>1511</v>
      </c>
      <c r="C30" s="227">
        <f>ROUND(F30/(1+'数据-取费表'!C42),4)</f>
        <v>5.2400000000000002E-2</v>
      </c>
      <c r="D30" s="228" t="s">
        <v>1506</v>
      </c>
      <c r="E30" s="233"/>
      <c r="F30" s="229">
        <f>'数据-取费表'!B41</f>
        <v>5.5000000000000007E-2</v>
      </c>
      <c r="G30" s="226" t="s">
        <v>1512</v>
      </c>
    </row>
    <row r="31" spans="1:7" ht="16.5" customHeight="1">
      <c r="A31" s="201">
        <v>1</v>
      </c>
      <c r="B31" s="202" t="s">
        <v>1513</v>
      </c>
      <c r="C31" s="203">
        <f ca="1">ROUND((C5+C19+C20+C22+C27)/(1-C21-D22-D27-C30),0)</f>
        <v>2057</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4513</v>
      </c>
      <c r="D33" s="224"/>
      <c r="E33" s="204"/>
      <c r="F33" s="233"/>
      <c r="G33" s="226"/>
    </row>
    <row r="34" spans="1:7" s="250" customFormat="1" ht="13.5" customHeight="1">
      <c r="A34" s="734" t="s">
        <v>346</v>
      </c>
      <c r="B34" s="207" t="s">
        <v>1517</v>
      </c>
      <c r="C34" s="212">
        <f ca="1">IF(B1="",IF(F34=100%,'数据-取费表'!M16,'数据-取费表'!O16),IF(F34=100%,INDIRECT("'数据-取费表'!m"&amp;$G$1)+INDIRECT("'数据-取费表'!t"&amp;$G$1),INDIRECT("'数据-取费表'!o"&amp;$G$1)+INDIRECT("'数据-取费表'!aq"&amp;$G$1)))</f>
        <v>4179</v>
      </c>
      <c r="D34" s="209"/>
      <c r="E34" s="212"/>
      <c r="F34" s="249">
        <f ca="1">IF('数据-取费表'!B24=0,1,IF(B1="",'数据-取费表'!N16,INDIRECT("'数据-取费表'!n"&amp;$G$1)))</f>
        <v>1</v>
      </c>
      <c r="G34" s="211" t="s">
        <v>1518</v>
      </c>
    </row>
    <row r="35" spans="1:7" ht="13.5" customHeight="1">
      <c r="A35" s="734" t="s">
        <v>351</v>
      </c>
      <c r="B35" s="207" t="s">
        <v>1519</v>
      </c>
      <c r="C35" s="212">
        <f ca="1">ROUND(C34*F35,0)</f>
        <v>209</v>
      </c>
      <c r="D35" s="212"/>
      <c r="E35" s="212"/>
      <c r="F35" s="251">
        <f>'数据-取费表'!B33</f>
        <v>0.05</v>
      </c>
      <c r="G35" s="211" t="s">
        <v>1520</v>
      </c>
    </row>
    <row r="36" spans="1:7" ht="24">
      <c r="A36" s="734"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4" t="s">
        <v>353</v>
      </c>
      <c r="B37" s="207" t="s">
        <v>1523</v>
      </c>
      <c r="C37" s="241">
        <f ca="1">ROUND(E37*D37*F34/10000,0)</f>
        <v>0</v>
      </c>
      <c r="D37" s="209">
        <f ca="1">D19</f>
        <v>10446.719999999999</v>
      </c>
      <c r="E37" s="241">
        <f>'数据-取费表'!B35</f>
        <v>0</v>
      </c>
      <c r="F37" s="251"/>
      <c r="G37" s="253" t="s">
        <v>1524</v>
      </c>
    </row>
    <row r="38" spans="1:7" ht="13.5" customHeight="1">
      <c r="A38" s="734" t="s">
        <v>354</v>
      </c>
      <c r="B38" s="207" t="s">
        <v>1525</v>
      </c>
      <c r="C38" s="212">
        <f ca="1">ROUND(C34*F38,0)</f>
        <v>125</v>
      </c>
      <c r="D38" s="212"/>
      <c r="E38" s="212"/>
      <c r="F38" s="251">
        <f>'数据-取费表'!B36</f>
        <v>0.03</v>
      </c>
      <c r="G38" s="211" t="s">
        <v>1520</v>
      </c>
    </row>
    <row r="39" spans="1:7" s="206" customFormat="1" ht="13.5" customHeight="1">
      <c r="A39" s="247" t="s">
        <v>1526</v>
      </c>
      <c r="B39" s="202" t="s">
        <v>1527</v>
      </c>
      <c r="C39" s="224">
        <f ca="1">ROUND(C33*F20,0)</f>
        <v>135</v>
      </c>
      <c r="D39" s="224"/>
      <c r="E39" s="224"/>
      <c r="F39" s="225">
        <f>F20</f>
        <v>0.03</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144</v>
      </c>
      <c r="D41" s="227">
        <f ca="1">C44</f>
        <v>5.9999999999999995E-4</v>
      </c>
      <c r="E41" s="228" t="s">
        <v>1531</v>
      </c>
      <c r="F41" s="229">
        <f ca="1">F22</f>
        <v>3.1E-2</v>
      </c>
      <c r="G41" s="226" t="str">
        <f>IF('数据-取费表'!B22&lt;=1,"单利计息","复利计息")</f>
        <v>复利计息</v>
      </c>
    </row>
    <row r="42" spans="1:7" ht="13.5" customHeight="1">
      <c r="A42" s="734" t="s">
        <v>346</v>
      </c>
      <c r="B42" s="207" t="s">
        <v>1535</v>
      </c>
      <c r="C42" s="230">
        <f ca="1">ROUND(IF('数据-取费表'!B22&lt;=1,C33*F22*'数据-取费表'!B21/2,C33*(POWER((1+F22),'数据-取费表'!B21/2)-1)),0)</f>
        <v>140</v>
      </c>
      <c r="D42" s="230"/>
      <c r="E42" s="230"/>
      <c r="F42" s="231"/>
      <c r="G42" s="3376" t="s">
        <v>1536</v>
      </c>
    </row>
    <row r="43" spans="1:7" ht="13.5" customHeight="1">
      <c r="A43" s="734" t="s">
        <v>347</v>
      </c>
      <c r="B43" s="207" t="s">
        <v>1537</v>
      </c>
      <c r="C43" s="230">
        <f ca="1">ROUND(IF('数据-取费表'!B22&lt;=1,C39*F22*'数据-取费表'!B21/2,C39*(POWER((1+F22),'数据-取费表'!B21/2)-1)),0)</f>
        <v>4</v>
      </c>
      <c r="D43" s="230"/>
      <c r="E43" s="230"/>
      <c r="F43" s="231"/>
      <c r="G43" s="3377"/>
    </row>
    <row r="44" spans="1:7" ht="13.5" customHeight="1">
      <c r="A44" s="734" t="s">
        <v>348</v>
      </c>
      <c r="B44" s="207" t="s">
        <v>1538</v>
      </c>
      <c r="C44" s="230">
        <f ca="1">ROUND(IF('数据-取费表'!B22&lt;=1,C40*F22*'数据-取费表'!B21/2,C40*(POWER((1+F22),'数据-取费表'!B21/2)-1)),4)</f>
        <v>5.9999999999999995E-4</v>
      </c>
      <c r="D44" s="230"/>
      <c r="E44" s="230"/>
      <c r="F44" s="231"/>
      <c r="G44" s="3378"/>
    </row>
    <row r="45" spans="1:7" s="206" customFormat="1" ht="13.5" customHeight="1">
      <c r="A45" s="247" t="s">
        <v>1539</v>
      </c>
      <c r="B45" s="236" t="s">
        <v>1505</v>
      </c>
      <c r="C45" s="237">
        <f ca="1">C46</f>
        <v>465</v>
      </c>
      <c r="D45" s="227">
        <f ca="1">C47</f>
        <v>2E-3</v>
      </c>
      <c r="E45" s="228" t="s">
        <v>1531</v>
      </c>
      <c r="F45" s="238">
        <f ca="1">F27</f>
        <v>0.1</v>
      </c>
      <c r="G45" s="239" t="s">
        <v>1540</v>
      </c>
    </row>
    <row r="46" spans="1:7" s="206" customFormat="1" ht="13.5" customHeight="1">
      <c r="A46" s="734" t="s">
        <v>346</v>
      </c>
      <c r="B46" s="240" t="s">
        <v>1541</v>
      </c>
      <c r="C46" s="241">
        <f ca="1">ROUND((C33+C39)*F27,0)</f>
        <v>465</v>
      </c>
      <c r="D46" s="255"/>
      <c r="E46" s="228"/>
      <c r="F46" s="238"/>
      <c r="G46" s="239"/>
    </row>
    <row r="47" spans="1:7" s="206" customFormat="1" ht="13.5" customHeight="1">
      <c r="A47" s="734" t="s">
        <v>347</v>
      </c>
      <c r="B47" s="240" t="s">
        <v>1542</v>
      </c>
      <c r="C47" s="230">
        <f ca="1">ROUND(C40*F27,4)</f>
        <v>2E-3</v>
      </c>
      <c r="D47" s="255"/>
      <c r="E47" s="228"/>
      <c r="F47" s="238"/>
      <c r="G47" s="239"/>
    </row>
    <row r="48" spans="1:7" s="206" customFormat="1" ht="13.5" customHeight="1">
      <c r="A48" s="247" t="s">
        <v>1504</v>
      </c>
      <c r="B48" s="202" t="s">
        <v>1543</v>
      </c>
      <c r="C48" s="227">
        <f>ROUND(F30/(1+'数据-取费表'!C42),4)</f>
        <v>5.2400000000000002E-2</v>
      </c>
      <c r="D48" s="228" t="s">
        <v>1531</v>
      </c>
      <c r="E48" s="224"/>
      <c r="F48" s="229">
        <f>F30</f>
        <v>5.5000000000000007E-2</v>
      </c>
      <c r="G48" s="226" t="s">
        <v>1544</v>
      </c>
    </row>
    <row r="49" spans="1:7" ht="16.5" customHeight="1">
      <c r="A49" s="247" t="s">
        <v>1510</v>
      </c>
      <c r="B49" s="202" t="s">
        <v>1545</v>
      </c>
      <c r="C49" s="224">
        <f ca="1">ROUND((C33+C39+C41+C45)/(1-C40-D41-D45-C48),0)</f>
        <v>5683</v>
      </c>
      <c r="D49" s="224"/>
      <c r="E49" s="224"/>
      <c r="F49" s="256"/>
      <c r="G49" s="226" t="s">
        <v>1546</v>
      </c>
    </row>
    <row r="50" spans="1:7" s="250" customFormat="1" ht="24">
      <c r="A50" s="247" t="s">
        <v>1547</v>
      </c>
      <c r="B50" s="202" t="s">
        <v>1548</v>
      </c>
      <c r="C50" s="224"/>
      <c r="D50" s="224"/>
      <c r="E50" s="224"/>
      <c r="F50" s="256">
        <f>IF('数据-取费表'!B24=0,'数据-取费表'!N16,1)</f>
        <v>0.66</v>
      </c>
      <c r="G50" s="239" t="s">
        <v>1549</v>
      </c>
    </row>
    <row r="51" spans="1:7" ht="16.5" customHeight="1">
      <c r="A51" s="247" t="s">
        <v>1550</v>
      </c>
      <c r="B51" s="202" t="s">
        <v>1551</v>
      </c>
      <c r="C51" s="224">
        <f ca="1">ROUND(C49*F50,0)</f>
        <v>3751</v>
      </c>
      <c r="D51" s="224"/>
      <c r="E51" s="224"/>
      <c r="F51" s="256"/>
      <c r="G51" s="226" t="s">
        <v>1552</v>
      </c>
    </row>
    <row r="52" spans="1:7" s="200" customFormat="1" ht="16.5" thickBot="1">
      <c r="A52" s="257" t="s">
        <v>1553</v>
      </c>
      <c r="B52" s="258"/>
      <c r="C52" s="259">
        <f ca="1">C31+C51</f>
        <v>5808</v>
      </c>
      <c r="D52" s="258"/>
      <c r="E52" s="258"/>
      <c r="F52" s="258"/>
      <c r="G52" s="260"/>
    </row>
    <row r="55" spans="1:7" ht="15">
      <c r="B55" s="262" t="s">
        <v>1554</v>
      </c>
      <c r="C55" s="263"/>
    </row>
    <row r="56" spans="1:7">
      <c r="B56" s="265" t="s">
        <v>796</v>
      </c>
      <c r="C56" s="267">
        <f ca="1">1-C57</f>
        <v>0.35399999999999998</v>
      </c>
    </row>
    <row r="57" spans="1:7">
      <c r="B57" s="265" t="s">
        <v>797</v>
      </c>
      <c r="C57" s="266">
        <f ca="1">ROUND(C51/C52,3)</f>
        <v>0.64600000000000002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北京市大兴区半壁店绿茵度假公寓1幢1-7层全部其他用房房地产抵押价值预评估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4"/>
      <c r="C1" s="1717" t="s">
        <v>1555</v>
      </c>
      <c r="D1" s="190"/>
      <c r="E1" s="190"/>
      <c r="F1" s="190"/>
      <c r="G1" s="1062">
        <f>MATCH(B1,'数据-取费表'!A6:A16,0)+5</f>
        <v>7</v>
      </c>
      <c r="H1" s="998" t="str">
        <f>IF(ISERROR(FIND("住宅",B1)),"非住宅","住宅")</f>
        <v>非住宅</v>
      </c>
    </row>
    <row r="2" spans="1:8" s="192" customFormat="1" ht="18" customHeight="1">
      <c r="A2" s="193" t="s">
        <v>1454</v>
      </c>
      <c r="B2" s="3121">
        <f ca="1">ROUND(IF(D2="——",C52/10000,C52/10000-E2),4)</f>
        <v>4224.2698</v>
      </c>
      <c r="C2" s="191" t="s">
        <v>1455</v>
      </c>
      <c r="D2" s="1711" t="s">
        <v>43</v>
      </c>
      <c r="E2" s="1089" t="e">
        <f ca="1">SUMIF(INDIRECT("'"&amp;G2&amp;"'"&amp;"!A:A"),"承租人权益价值",INDIRECT("'"&amp;G2&amp;"'"&amp;"!c:c"))</f>
        <v>#REF!</v>
      </c>
      <c r="F2" s="1712" t="s">
        <v>1455</v>
      </c>
      <c r="G2" s="1713"/>
    </row>
    <row r="3" spans="1:8" s="192" customFormat="1" ht="18" customHeight="1" thickBot="1">
      <c r="A3" s="195" t="s">
        <v>1456</v>
      </c>
      <c r="B3" s="196">
        <f ca="1">ROUND(B2*10000/(IF(B1="",'数据-汇总表'!E3,INDIRECT("'数据-取费表'!k"&amp;$G$1))),0)</f>
        <v>4044</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2089344</v>
      </c>
      <c r="D5" s="203" t="s">
        <v>1461</v>
      </c>
      <c r="E5" s="204" t="s">
        <v>1462</v>
      </c>
      <c r="F5" s="204" t="s">
        <v>1463</v>
      </c>
      <c r="G5" s="205"/>
    </row>
    <row r="6" spans="1:8" s="206" customFormat="1" ht="13.5" customHeight="1">
      <c r="A6" s="732" t="s">
        <v>1464</v>
      </c>
      <c r="B6" s="207" t="s">
        <v>1465</v>
      </c>
      <c r="C6" s="208"/>
      <c r="D6" s="209"/>
      <c r="E6" s="210"/>
      <c r="F6" s="210"/>
      <c r="G6" s="211"/>
    </row>
    <row r="7" spans="1:8" s="206" customFormat="1" ht="13.5" customHeight="1">
      <c r="A7" s="732" t="s">
        <v>1466</v>
      </c>
      <c r="B7" s="207" t="s">
        <v>1467</v>
      </c>
      <c r="C7" s="212">
        <f>ROUND(C6*F7,0)</f>
        <v>0</v>
      </c>
      <c r="D7" s="212"/>
      <c r="E7" s="210"/>
      <c r="F7" s="213">
        <f>IF(项目基本情况!B8="出让",0,'数据-取费表'!B48+'数据-取费表'!B49)</f>
        <v>3.0499999999999999E-2</v>
      </c>
      <c r="G7" s="211"/>
    </row>
    <row r="8" spans="1:8" s="215" customFormat="1">
      <c r="A8" s="732" t="s">
        <v>1468</v>
      </c>
      <c r="B8" s="207" t="s">
        <v>1469</v>
      </c>
      <c r="C8" s="212">
        <f ca="1">IF(G8="已包含在土地购买价格中",0,C9+C10)</f>
        <v>2089344</v>
      </c>
      <c r="D8" s="214"/>
      <c r="E8" s="212"/>
      <c r="F8" s="213"/>
      <c r="G8" s="1714"/>
    </row>
    <row r="9" spans="1:8" s="206" customFormat="1" ht="13.5" customHeight="1">
      <c r="A9" s="733" t="s">
        <v>355</v>
      </c>
      <c r="B9" s="216" t="s">
        <v>1470</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1472</v>
      </c>
      <c r="C10" s="217">
        <f ca="1">ROUND(D10*E10,0)</f>
        <v>2089344</v>
      </c>
      <c r="D10" s="795">
        <f ca="1">IF(B1="",'数据-汇总表'!E6,IF(INDIRECT("'数据-取费表'!c"&amp;$G$1)="住宅",INDIRECT("'数据-取费表'!s"&amp;$G$1),INDIRECT("'数据-取费表'!k"&amp;$G$1)+INDIRECT("'数据-取费表'!s"&amp;$G$1)))</f>
        <v>10446.719999999999</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f ca="1">IF(G19="已包含在土地取得成本中","0",ROUND(D19*E19,0))</f>
        <v>1567008</v>
      </c>
      <c r="D19" s="204">
        <f ca="1">D9+D10</f>
        <v>10446.719999999999</v>
      </c>
      <c r="E19" s="203">
        <f>'数据-取费表'!B31</f>
        <v>150</v>
      </c>
      <c r="F19" s="223"/>
      <c r="G19" s="1714"/>
    </row>
    <row r="20" spans="1:7" s="206" customFormat="1" ht="13.5" customHeight="1">
      <c r="A20" s="247" t="s">
        <v>1566</v>
      </c>
      <c r="B20" s="202" t="s">
        <v>1567</v>
      </c>
      <c r="C20" s="224">
        <f ca="1">ROUND((C5+C19)*F20,0)</f>
        <v>109691</v>
      </c>
      <c r="D20" s="224"/>
      <c r="E20" s="224"/>
      <c r="F20" s="225">
        <f>'数据-取费表'!B37</f>
        <v>0.03</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233607</v>
      </c>
      <c r="D22" s="227">
        <f ca="1">C26</f>
        <v>5.9999999999999995E-4</v>
      </c>
      <c r="E22" s="228" t="s">
        <v>1571</v>
      </c>
      <c r="F22" s="229">
        <f ca="1">'数据-取费表'!B40</f>
        <v>3.1E-2</v>
      </c>
      <c r="G22" s="226" t="str">
        <f>IF('数据-取费表'!B22&lt;=1,"单利计息","复利计息")</f>
        <v>复利计息</v>
      </c>
    </row>
    <row r="23" spans="1:7" s="206" customFormat="1" ht="13.5" customHeight="1">
      <c r="A23" s="734" t="s">
        <v>1464</v>
      </c>
      <c r="B23" s="207" t="s">
        <v>1575</v>
      </c>
      <c r="C23" s="230">
        <f ca="1">ROUND(IF('数据-取费表'!B22&lt;=1,C5*F22*'数据-取费表'!B22,C5*(POWER((1+F22),'数据-取费表'!B22)-1)),0)</f>
        <v>131547</v>
      </c>
      <c r="D23" s="230"/>
      <c r="E23" s="230"/>
      <c r="F23" s="231"/>
      <c r="G23" s="232" t="s">
        <v>1576</v>
      </c>
    </row>
    <row r="24" spans="1:7" s="206" customFormat="1" ht="13.5" customHeight="1">
      <c r="A24" s="734" t="s">
        <v>1466</v>
      </c>
      <c r="B24" s="207" t="s">
        <v>1577</v>
      </c>
      <c r="C24" s="230">
        <f ca="1">ROUND(IF('数据-取费表'!B22&lt;=1,C19*F22*('数据-取费表'!B19/2+'数据-取费表'!B20),C19*(POWER((1+F22),('数据-取费表'!B19/2+'数据-取费表'!B20))-1)),0)</f>
        <v>98660</v>
      </c>
      <c r="D24" s="230"/>
      <c r="E24" s="230"/>
      <c r="F24" s="231"/>
      <c r="G24" s="232" t="s">
        <v>1578</v>
      </c>
    </row>
    <row r="25" spans="1:7" s="206" customFormat="1" ht="24">
      <c r="A25" s="734" t="s">
        <v>1468</v>
      </c>
      <c r="B25" s="207" t="s">
        <v>1579</v>
      </c>
      <c r="C25" s="230">
        <f ca="1">ROUND(IF('数据-取费表'!B22&lt;=1,C20*F22*'数据-取费表'!B22/2,C20*(POWER((1+F22),'数据-取费表'!B22/2)-1)),0)</f>
        <v>3400</v>
      </c>
      <c r="D25" s="230"/>
      <c r="E25" s="233"/>
      <c r="F25" s="231"/>
      <c r="G25" s="234" t="s">
        <v>1580</v>
      </c>
    </row>
    <row r="26" spans="1:7" s="206" customFormat="1">
      <c r="A26" s="734"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376604</v>
      </c>
      <c r="D27" s="227">
        <f ca="1">C29</f>
        <v>2E-3</v>
      </c>
      <c r="E27" s="228" t="s">
        <v>1506</v>
      </c>
      <c r="F27" s="238">
        <f ca="1">IF(B1="",'数据-取费表'!Q16,INDIRECT("'数据-取费表'!q"&amp;$G$1))</f>
        <v>0.1</v>
      </c>
      <c r="G27" s="239" t="s">
        <v>1507</v>
      </c>
    </row>
    <row r="28" spans="1:7" s="206" customFormat="1" ht="13.5" customHeight="1">
      <c r="A28" s="734" t="s">
        <v>346</v>
      </c>
      <c r="B28" s="240" t="s">
        <v>1508</v>
      </c>
      <c r="C28" s="241">
        <f ca="1">ROUND((C5+C19+C20)*F27,0)</f>
        <v>376604</v>
      </c>
      <c r="D28" s="227"/>
      <c r="E28" s="228"/>
      <c r="F28" s="238"/>
      <c r="G28" s="239"/>
    </row>
    <row r="29" spans="1:7" s="206" customFormat="1" ht="13.5" customHeight="1">
      <c r="A29" s="734" t="s">
        <v>347</v>
      </c>
      <c r="B29" s="240" t="s">
        <v>1509</v>
      </c>
      <c r="C29" s="230">
        <f ca="1">ROUND(C21*F27,4)</f>
        <v>2E-3</v>
      </c>
      <c r="D29" s="227"/>
      <c r="E29" s="228"/>
      <c r="F29" s="238"/>
      <c r="G29" s="239"/>
    </row>
    <row r="30" spans="1:7" s="206" customFormat="1" ht="13.5" customHeight="1">
      <c r="A30" s="247" t="s">
        <v>1510</v>
      </c>
      <c r="B30" s="202" t="s">
        <v>1511</v>
      </c>
      <c r="C30" s="227">
        <f>ROUND(F30/(1+'数据-取费表'!C42),4)</f>
        <v>5.2400000000000002E-2</v>
      </c>
      <c r="D30" s="228" t="s">
        <v>1506</v>
      </c>
      <c r="E30" s="233"/>
      <c r="F30" s="229">
        <f>'数据-取费表'!B41</f>
        <v>5.5000000000000007E-2</v>
      </c>
      <c r="G30" s="226" t="s">
        <v>1512</v>
      </c>
    </row>
    <row r="31" spans="1:7" ht="16.5" customHeight="1">
      <c r="A31" s="201">
        <v>1</v>
      </c>
      <c r="B31" s="202" t="s">
        <v>1513</v>
      </c>
      <c r="C31" s="203">
        <f ca="1">ROUND((C5+C19+C20+C22+C27)/(1-C21-D22-D27-C30),0)</f>
        <v>4731085</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45129830</v>
      </c>
      <c r="D33" s="224"/>
      <c r="E33" s="204"/>
      <c r="F33" s="233"/>
      <c r="G33" s="226"/>
    </row>
    <row r="34" spans="1:7" s="250" customFormat="1" ht="13.5" customHeight="1">
      <c r="A34" s="734" t="s">
        <v>346</v>
      </c>
      <c r="B34" s="207" t="s">
        <v>1517</v>
      </c>
      <c r="C34" s="212">
        <f ca="1">ROUND(IF(B1="",SUMPRODUCT('数据-取费表'!K6:K14,'数据-取费表'!L6:L14),INDIRECT("'数据-取费表'!l"&amp;$G$1)*INDIRECT("'数据-取费表'!k"&amp;$G$1)+'数据-取费表'!L14*INDIRECT("'数据-取费表'!S"&amp;$G$1)),0)</f>
        <v>41786880</v>
      </c>
      <c r="D34" s="209"/>
      <c r="E34" s="212"/>
      <c r="F34" s="249"/>
      <c r="G34" s="211"/>
    </row>
    <row r="35" spans="1:7" ht="13.5" customHeight="1">
      <c r="A35" s="734" t="s">
        <v>351</v>
      </c>
      <c r="B35" s="207" t="s">
        <v>1519</v>
      </c>
      <c r="C35" s="212">
        <f ca="1">ROUND(C34*F35,0)</f>
        <v>2089344</v>
      </c>
      <c r="D35" s="212"/>
      <c r="E35" s="212"/>
      <c r="F35" s="251">
        <f>'数据-取费表'!B33</f>
        <v>0.05</v>
      </c>
      <c r="G35" s="211" t="s">
        <v>1520</v>
      </c>
    </row>
    <row r="36" spans="1:7" ht="24">
      <c r="A36" s="734"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4" t="s">
        <v>353</v>
      </c>
      <c r="B37" s="207" t="s">
        <v>1523</v>
      </c>
      <c r="C37" s="241">
        <f ca="1">ROUND(E37*D37,0)</f>
        <v>0</v>
      </c>
      <c r="D37" s="209">
        <f ca="1">D19</f>
        <v>10446.719999999999</v>
      </c>
      <c r="E37" s="241">
        <f>'数据-取费表'!B35</f>
        <v>0</v>
      </c>
      <c r="F37" s="251"/>
      <c r="G37" s="253"/>
    </row>
    <row r="38" spans="1:7" ht="13.5" customHeight="1">
      <c r="A38" s="734" t="s">
        <v>354</v>
      </c>
      <c r="B38" s="207" t="s">
        <v>1525</v>
      </c>
      <c r="C38" s="212">
        <f ca="1">ROUND(C34*F38,0)</f>
        <v>1253606</v>
      </c>
      <c r="D38" s="212"/>
      <c r="E38" s="212"/>
      <c r="F38" s="251">
        <f>'数据-取费表'!B36</f>
        <v>0.03</v>
      </c>
      <c r="G38" s="211" t="s">
        <v>1520</v>
      </c>
    </row>
    <row r="39" spans="1:7" s="206" customFormat="1" ht="13.5" customHeight="1">
      <c r="A39" s="247" t="s">
        <v>1526</v>
      </c>
      <c r="B39" s="202" t="s">
        <v>1527</v>
      </c>
      <c r="C39" s="224">
        <f ca="1">ROUND(C33*F20,0)</f>
        <v>1353895</v>
      </c>
      <c r="D39" s="224"/>
      <c r="E39" s="224"/>
      <c r="F39" s="225">
        <f>F20</f>
        <v>0.03</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1440996</v>
      </c>
      <c r="D41" s="227">
        <f ca="1">C44</f>
        <v>5.9999999999999995E-4</v>
      </c>
      <c r="E41" s="228" t="s">
        <v>1531</v>
      </c>
      <c r="F41" s="229">
        <f ca="1">F22</f>
        <v>3.1E-2</v>
      </c>
      <c r="G41" s="226" t="str">
        <f>IF('数据-取费表'!B22&lt;=1,"单利计息","复利计息")</f>
        <v>复利计息</v>
      </c>
    </row>
    <row r="42" spans="1:7" ht="13.5" customHeight="1">
      <c r="A42" s="734" t="s">
        <v>346</v>
      </c>
      <c r="B42" s="207" t="s">
        <v>1535</v>
      </c>
      <c r="C42" s="230">
        <f ca="1">ROUND(IF('数据-取费表'!B22&lt;=1,C33*F22*'数据-取费表'!B20/2,C33*(POWER((1+F22),'数据-取费表'!B20/2)-1)),0)</f>
        <v>1399025</v>
      </c>
      <c r="D42" s="230"/>
      <c r="E42" s="230"/>
      <c r="F42" s="231"/>
      <c r="G42" s="3376" t="s">
        <v>1583</v>
      </c>
    </row>
    <row r="43" spans="1:7" ht="13.5" customHeight="1">
      <c r="A43" s="734" t="s">
        <v>347</v>
      </c>
      <c r="B43" s="207" t="s">
        <v>1537</v>
      </c>
      <c r="C43" s="230">
        <f ca="1">ROUND(IF('数据-取费表'!B22&lt;=1,C39*F22*'数据-取费表'!B20/2,C39*(POWER((1+F22),'数据-取费表'!B20/2)-1)),0)</f>
        <v>41971</v>
      </c>
      <c r="D43" s="230"/>
      <c r="E43" s="230"/>
      <c r="F43" s="231"/>
      <c r="G43" s="3377"/>
    </row>
    <row r="44" spans="1:7" ht="13.5" customHeight="1">
      <c r="A44" s="734" t="s">
        <v>348</v>
      </c>
      <c r="B44" s="207" t="s">
        <v>1538</v>
      </c>
      <c r="C44" s="230">
        <f ca="1">ROUND(IF('数据-取费表'!B22&lt;=1,C40*F22*'数据-取费表'!B20/2,C40*(POWER((1+F22),'数据-取费表'!B20/2)-1)),4)</f>
        <v>5.9999999999999995E-4</v>
      </c>
      <c r="D44" s="230"/>
      <c r="E44" s="230"/>
      <c r="F44" s="231"/>
      <c r="G44" s="3378"/>
    </row>
    <row r="45" spans="1:7" s="206" customFormat="1" ht="13.5" customHeight="1">
      <c r="A45" s="247" t="s">
        <v>1539</v>
      </c>
      <c r="B45" s="236" t="s">
        <v>1505</v>
      </c>
      <c r="C45" s="237">
        <f ca="1">C46</f>
        <v>4648373</v>
      </c>
      <c r="D45" s="227">
        <f ca="1">C47</f>
        <v>2E-3</v>
      </c>
      <c r="E45" s="228" t="s">
        <v>1531</v>
      </c>
      <c r="F45" s="238">
        <f ca="1">F27</f>
        <v>0.1</v>
      </c>
      <c r="G45" s="239" t="s">
        <v>1540</v>
      </c>
    </row>
    <row r="46" spans="1:7" s="206" customFormat="1" ht="13.5" customHeight="1">
      <c r="A46" s="734" t="s">
        <v>346</v>
      </c>
      <c r="B46" s="240" t="s">
        <v>1541</v>
      </c>
      <c r="C46" s="241">
        <f ca="1">ROUND((C33+C39)*F27,0)</f>
        <v>4648373</v>
      </c>
      <c r="D46" s="255"/>
      <c r="E46" s="228"/>
      <c r="F46" s="238"/>
      <c r="G46" s="239"/>
    </row>
    <row r="47" spans="1:7" s="206" customFormat="1" ht="13.5" customHeight="1">
      <c r="A47" s="734" t="s">
        <v>347</v>
      </c>
      <c r="B47" s="240" t="s">
        <v>1542</v>
      </c>
      <c r="C47" s="230">
        <f ca="1">ROUND(C40*F27,4)</f>
        <v>2E-3</v>
      </c>
      <c r="D47" s="255"/>
      <c r="E47" s="228"/>
      <c r="F47" s="238"/>
      <c r="G47" s="239"/>
    </row>
    <row r="48" spans="1:7" s="206" customFormat="1" ht="13.5" customHeight="1">
      <c r="A48" s="247" t="s">
        <v>1504</v>
      </c>
      <c r="B48" s="202" t="s">
        <v>1543</v>
      </c>
      <c r="C48" s="254">
        <f>ROUND(F30/(1+'数据-取费表'!C42),4)</f>
        <v>5.2400000000000002E-2</v>
      </c>
      <c r="D48" s="228" t="s">
        <v>1531</v>
      </c>
      <c r="E48" s="224"/>
      <c r="F48" s="229">
        <f>F30</f>
        <v>5.5000000000000007E-2</v>
      </c>
      <c r="G48" s="226" t="s">
        <v>1544</v>
      </c>
    </row>
    <row r="49" spans="1:7" ht="16.5" customHeight="1">
      <c r="A49" s="247" t="s">
        <v>1510</v>
      </c>
      <c r="B49" s="202" t="s">
        <v>1584</v>
      </c>
      <c r="C49" s="224">
        <f ca="1">ROUND((C33+C39+C41+C45)/(1-C40-D41-D45-C48),0)</f>
        <v>56835777</v>
      </c>
      <c r="D49" s="224"/>
      <c r="E49" s="224"/>
      <c r="F49" s="256"/>
      <c r="G49" s="226" t="s">
        <v>1546</v>
      </c>
    </row>
    <row r="50" spans="1:7" s="250" customFormat="1">
      <c r="A50" s="247" t="s">
        <v>1547</v>
      </c>
      <c r="B50" s="202" t="s">
        <v>1548</v>
      </c>
      <c r="C50" s="224"/>
      <c r="D50" s="224"/>
      <c r="E50" s="224"/>
      <c r="F50" s="256">
        <f>IF('数据-取费表'!B24=0,'数据-取费表'!N16,1)</f>
        <v>0.66</v>
      </c>
      <c r="G50" s="239"/>
    </row>
    <row r="51" spans="1:7" ht="16.5" customHeight="1">
      <c r="A51" s="247" t="s">
        <v>1550</v>
      </c>
      <c r="B51" s="202" t="s">
        <v>1585</v>
      </c>
      <c r="C51" s="224">
        <f ca="1">ROUND(C49*F50,0)</f>
        <v>37511613</v>
      </c>
      <c r="D51" s="224"/>
      <c r="E51" s="224"/>
      <c r="F51" s="256"/>
      <c r="G51" s="226" t="s">
        <v>1552</v>
      </c>
    </row>
    <row r="52" spans="1:7" s="200" customFormat="1" ht="16.5" thickBot="1">
      <c r="A52" s="257" t="s">
        <v>1553</v>
      </c>
      <c r="B52" s="258"/>
      <c r="C52" s="259">
        <f ca="1">C31+C51</f>
        <v>42242698</v>
      </c>
      <c r="D52" s="258"/>
      <c r="E52" s="258"/>
      <c r="F52" s="258"/>
      <c r="G52" s="260"/>
    </row>
    <row r="55" spans="1:7" ht="15">
      <c r="B55" s="262" t="s">
        <v>1554</v>
      </c>
      <c r="C55" s="263"/>
    </row>
    <row r="56" spans="1:7">
      <c r="B56" s="265" t="s">
        <v>796</v>
      </c>
      <c r="C56" s="267">
        <f ca="1">1-C57</f>
        <v>0.11199999999999999</v>
      </c>
    </row>
    <row r="57" spans="1:7">
      <c r="B57" s="265" t="s">
        <v>797</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9" zoomScale="90" zoomScaleNormal="60" zoomScaleSheetLayoutView="90" workbookViewId="0">
      <selection activeCell="C76" sqref="C7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f>F65</f>
        <v>7421</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f>ROUND(IF(D3="",B2*10000/'数据-汇总表'!E3,B2*10000/D3),0)</f>
        <v>7104</v>
      </c>
      <c r="C3" s="195" t="s">
        <v>1861</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398" t="s">
        <v>1767</v>
      </c>
      <c r="Q4" s="3399"/>
      <c r="R4" s="3404" t="s">
        <v>1763</v>
      </c>
      <c r="S4" s="3405"/>
      <c r="T4" s="3404" t="s">
        <v>1764</v>
      </c>
      <c r="U4" s="3405"/>
      <c r="V4" s="3391" t="s">
        <v>1765</v>
      </c>
      <c r="W4" s="3391"/>
      <c r="X4" s="1265"/>
      <c r="Y4" s="3404" t="s">
        <v>1767</v>
      </c>
      <c r="Z4" s="3405"/>
      <c r="AA4" s="3392" t="s">
        <v>1763</v>
      </c>
      <c r="AB4" s="3393" t="s">
        <v>1764</v>
      </c>
      <c r="AC4" s="3392" t="s">
        <v>1765</v>
      </c>
    </row>
    <row r="5" spans="1:29" ht="97.5" customHeight="1">
      <c r="A5" s="348"/>
      <c r="B5" s="349"/>
      <c r="C5" s="3412" t="s">
        <v>1665</v>
      </c>
      <c r="D5" s="3413"/>
      <c r="E5" s="3419" t="str">
        <f>商业土地案例!A7</f>
        <v>北京城市副中心1202街区FZX-1202-0074地块 F3其他类多功能用地国有建设用地使用权挂牌出让</v>
      </c>
      <c r="F5" s="3420"/>
      <c r="G5" s="3412" t="str">
        <f>商业土地案例!A10</f>
        <v>北京市顺义区天竺旧村改造土地一级开发项目SY00-2801-0149地块B4综合性商业金融服务用地</v>
      </c>
      <c r="H5" s="3413"/>
      <c r="I5" s="3412" t="str">
        <f>商业土地案例!A16</f>
        <v>北京城市副中心0201街区玉桥家园中心FZX-0201-0096、0102地块F3其他类多功能用地国有建设用地使用权出让公告</v>
      </c>
      <c r="J5" s="3413"/>
      <c r="K5" s="537"/>
      <c r="L5" s="2485"/>
      <c r="M5" s="2486"/>
      <c r="N5" s="2486"/>
      <c r="O5" s="2486"/>
      <c r="P5" s="3400"/>
      <c r="Q5" s="3401"/>
      <c r="R5" s="3406"/>
      <c r="S5" s="3407"/>
      <c r="T5" s="3406"/>
      <c r="U5" s="3407"/>
      <c r="V5" s="3391"/>
      <c r="W5" s="3391"/>
      <c r="X5" s="1265"/>
      <c r="Y5" s="3406"/>
      <c r="Z5" s="3407"/>
      <c r="AA5" s="3393"/>
      <c r="AB5" s="3393"/>
      <c r="AC5" s="3393"/>
    </row>
    <row r="6" spans="1:29" ht="15.75" thickBot="1">
      <c r="A6" s="350"/>
      <c r="B6" s="351"/>
      <c r="C6" s="3410" t="s">
        <v>1669</v>
      </c>
      <c r="D6" s="3411"/>
      <c r="E6" s="3417" t="str">
        <f>商业土地案例!E7</f>
        <v>京土储挂(通)〔2024〕031号</v>
      </c>
      <c r="F6" s="3418"/>
      <c r="G6" s="3410" t="str">
        <f>商业土地案例!E10</f>
        <v>京土储挂(顺)[2024]024号</v>
      </c>
      <c r="H6" s="3411"/>
      <c r="I6" s="3410" t="str">
        <f>商业土地案例!E16</f>
        <v>京土储挂(通)[2023]042号</v>
      </c>
      <c r="J6" s="3411"/>
      <c r="K6" s="537" t="s">
        <v>1670</v>
      </c>
      <c r="L6" s="2485"/>
      <c r="M6" s="2486"/>
      <c r="N6" s="2486"/>
      <c r="O6" s="2486"/>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t="str">
        <f>商业土地案例!P7</f>
        <v>2024-09-11</v>
      </c>
      <c r="F7" s="357">
        <f>SUMIF(69:69,YEAR(E7)&amp;"-"&amp;INT((MONTH(E7)+2)/3),70:70)</f>
        <v>100</v>
      </c>
      <c r="G7" s="1822" t="str">
        <f>商业土地案例!P10</f>
        <v>2024-07-22</v>
      </c>
      <c r="H7" s="355">
        <f>SUMIF(69:69,YEAR(G7)&amp;"-"&amp;INT((MONTH(G7)+2)/3),70:70)</f>
        <v>100</v>
      </c>
      <c r="I7" s="1822" t="str">
        <f>商业土地案例!P16</f>
        <v>2023-09-20</v>
      </c>
      <c r="J7" s="355">
        <f>SUMIF(69:69,YEAR(I7)&amp;"-"&amp;INT((MONTH(I7)+2)/3),70:70)</f>
        <v>100</v>
      </c>
      <c r="K7" s="38"/>
      <c r="L7" s="2487"/>
      <c r="M7" s="2439"/>
      <c r="N7" s="2439"/>
      <c r="O7" s="2439"/>
      <c r="P7" s="3414" t="s">
        <v>1672</v>
      </c>
      <c r="Q7" s="3416"/>
      <c r="R7" s="664" t="s">
        <v>14</v>
      </c>
      <c r="S7" s="665">
        <f t="shared" ref="S7:S15" si="0">F7</f>
        <v>100</v>
      </c>
      <c r="T7" s="664" t="s">
        <v>14</v>
      </c>
      <c r="U7" s="665">
        <f t="shared" ref="U7:U15" si="1">H7</f>
        <v>100</v>
      </c>
      <c r="V7" s="664" t="s">
        <v>14</v>
      </c>
      <c r="W7" s="665">
        <f t="shared" ref="W7:W15" si="2">J7</f>
        <v>100</v>
      </c>
      <c r="X7" s="666"/>
      <c r="Y7" s="3414" t="s">
        <v>1672</v>
      </c>
      <c r="Z7" s="3415"/>
      <c r="AA7" s="50">
        <f>D7/F7</f>
        <v>1</v>
      </c>
      <c r="AB7" s="50">
        <f>D7/H7</f>
        <v>1</v>
      </c>
      <c r="AC7" s="50">
        <f>D7/J7</f>
        <v>1</v>
      </c>
    </row>
    <row r="8" spans="1:29" s="102" customFormat="1" ht="15.75" thickBot="1">
      <c r="A8" s="352" t="s">
        <v>1673</v>
      </c>
      <c r="B8" s="353"/>
      <c r="C8" s="358" t="s">
        <v>1674</v>
      </c>
      <c r="D8" s="355">
        <v>100</v>
      </c>
      <c r="E8" s="358" t="s">
        <v>1674</v>
      </c>
      <c r="F8" s="357">
        <f>SUMIF(72:72,E8,73:73)-SUMIF(72:72,C8,73:73)+100</f>
        <v>100</v>
      </c>
      <c r="G8" s="358" t="s">
        <v>1674</v>
      </c>
      <c r="H8" s="355">
        <f>SUMIF(72:72,G8,73:73)-SUMIF(72:72,C8,73:73)+100</f>
        <v>100</v>
      </c>
      <c r="I8" s="358" t="s">
        <v>1674</v>
      </c>
      <c r="J8" s="355">
        <f>SUMIF(72:72,I8,73:73)-SUMIF(72:72,C8,73:73)+100</f>
        <v>100</v>
      </c>
      <c r="K8" s="38"/>
      <c r="L8" s="2487"/>
      <c r="M8" s="2439"/>
      <c r="N8" s="2439"/>
      <c r="O8" s="2439"/>
      <c r="P8" s="3414" t="s">
        <v>1675</v>
      </c>
      <c r="Q8" s="3415"/>
      <c r="R8" s="664" t="s">
        <v>14</v>
      </c>
      <c r="S8" s="665">
        <f t="shared" si="0"/>
        <v>100</v>
      </c>
      <c r="T8" s="664" t="s">
        <v>14</v>
      </c>
      <c r="U8" s="665">
        <f t="shared" si="1"/>
        <v>100</v>
      </c>
      <c r="V8" s="664" t="s">
        <v>14</v>
      </c>
      <c r="W8" s="665">
        <f t="shared" si="2"/>
        <v>100</v>
      </c>
      <c r="X8" s="666"/>
      <c r="Y8" s="3414" t="s">
        <v>1675</v>
      </c>
      <c r="Z8" s="3415"/>
      <c r="AA8" s="50">
        <f t="shared" ref="AA8:AA45" si="3">D8/F8</f>
        <v>1</v>
      </c>
      <c r="AB8" s="50">
        <f t="shared" ref="AB8:AB45" si="4">D8/H8</f>
        <v>1</v>
      </c>
      <c r="AC8" s="50">
        <f t="shared" ref="AC8:AC45" si="5">D8/J8</f>
        <v>1</v>
      </c>
    </row>
    <row r="9" spans="1:29" s="102" customFormat="1" ht="28.5">
      <c r="A9" s="359" t="s">
        <v>1676</v>
      </c>
      <c r="B9" s="60" t="s">
        <v>1677</v>
      </c>
      <c r="C9" s="1825" t="s">
        <v>3463</v>
      </c>
      <c r="D9" s="59">
        <v>100</v>
      </c>
      <c r="E9" s="1825" t="s">
        <v>3463</v>
      </c>
      <c r="F9" s="59">
        <f>SUMIF(74:74,E9,75:75)-SUMIF(74:74,C9,75:75)+100</f>
        <v>100</v>
      </c>
      <c r="G9" s="1825" t="s">
        <v>3518</v>
      </c>
      <c r="H9" s="59">
        <f>SUMIF(74:74,G9,75:75)-SUMIF(74:74,C9,75:75)+100</f>
        <v>105</v>
      </c>
      <c r="I9" s="1825" t="s">
        <v>3463</v>
      </c>
      <c r="J9" s="59">
        <f>SUMIF(74:74,I9,75:75)-SUMIF(74:74,C9,75:75)+100</f>
        <v>100</v>
      </c>
      <c r="K9" s="38"/>
      <c r="L9" s="2487"/>
      <c r="M9" s="2439"/>
      <c r="N9" s="2439"/>
      <c r="O9" s="2539"/>
      <c r="P9" s="3386" t="s">
        <v>1678</v>
      </c>
      <c r="Q9" s="530" t="str">
        <f t="shared" ref="Q9:Q15" si="6">B9</f>
        <v>用途</v>
      </c>
      <c r="R9" s="664" t="s">
        <v>14</v>
      </c>
      <c r="S9" s="665">
        <f t="shared" si="0"/>
        <v>100</v>
      </c>
      <c r="T9" s="664" t="s">
        <v>14</v>
      </c>
      <c r="U9" s="665">
        <f t="shared" si="1"/>
        <v>105</v>
      </c>
      <c r="V9" s="664" t="s">
        <v>14</v>
      </c>
      <c r="W9" s="665">
        <f t="shared" si="2"/>
        <v>100</v>
      </c>
      <c r="X9" s="666"/>
      <c r="Y9" s="3283" t="s">
        <v>1679</v>
      </c>
      <c r="Z9" s="50" t="str">
        <f t="shared" ref="Z9:Z15" si="7">Q9</f>
        <v>用途</v>
      </c>
      <c r="AA9" s="50">
        <f t="shared" si="3"/>
        <v>1</v>
      </c>
      <c r="AB9" s="50">
        <f t="shared" si="4"/>
        <v>0.95238095238095233</v>
      </c>
      <c r="AC9" s="50">
        <f t="shared" si="5"/>
        <v>1</v>
      </c>
    </row>
    <row r="10" spans="1:29" s="366" customFormat="1" ht="27">
      <c r="A10" s="363"/>
      <c r="B10" s="364" t="s">
        <v>1680</v>
      </c>
      <c r="C10" s="371"/>
      <c r="D10" s="119">
        <v>100</v>
      </c>
      <c r="E10" s="403"/>
      <c r="F10" s="119">
        <f>ROUND(100/'数据-取费表'!G16,0)</f>
        <v>127</v>
      </c>
      <c r="G10" s="402"/>
      <c r="H10" s="119">
        <f>ROUND(100/'数据-取费表'!G16,0)</f>
        <v>127</v>
      </c>
      <c r="I10" s="402"/>
      <c r="J10" s="119">
        <f>ROUND(100/'数据-取费表'!G16,0)</f>
        <v>127</v>
      </c>
      <c r="K10" s="592"/>
      <c r="L10" s="2488"/>
      <c r="M10" s="2489"/>
      <c r="N10" s="2489"/>
      <c r="O10" s="2540"/>
      <c r="P10" s="3386"/>
      <c r="Q10" s="530" t="str">
        <f t="shared" si="6"/>
        <v>土地使用年限（年）</v>
      </c>
      <c r="R10" s="664" t="s">
        <v>14</v>
      </c>
      <c r="S10" s="665">
        <f t="shared" si="0"/>
        <v>127</v>
      </c>
      <c r="T10" s="664" t="s">
        <v>14</v>
      </c>
      <c r="U10" s="665">
        <f t="shared" si="1"/>
        <v>127</v>
      </c>
      <c r="V10" s="664" t="s">
        <v>14</v>
      </c>
      <c r="W10" s="665">
        <f t="shared" si="2"/>
        <v>127</v>
      </c>
      <c r="X10" s="666"/>
      <c r="Y10" s="3283"/>
      <c r="Z10" s="50" t="str">
        <f t="shared" si="7"/>
        <v>土地使用年限（年）</v>
      </c>
      <c r="AA10" s="50">
        <f t="shared" si="3"/>
        <v>0.78740157480314965</v>
      </c>
      <c r="AB10" s="50">
        <f t="shared" si="4"/>
        <v>0.78740157480314965</v>
      </c>
      <c r="AC10" s="50">
        <f t="shared" si="5"/>
        <v>0.78740157480314965</v>
      </c>
    </row>
    <row r="11" spans="1:29" ht="15">
      <c r="A11" s="367"/>
      <c r="B11" s="364" t="s">
        <v>1681</v>
      </c>
      <c r="C11" s="368">
        <v>2.5</v>
      </c>
      <c r="D11" s="119">
        <v>100</v>
      </c>
      <c r="E11" s="368">
        <v>2.2000000000000002</v>
      </c>
      <c r="F11" s="119">
        <f>LOOKUP(E11,79:79,80:80)-LOOKUP(C11,79:79,80:80)+100</f>
        <v>100</v>
      </c>
      <c r="G11" s="369">
        <v>1.5</v>
      </c>
      <c r="H11" s="119">
        <f>LOOKUP(G11,79:79,80:80)-LOOKUP(C11,79:79,80:80)+100</f>
        <v>103</v>
      </c>
      <c r="I11" s="368">
        <v>1.56</v>
      </c>
      <c r="J11" s="119">
        <f>LOOKUP(I11,79:79,80:80)-LOOKUP(C11,79:79,80:80)+100</f>
        <v>103</v>
      </c>
      <c r="K11" s="593">
        <v>3</v>
      </c>
      <c r="L11" s="2490"/>
      <c r="M11" s="2486"/>
      <c r="N11" s="2486"/>
      <c r="O11" s="2541"/>
      <c r="P11" s="3386"/>
      <c r="Q11" s="530" t="str">
        <f t="shared" si="6"/>
        <v>容积率</v>
      </c>
      <c r="R11" s="664" t="s">
        <v>14</v>
      </c>
      <c r="S11" s="665">
        <f t="shared" si="0"/>
        <v>100</v>
      </c>
      <c r="T11" s="664" t="s">
        <v>14</v>
      </c>
      <c r="U11" s="665">
        <f t="shared" si="1"/>
        <v>103</v>
      </c>
      <c r="V11" s="664" t="s">
        <v>14</v>
      </c>
      <c r="W11" s="665">
        <f t="shared" si="2"/>
        <v>103</v>
      </c>
      <c r="X11" s="666"/>
      <c r="Y11" s="3283"/>
      <c r="Z11" s="50" t="str">
        <f t="shared" si="7"/>
        <v>容积率</v>
      </c>
      <c r="AA11" s="50">
        <f t="shared" si="3"/>
        <v>1</v>
      </c>
      <c r="AB11" s="50">
        <f t="shared" si="4"/>
        <v>0.970873786407767</v>
      </c>
      <c r="AC11" s="50">
        <f t="shared" si="5"/>
        <v>0.970873786407767</v>
      </c>
    </row>
    <row r="12" spans="1:29" s="102" customFormat="1" ht="15">
      <c r="A12" s="370"/>
      <c r="B12" s="3188" t="s">
        <v>3753</v>
      </c>
      <c r="C12" s="3189" t="s">
        <v>3820</v>
      </c>
      <c r="D12" s="372">
        <v>100</v>
      </c>
      <c r="E12" s="3183" t="s">
        <v>3754</v>
      </c>
      <c r="F12" s="119">
        <f>SUMIF(81:81,E12,82:82)-SUMIF(81:81,C12,82:82)+100</f>
        <v>90</v>
      </c>
      <c r="G12" s="3184" t="s">
        <v>3754</v>
      </c>
      <c r="H12" s="119">
        <f>SUMIF(81:81,G12,82:82)-SUMIF(81:81,C12,82:82)+100</f>
        <v>90</v>
      </c>
      <c r="I12" s="3183" t="s">
        <v>3754</v>
      </c>
      <c r="J12" s="119">
        <f>SUMIF(81:81,I12,82:82)-SUMIF(81:81,C12,82:82)+100</f>
        <v>90</v>
      </c>
      <c r="K12" s="592"/>
      <c r="L12" s="2487"/>
      <c r="M12" s="2439"/>
      <c r="N12" s="2439"/>
      <c r="O12" s="2539"/>
      <c r="P12" s="3386"/>
      <c r="Q12" s="530" t="str">
        <f t="shared" si="6"/>
        <v>自持</v>
      </c>
      <c r="R12" s="664" t="s">
        <v>14</v>
      </c>
      <c r="S12" s="665">
        <f t="shared" si="0"/>
        <v>90</v>
      </c>
      <c r="T12" s="664" t="s">
        <v>14</v>
      </c>
      <c r="U12" s="665">
        <f t="shared" si="1"/>
        <v>90</v>
      </c>
      <c r="V12" s="664" t="s">
        <v>14</v>
      </c>
      <c r="W12" s="665">
        <f t="shared" si="2"/>
        <v>90</v>
      </c>
      <c r="X12" s="666"/>
      <c r="Y12" s="3283"/>
      <c r="Z12" s="50" t="str">
        <f t="shared" si="7"/>
        <v>自持</v>
      </c>
      <c r="AA12" s="50">
        <f>D12/F12</f>
        <v>1.1111111111111112</v>
      </c>
      <c r="AB12" s="50">
        <f>D12/H12</f>
        <v>1.1111111111111112</v>
      </c>
      <c r="AC12" s="50">
        <f>D12/J12</f>
        <v>1.1111111111111112</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D14/F14</f>
        <v>1</v>
      </c>
      <c r="AB14" s="50">
        <f>D14/H14</f>
        <v>1</v>
      </c>
      <c r="AC14" s="50">
        <f>D14/J14</f>
        <v>1</v>
      </c>
    </row>
    <row r="15" spans="1:29" ht="99.75" hidden="1">
      <c r="A15" s="379" t="s">
        <v>1682</v>
      </c>
      <c r="B15" s="58" t="s">
        <v>1251</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7" t="s">
        <v>1683</v>
      </c>
      <c r="Q15" s="1263" t="str">
        <f t="shared" si="6"/>
        <v>居住社区成熟度</v>
      </c>
      <c r="R15" s="667" t="s">
        <v>14</v>
      </c>
      <c r="S15" s="668">
        <f t="shared" si="0"/>
        <v>100</v>
      </c>
      <c r="T15" s="667" t="s">
        <v>14</v>
      </c>
      <c r="U15" s="668">
        <f t="shared" si="1"/>
        <v>100</v>
      </c>
      <c r="V15" s="667" t="s">
        <v>14</v>
      </c>
      <c r="W15" s="668">
        <f t="shared" si="2"/>
        <v>100</v>
      </c>
      <c r="X15" s="1265"/>
      <c r="Y15" s="3387" t="s">
        <v>1683</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71.25">
      <c r="A17" s="367"/>
      <c r="B17" s="390" t="s">
        <v>1769</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2</v>
      </c>
      <c r="L17" s="2491"/>
      <c r="M17" s="2486"/>
      <c r="N17" s="2486"/>
      <c r="O17" s="2541"/>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t="s">
        <v>3741</v>
      </c>
      <c r="D18" s="389"/>
      <c r="E18" s="1755" t="s">
        <v>3741</v>
      </c>
      <c r="F18" s="389"/>
      <c r="G18" s="1755" t="s">
        <v>3741</v>
      </c>
      <c r="H18" s="387"/>
      <c r="I18" s="1755" t="s">
        <v>3741</v>
      </c>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71.25" hidden="1">
      <c r="A19" s="367"/>
      <c r="B19" s="390" t="s">
        <v>1803</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1"/>
      <c r="M20" s="2486"/>
      <c r="N20" s="2486"/>
      <c r="O20" s="2541"/>
      <c r="P20" s="3388"/>
      <c r="Q20" s="1263"/>
      <c r="R20" s="667"/>
      <c r="S20" s="668"/>
      <c r="T20" s="667"/>
      <c r="U20" s="668"/>
      <c r="V20" s="667"/>
      <c r="W20" s="668"/>
      <c r="X20" s="1265"/>
      <c r="Y20" s="3388"/>
      <c r="Z20" s="1264"/>
      <c r="AA20" s="1264">
        <v>1</v>
      </c>
      <c r="AB20" s="1264">
        <v>1</v>
      </c>
      <c r="AC20" s="1264">
        <v>1</v>
      </c>
    </row>
    <row r="21" spans="1:29" ht="85.5">
      <c r="A21" s="367"/>
      <c r="B21" s="390" t="s">
        <v>1825</v>
      </c>
      <c r="C21" s="1754" t="str">
        <f>估价对象房地状况!C18</f>
        <v>估价对象周边道路状况、公共交通通达情况、停车便捷程度，综合评价交通便捷度较好</v>
      </c>
      <c r="D21" s="389">
        <v>100</v>
      </c>
      <c r="E21" s="391"/>
      <c r="F21" s="394">
        <f>SUMIF(93:93,E22,94:94)-SUMIF(93:93,C22,94:94)+100</f>
        <v>104</v>
      </c>
      <c r="G21" s="391"/>
      <c r="H21" s="389">
        <f>SUMIF(93:93,G22,94:94)-SUMIF(93:93,C22,94:94)+100</f>
        <v>100</v>
      </c>
      <c r="I21" s="393"/>
      <c r="J21" s="389">
        <f>SUMIF(93:93,I22,94:94)-SUMIF(93:93,C22,94:94)+100</f>
        <v>104</v>
      </c>
      <c r="K21" s="593">
        <v>2</v>
      </c>
      <c r="L21" s="2491"/>
      <c r="M21" s="2486"/>
      <c r="N21" s="2486"/>
      <c r="O21" s="2541"/>
      <c r="P21" s="3388"/>
      <c r="Q21" s="1263" t="str">
        <f>B21</f>
        <v>交通便捷度</v>
      </c>
      <c r="R21" s="667" t="s">
        <v>14</v>
      </c>
      <c r="S21" s="668">
        <f>F21</f>
        <v>104</v>
      </c>
      <c r="T21" s="667" t="s">
        <v>14</v>
      </c>
      <c r="U21" s="668">
        <f>H21</f>
        <v>100</v>
      </c>
      <c r="V21" s="667" t="s">
        <v>14</v>
      </c>
      <c r="W21" s="668">
        <f>J21</f>
        <v>104</v>
      </c>
      <c r="X21" s="1265"/>
      <c r="Y21" s="3388"/>
      <c r="Z21" s="1264" t="str">
        <f>Q21</f>
        <v>交通便捷度</v>
      </c>
      <c r="AA21" s="1264">
        <f t="shared" si="3"/>
        <v>0.96153846153846156</v>
      </c>
      <c r="AB21" s="1264">
        <f t="shared" si="4"/>
        <v>1</v>
      </c>
      <c r="AC21" s="1264">
        <f t="shared" si="5"/>
        <v>0.96153846153846156</v>
      </c>
    </row>
    <row r="22" spans="1:29" ht="15">
      <c r="A22" s="367"/>
      <c r="B22" s="586"/>
      <c r="C22" s="386" t="s">
        <v>3741</v>
      </c>
      <c r="D22" s="389"/>
      <c r="E22" s="386" t="s">
        <v>3739</v>
      </c>
      <c r="F22" s="387"/>
      <c r="G22" s="386" t="s">
        <v>3741</v>
      </c>
      <c r="H22" s="387"/>
      <c r="I22" s="386" t="s">
        <v>3739</v>
      </c>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ht="15">
      <c r="A23" s="348"/>
      <c r="B23" s="390" t="s">
        <v>1862</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1"/>
      <c r="M23" s="2486"/>
      <c r="N23" s="2486"/>
      <c r="O23" s="2541"/>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t="s">
        <v>3739</v>
      </c>
      <c r="D24" s="387"/>
      <c r="E24" s="542" t="s">
        <v>3739</v>
      </c>
      <c r="F24" s="387"/>
      <c r="G24" s="542" t="s">
        <v>3739</v>
      </c>
      <c r="H24" s="387"/>
      <c r="I24" s="542" t="s">
        <v>3739</v>
      </c>
      <c r="J24" s="387"/>
      <c r="K24" s="698"/>
      <c r="L24" s="2491"/>
      <c r="M24" s="2486"/>
      <c r="N24" s="2486"/>
      <c r="O24" s="2541"/>
      <c r="P24" s="3388"/>
      <c r="Q24" s="1263"/>
      <c r="R24" s="667"/>
      <c r="S24" s="668"/>
      <c r="T24" s="667"/>
      <c r="U24" s="668"/>
      <c r="V24" s="667"/>
      <c r="W24" s="668"/>
      <c r="X24" s="1265"/>
      <c r="Y24" s="3388"/>
      <c r="Z24" s="1264"/>
      <c r="AA24" s="1264"/>
      <c r="AB24" s="1264"/>
      <c r="AC24" s="1264"/>
    </row>
    <row r="25" spans="1:29" ht="57">
      <c r="A25" s="348"/>
      <c r="B25" s="586" t="s">
        <v>1863</v>
      </c>
      <c r="C25" s="1806" t="str">
        <f>估价对象房地状况!C20</f>
        <v>区域自然环境：；人文环境；综合评价环境状况一般</v>
      </c>
      <c r="D25" s="389">
        <v>100</v>
      </c>
      <c r="E25" s="391"/>
      <c r="F25" s="389">
        <f>SUMIF(97:97,E26,98:98)-SUMIF(97:97,C26,98:98)+100</f>
        <v>103</v>
      </c>
      <c r="G25" s="391"/>
      <c r="H25" s="389">
        <f>SUMIF(97:97,G26,98:98)-SUMIF(97:97,C26,98:98)+100</f>
        <v>103</v>
      </c>
      <c r="I25" s="393"/>
      <c r="J25" s="389">
        <f>SUMIF(97:97,I26,98:98)-SUMIF(97:97,C26,98:98)+100</f>
        <v>103</v>
      </c>
      <c r="K25" s="593">
        <v>3</v>
      </c>
      <c r="L25" s="2491"/>
      <c r="M25" s="2486"/>
      <c r="N25" s="2486"/>
      <c r="O25" s="2541"/>
      <c r="P25" s="3388"/>
      <c r="Q25" s="1263" t="str">
        <f t="shared" si="8"/>
        <v>自然及人文环境状况</v>
      </c>
      <c r="R25" s="667" t="s">
        <v>14</v>
      </c>
      <c r="S25" s="668">
        <f>F25</f>
        <v>103</v>
      </c>
      <c r="T25" s="667" t="s">
        <v>14</v>
      </c>
      <c r="U25" s="668">
        <f>H25</f>
        <v>103</v>
      </c>
      <c r="V25" s="667" t="s">
        <v>14</v>
      </c>
      <c r="W25" s="668">
        <f>J25</f>
        <v>103</v>
      </c>
      <c r="X25" s="1265"/>
      <c r="Y25" s="3388"/>
      <c r="Z25" s="1264" t="str">
        <f>Q25</f>
        <v>自然及人文环境状况</v>
      </c>
      <c r="AA25" s="1264">
        <f t="shared" si="3"/>
        <v>0.970873786407767</v>
      </c>
      <c r="AB25" s="1264">
        <f t="shared" si="4"/>
        <v>0.970873786407767</v>
      </c>
      <c r="AC25" s="1264">
        <f t="shared" si="5"/>
        <v>0.970873786407767</v>
      </c>
    </row>
    <row r="26" spans="1:29" ht="15">
      <c r="A26" s="348"/>
      <c r="B26" s="395"/>
      <c r="C26" s="386" t="s">
        <v>3741</v>
      </c>
      <c r="D26" s="387"/>
      <c r="E26" s="386" t="s">
        <v>3811</v>
      </c>
      <c r="F26" s="387"/>
      <c r="G26" s="386" t="s">
        <v>3811</v>
      </c>
      <c r="H26" s="387"/>
      <c r="I26" s="386" t="s">
        <v>3811</v>
      </c>
      <c r="J26" s="387"/>
      <c r="K26" s="592"/>
      <c r="L26" s="2491"/>
      <c r="M26" s="2486"/>
      <c r="N26" s="2486"/>
      <c r="O26" s="2541"/>
      <c r="P26" s="3388"/>
      <c r="Q26" s="1263"/>
      <c r="R26" s="667"/>
      <c r="S26" s="668"/>
      <c r="T26" s="667"/>
      <c r="U26" s="668"/>
      <c r="V26" s="667"/>
      <c r="W26" s="668"/>
      <c r="X26" s="1265"/>
      <c r="Y26" s="3388"/>
      <c r="Z26" s="1264"/>
      <c r="AA26" s="1264">
        <v>1</v>
      </c>
      <c r="AB26" s="1264">
        <v>1</v>
      </c>
      <c r="AC26" s="1264">
        <v>1</v>
      </c>
    </row>
    <row r="27" spans="1:29" s="102" customFormat="1" ht="42.75">
      <c r="A27" s="443"/>
      <c r="B27" s="586" t="s">
        <v>1770</v>
      </c>
      <c r="C27" s="1754" t="str">
        <f>估价对象房地状况!C21</f>
        <v>估价对象所在区域公共配套设施齐备情况</v>
      </c>
      <c r="D27" s="389">
        <v>100</v>
      </c>
      <c r="E27" s="391"/>
      <c r="F27" s="389">
        <f>SUMIF(99:99,E28,100:100)-SUMIF(99:99,C28,100:100)+100</f>
        <v>103</v>
      </c>
      <c r="G27" s="391"/>
      <c r="H27" s="389">
        <f>SUMIF(99:99,G28,100:100)-SUMIF(99:99,C28,100:100)+100</f>
        <v>103</v>
      </c>
      <c r="I27" s="393"/>
      <c r="J27" s="389">
        <f>SUMIF(99:99,I28,100:100)-SUMIF(99:99,C28,100:100)+100</f>
        <v>106</v>
      </c>
      <c r="K27" s="593">
        <v>3</v>
      </c>
      <c r="L27" s="2487"/>
      <c r="M27" s="2439"/>
      <c r="N27" s="2439"/>
      <c r="O27" s="2539"/>
      <c r="P27" s="3388"/>
      <c r="Q27" s="530" t="str">
        <f t="shared" si="8"/>
        <v>公共配套设施</v>
      </c>
      <c r="R27" s="664" t="s">
        <v>14</v>
      </c>
      <c r="S27" s="665">
        <f>F27</f>
        <v>103</v>
      </c>
      <c r="T27" s="664" t="s">
        <v>14</v>
      </c>
      <c r="U27" s="665">
        <f>H27</f>
        <v>103</v>
      </c>
      <c r="V27" s="664" t="s">
        <v>14</v>
      </c>
      <c r="W27" s="665">
        <f>J27</f>
        <v>106</v>
      </c>
      <c r="X27" s="666"/>
      <c r="Y27" s="3388"/>
      <c r="Z27" s="50" t="str">
        <f>Q27</f>
        <v>公共配套设施</v>
      </c>
      <c r="AA27" s="1264">
        <f>D27/F27</f>
        <v>0.970873786407767</v>
      </c>
      <c r="AB27" s="1264">
        <f>D27/H27</f>
        <v>0.970873786407767</v>
      </c>
      <c r="AC27" s="1264">
        <f>D27/J27</f>
        <v>0.94339622641509435</v>
      </c>
    </row>
    <row r="28" spans="1:29" s="102" customFormat="1" ht="15">
      <c r="A28" s="443"/>
      <c r="B28" s="395"/>
      <c r="C28" s="1826" t="s">
        <v>3741</v>
      </c>
      <c r="D28" s="387"/>
      <c r="E28" s="1826" t="s">
        <v>3811</v>
      </c>
      <c r="F28" s="387"/>
      <c r="G28" s="1826" t="s">
        <v>3811</v>
      </c>
      <c r="H28" s="387"/>
      <c r="I28" s="1826" t="s">
        <v>3739</v>
      </c>
      <c r="J28" s="387"/>
      <c r="K28" s="592"/>
      <c r="L28" s="2487"/>
      <c r="M28" s="2439"/>
      <c r="N28" s="2439"/>
      <c r="O28" s="2539"/>
      <c r="P28" s="3388"/>
      <c r="Q28" s="530"/>
      <c r="R28" s="664"/>
      <c r="S28" s="665"/>
      <c r="T28" s="664"/>
      <c r="U28" s="665"/>
      <c r="V28" s="664"/>
      <c r="W28" s="665"/>
      <c r="X28" s="666"/>
      <c r="Y28" s="3388"/>
      <c r="Z28" s="50"/>
      <c r="AA28" s="1264">
        <v>1</v>
      </c>
      <c r="AB28" s="1264">
        <v>1</v>
      </c>
      <c r="AC28" s="1264">
        <v>1</v>
      </c>
    </row>
    <row r="29" spans="1:29" s="102" customFormat="1" ht="28.5">
      <c r="A29" s="443"/>
      <c r="B29" s="586" t="s">
        <v>1771</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t="s">
        <v>3733</v>
      </c>
      <c r="D30" s="387"/>
      <c r="E30" s="1826" t="s">
        <v>3733</v>
      </c>
      <c r="F30" s="387"/>
      <c r="G30" s="1826" t="s">
        <v>3733</v>
      </c>
      <c r="H30" s="387"/>
      <c r="I30" s="1826" t="s">
        <v>3733</v>
      </c>
      <c r="J30" s="387"/>
      <c r="K30" s="592"/>
      <c r="L30" s="2487"/>
      <c r="M30" s="2439"/>
      <c r="N30" s="2439"/>
      <c r="O30" s="2539"/>
      <c r="P30" s="3388"/>
      <c r="Q30" s="530"/>
      <c r="R30" s="664"/>
      <c r="S30" s="665"/>
      <c r="T30" s="664"/>
      <c r="U30" s="665"/>
      <c r="V30" s="664"/>
      <c r="W30" s="665"/>
      <c r="X30" s="666"/>
      <c r="Y30" s="3388"/>
      <c r="Z30" s="50"/>
      <c r="AA30" s="1264">
        <v>1</v>
      </c>
      <c r="AB30" s="1264">
        <v>1</v>
      </c>
      <c r="AC30" s="1264">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8"/>
      <c r="Q33" s="1263"/>
      <c r="R33" s="667"/>
      <c r="S33" s="668"/>
      <c r="T33" s="667"/>
      <c r="U33" s="668"/>
      <c r="V33" s="667"/>
      <c r="W33" s="668"/>
      <c r="X33" s="1265"/>
      <c r="Y33" s="3388"/>
      <c r="Z33" s="1264"/>
      <c r="AA33" s="1264">
        <v>1</v>
      </c>
      <c r="AB33" s="1264">
        <v>1</v>
      </c>
      <c r="AC33" s="1264">
        <v>1</v>
      </c>
    </row>
    <row r="34" spans="1:29" ht="15">
      <c r="A34" s="367"/>
      <c r="B34" s="364" t="s">
        <v>1864</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89" t="s">
        <v>1688</v>
      </c>
      <c r="Q36" s="1263">
        <f t="shared" si="8"/>
        <v>111</v>
      </c>
      <c r="R36" s="667" t="s">
        <v>14</v>
      </c>
      <c r="S36" s="668">
        <f t="shared" si="10"/>
        <v>100</v>
      </c>
      <c r="T36" s="667" t="s">
        <v>14</v>
      </c>
      <c r="U36" s="668">
        <f t="shared" si="11"/>
        <v>100</v>
      </c>
      <c r="V36" s="667" t="s">
        <v>14</v>
      </c>
      <c r="W36" s="668">
        <f t="shared" si="12"/>
        <v>100</v>
      </c>
      <c r="X36" s="1265"/>
      <c r="Y36" s="3390" t="s">
        <v>1688</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
      <c r="A38" s="409" t="s">
        <v>1686</v>
      </c>
      <c r="B38" s="395" t="s">
        <v>1865</v>
      </c>
      <c r="C38" s="599">
        <v>7662.49</v>
      </c>
      <c r="D38" s="405">
        <v>100</v>
      </c>
      <c r="E38" s="599">
        <f>商业土地案例!F7</f>
        <v>41129.769999999997</v>
      </c>
      <c r="F38" s="405">
        <f>LOOKUP(E38,116:116,117:117)-LOOKUP(C38,116:116,117:117)+100</f>
        <v>102</v>
      </c>
      <c r="G38" s="599">
        <f>商业土地案例!F10</f>
        <v>21154.74</v>
      </c>
      <c r="H38" s="405">
        <f>LOOKUP(G38,116:116,117:117)-LOOKUP(C38,116:116,117:117)+100</f>
        <v>101</v>
      </c>
      <c r="I38" s="462">
        <f>商业土地案例!F16</f>
        <v>9632.01</v>
      </c>
      <c r="J38" s="405">
        <f>LOOKUP(I38,116:116,117:117)-LOOKUP(C38,116:116,117:117)+100</f>
        <v>100</v>
      </c>
      <c r="K38" s="539"/>
      <c r="L38" s="2491"/>
      <c r="M38" s="2486"/>
      <c r="N38" s="2486"/>
      <c r="O38" s="2541"/>
      <c r="P38" s="3390"/>
      <c r="Q38" s="1263" t="str">
        <f>B38</f>
        <v>宗地面积</v>
      </c>
      <c r="R38" s="667" t="s">
        <v>14</v>
      </c>
      <c r="S38" s="668">
        <f t="shared" si="10"/>
        <v>102</v>
      </c>
      <c r="T38" s="667" t="s">
        <v>14</v>
      </c>
      <c r="U38" s="668">
        <f t="shared" si="11"/>
        <v>101</v>
      </c>
      <c r="V38" s="667" t="s">
        <v>14</v>
      </c>
      <c r="W38" s="668">
        <f t="shared" si="12"/>
        <v>100</v>
      </c>
      <c r="X38" s="1265"/>
      <c r="Y38" s="3390"/>
      <c r="Z38" s="1264" t="str">
        <f t="shared" si="13"/>
        <v>宗地面积</v>
      </c>
      <c r="AA38" s="1264">
        <f t="shared" si="3"/>
        <v>0.98039215686274506</v>
      </c>
      <c r="AB38" s="1264">
        <f t="shared" si="4"/>
        <v>0.99009900990099009</v>
      </c>
      <c r="AC38" s="1264">
        <f t="shared" si="5"/>
        <v>1</v>
      </c>
    </row>
    <row r="39" spans="1:29" ht="15">
      <c r="A39" s="409"/>
      <c r="B39" s="364" t="s">
        <v>1866</v>
      </c>
      <c r="C39" s="1760" t="s">
        <v>3727</v>
      </c>
      <c r="D39" s="374">
        <v>100</v>
      </c>
      <c r="E39" s="1760" t="s">
        <v>3727</v>
      </c>
      <c r="F39" s="374">
        <f>SUMIF(118:118,E39,119:119)-SUMIF(118:118,C39,119:119)+100</f>
        <v>100</v>
      </c>
      <c r="G39" s="1760" t="s">
        <v>3756</v>
      </c>
      <c r="H39" s="374">
        <f>SUMIF(118:118,G39,119:119)-SUMIF(118:118,C39,119:119)+100</f>
        <v>101</v>
      </c>
      <c r="I39" s="1760" t="s">
        <v>3757</v>
      </c>
      <c r="J39" s="374">
        <f>SUMIF(118:118,I39,119:119)-SUMIF(118:118,C39,119:119)+100</f>
        <v>99</v>
      </c>
      <c r="K39" s="538">
        <v>1</v>
      </c>
      <c r="L39" s="2491"/>
      <c r="M39" s="2486"/>
      <c r="N39" s="2486"/>
      <c r="O39" s="2541"/>
      <c r="P39" s="3390"/>
      <c r="Q39" s="1263" t="str">
        <f t="shared" ref="Q39:Q45" si="14">B39</f>
        <v>宗地形状</v>
      </c>
      <c r="R39" s="667" t="s">
        <v>14</v>
      </c>
      <c r="S39" s="668">
        <f t="shared" si="10"/>
        <v>100</v>
      </c>
      <c r="T39" s="667" t="s">
        <v>14</v>
      </c>
      <c r="U39" s="668">
        <f t="shared" si="11"/>
        <v>101</v>
      </c>
      <c r="V39" s="667" t="s">
        <v>14</v>
      </c>
      <c r="W39" s="668">
        <f t="shared" si="12"/>
        <v>99</v>
      </c>
      <c r="X39" s="1265"/>
      <c r="Y39" s="3390"/>
      <c r="Z39" s="1264" t="str">
        <f t="shared" si="13"/>
        <v>宗地形状</v>
      </c>
      <c r="AA39" s="1264">
        <f t="shared" si="3"/>
        <v>1</v>
      </c>
      <c r="AB39" s="1264">
        <f t="shared" si="4"/>
        <v>0.99009900990099009</v>
      </c>
      <c r="AC39" s="1264">
        <f t="shared" si="5"/>
        <v>1.0101010101010102</v>
      </c>
    </row>
    <row r="40" spans="1:29" ht="15" hidden="1">
      <c r="A40" s="409"/>
      <c r="B40" s="364" t="s">
        <v>1867</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v>1</v>
      </c>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1868</v>
      </c>
      <c r="C41" s="1828" t="s">
        <v>3735</v>
      </c>
      <c r="D41" s="119">
        <v>100</v>
      </c>
      <c r="E41" s="1828" t="s">
        <v>3751</v>
      </c>
      <c r="F41" s="374">
        <f>SUMIF(122:122,E41,123:123)-SUMIF(122:122,C41,123:123)+100</f>
        <v>97</v>
      </c>
      <c r="G41" s="1828" t="s">
        <v>3755</v>
      </c>
      <c r="H41" s="374">
        <f>SUMIF(122:122,G41,123:123)-SUMIF(122:122,C41,123:123)+100</f>
        <v>99</v>
      </c>
      <c r="I41" s="1828" t="s">
        <v>3751</v>
      </c>
      <c r="J41" s="374">
        <f>SUMIF(122:122,I41,123:123)-SUMIF(122:122,C41,123:123)+100</f>
        <v>97</v>
      </c>
      <c r="K41" s="538">
        <v>1</v>
      </c>
      <c r="L41" s="2487"/>
      <c r="M41" s="2439"/>
      <c r="N41" s="2439"/>
      <c r="O41" s="2539"/>
      <c r="P41" s="3390"/>
      <c r="Q41" s="1263" t="str">
        <f t="shared" si="14"/>
        <v>宗地开发程度</v>
      </c>
      <c r="R41" s="664" t="s">
        <v>14</v>
      </c>
      <c r="S41" s="665">
        <f t="shared" si="10"/>
        <v>97</v>
      </c>
      <c r="T41" s="664" t="s">
        <v>14</v>
      </c>
      <c r="U41" s="665">
        <f t="shared" si="11"/>
        <v>99</v>
      </c>
      <c r="V41" s="664" t="s">
        <v>14</v>
      </c>
      <c r="W41" s="665">
        <f t="shared" si="12"/>
        <v>97</v>
      </c>
      <c r="X41" s="666"/>
      <c r="Y41" s="3390"/>
      <c r="Z41" s="50" t="str">
        <f t="shared" si="13"/>
        <v>宗地开发程度</v>
      </c>
      <c r="AA41" s="50">
        <f t="shared" si="3"/>
        <v>1.0309278350515463</v>
      </c>
      <c r="AB41" s="50">
        <f t="shared" si="4"/>
        <v>1.0101010101010102</v>
      </c>
      <c r="AC41" s="50">
        <f t="shared" si="5"/>
        <v>1.0309278350515463</v>
      </c>
    </row>
    <row r="42" spans="1:29" ht="15">
      <c r="A42" s="409"/>
      <c r="B42" s="364" t="s">
        <v>1869</v>
      </c>
      <c r="C42" s="1760" t="s">
        <v>3739</v>
      </c>
      <c r="D42" s="374">
        <v>100</v>
      </c>
      <c r="E42" s="1760" t="s">
        <v>3739</v>
      </c>
      <c r="F42" s="374">
        <f>SUMIF(124:124,E42,125:125)-SUMIF(124:124,C42,125:125)+100</f>
        <v>100</v>
      </c>
      <c r="G42" s="1760" t="s">
        <v>3739</v>
      </c>
      <c r="H42" s="374">
        <f>SUMIF(124:124,G42,125:125)-SUMIF(124:124,C42,125:125)+100</f>
        <v>100</v>
      </c>
      <c r="I42" s="1760" t="s">
        <v>3739</v>
      </c>
      <c r="J42" s="374">
        <f>SUMIF(124:124,I42,125:125)-SUMIF(124:124,C42,125:125)+100</f>
        <v>100</v>
      </c>
      <c r="K42" s="538">
        <v>1</v>
      </c>
      <c r="L42" s="2491"/>
      <c r="M42" s="2486"/>
      <c r="N42" s="2486"/>
      <c r="O42" s="2541"/>
      <c r="P42" s="3390" t="s">
        <v>1688</v>
      </c>
      <c r="Q42" s="1263" t="str">
        <f t="shared" si="14"/>
        <v>工程地质条件</v>
      </c>
      <c r="R42" s="667" t="s">
        <v>14</v>
      </c>
      <c r="S42" s="668">
        <f t="shared" si="10"/>
        <v>100</v>
      </c>
      <c r="T42" s="667" t="s">
        <v>14</v>
      </c>
      <c r="U42" s="668">
        <f t="shared" si="11"/>
        <v>100</v>
      </c>
      <c r="V42" s="667" t="s">
        <v>14</v>
      </c>
      <c r="W42" s="668">
        <f t="shared" si="12"/>
        <v>100</v>
      </c>
      <c r="X42" s="1265"/>
      <c r="Y42" s="3390" t="s">
        <v>1688</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5">
      <c r="A46" s="416" t="s">
        <v>1836</v>
      </c>
      <c r="B46" s="1830" t="s">
        <v>1870</v>
      </c>
      <c r="C46" s="602" t="s">
        <v>0</v>
      </c>
      <c r="D46" s="418"/>
      <c r="E46" s="419">
        <f>商业土地案例!W7</f>
        <v>8941</v>
      </c>
      <c r="F46" s="420"/>
      <c r="G46" s="421">
        <f>商业土地案例!W10</f>
        <v>9328</v>
      </c>
      <c r="H46" s="422"/>
      <c r="I46" s="419">
        <f>商业土地案例!W16</f>
        <v>9118</v>
      </c>
      <c r="J46" s="422"/>
      <c r="K46" s="674"/>
      <c r="L46" s="2493"/>
      <c r="M46" s="2486"/>
      <c r="N46" s="2486"/>
      <c r="O46" s="2486"/>
      <c r="P46" s="3386" t="str">
        <f>A46</f>
        <v>成交单价</v>
      </c>
      <c r="Q46" s="3386"/>
      <c r="R46" s="3391">
        <f>E46</f>
        <v>8941</v>
      </c>
      <c r="S46" s="3391"/>
      <c r="T46" s="3391">
        <f>G46</f>
        <v>9328</v>
      </c>
      <c r="U46" s="3391"/>
      <c r="V46" s="3391">
        <f>I46</f>
        <v>9118</v>
      </c>
      <c r="W46" s="3391"/>
      <c r="X46" s="385"/>
      <c r="Y46" s="673"/>
      <c r="Z46" s="385"/>
      <c r="AA46" s="385"/>
      <c r="AB46" s="385"/>
      <c r="AC46" s="385"/>
    </row>
    <row r="47" spans="1:29" ht="15.75" thickBot="1">
      <c r="A47" s="423" t="s">
        <v>1785</v>
      </c>
      <c r="B47" s="603"/>
      <c r="C47" s="426">
        <f>R48</f>
        <v>7104</v>
      </c>
      <c r="D47" s="2141" t="s">
        <v>2128</v>
      </c>
      <c r="E47" s="426">
        <f>R47</f>
        <v>7166</v>
      </c>
      <c r="F47" s="2142"/>
      <c r="G47" s="425">
        <f>T47</f>
        <v>7043</v>
      </c>
      <c r="H47" s="2142"/>
      <c r="I47" s="426">
        <f>V47</f>
        <v>7103</v>
      </c>
      <c r="J47" s="2142"/>
      <c r="K47" s="2144">
        <f>F47+H47+J47</f>
        <v>0</v>
      </c>
      <c r="L47" s="2493"/>
      <c r="M47" s="2486"/>
      <c r="N47" s="2486"/>
      <c r="O47" s="2486"/>
      <c r="P47" s="3386" t="str">
        <f>A47</f>
        <v>比较价值（元/平方米）</v>
      </c>
      <c r="Q47" s="3386"/>
      <c r="R47" s="3379">
        <f>ROUND(PRODUCT(R46,AA7:AA45),0)</f>
        <v>7166</v>
      </c>
      <c r="S47" s="3379"/>
      <c r="T47" s="3379">
        <f>ROUND(PRODUCT(T46,AB7:AB45),0)</f>
        <v>7043</v>
      </c>
      <c r="U47" s="3379"/>
      <c r="V47" s="3379">
        <f>ROUND(PRODUCT(V46,AC7:AC45),0)</f>
        <v>7103</v>
      </c>
      <c r="W47" s="3379"/>
      <c r="X47" s="385"/>
      <c r="Y47" s="385"/>
      <c r="Z47" s="385"/>
      <c r="AA47" s="385"/>
      <c r="AB47" s="385"/>
      <c r="AC47" s="385"/>
    </row>
    <row r="48" spans="1:29" ht="15.75" thickBot="1">
      <c r="A48" s="427" t="s">
        <v>1871</v>
      </c>
      <c r="B48" s="428"/>
      <c r="C48" s="429">
        <f>R48</f>
        <v>7104</v>
      </c>
      <c r="D48" s="429"/>
      <c r="E48" s="429"/>
      <c r="F48" s="429"/>
      <c r="G48" s="429"/>
      <c r="H48" s="429"/>
      <c r="I48" s="429"/>
      <c r="J48" s="429"/>
      <c r="K48" s="675"/>
      <c r="L48" s="2493"/>
      <c r="M48" s="2486"/>
      <c r="N48" s="2486"/>
      <c r="O48" s="2486"/>
      <c r="P48" s="3380" t="str">
        <f>A48</f>
        <v>估价对象XX用房的比较价值（楼面单价，元/平方米）</v>
      </c>
      <c r="Q48" s="3381"/>
      <c r="R48" s="3382">
        <f>ROUND(IF(D47="简单平均",AVERAGE(R47:W47),R47*F47+T47*H47+V47*J47),0)</f>
        <v>7104</v>
      </c>
      <c r="S48" s="3382"/>
      <c r="T48" s="3382"/>
      <c r="U48" s="3382"/>
      <c r="V48" s="3382"/>
      <c r="W48" s="338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1787</v>
      </c>
      <c r="D51" s="433"/>
      <c r="E51" s="434">
        <f>IF(E46&lt;E47,E47/E46-1,E46/E47-1)</f>
        <v>0.24769746022885841</v>
      </c>
      <c r="F51" s="435" t="str">
        <f>IF(OR(E51&gt;=0.3,E51&lt;=-0.3),"超过30%","")</f>
        <v/>
      </c>
      <c r="G51" s="434">
        <f>IF(G46&lt;G47,G47/G46-1,G46/G47-1)</f>
        <v>0.32443560982535846</v>
      </c>
      <c r="H51" s="435" t="str">
        <f>IF(OR(G51&gt;=0.3,G51&lt;=-0.3),"超过30%","")</f>
        <v>超过30%</v>
      </c>
      <c r="I51" s="434">
        <f>IF(I46&lt;I47,I47/I46-1,I46/I47-1)</f>
        <v>0.2836829508658314</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1788</v>
      </c>
      <c r="D52" s="436"/>
      <c r="E52" s="434">
        <f>IF(E47&lt;G47,G47/E47-1,E47/G47-1)</f>
        <v>1.7464148800227175E-2</v>
      </c>
      <c r="F52" s="435" t="str">
        <f>IF(OR(E52&gt;=0.2,E52&lt;=-0.2),"超过20%","")</f>
        <v/>
      </c>
      <c r="G52" s="434">
        <f>IF(G47&lt;I47,I47/G47-1,G47/I47-1)</f>
        <v>8.5190969757205082E-3</v>
      </c>
      <c r="H52" s="435" t="str">
        <f>IF(OR(G52&gt;=0.2,G52&lt;=-0.2),"超过20%","")</f>
        <v/>
      </c>
      <c r="I52" s="434">
        <f>IF(I47&lt;E47,E47/I47-1,I47/E47-1)</f>
        <v>8.8694917640432802E-3</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1789</v>
      </c>
      <c r="D53" s="436"/>
      <c r="E53" s="434">
        <f>IF(E46&lt;G46,G46/E46-1,E46/G46-1)</f>
        <v>4.3283749021362228E-2</v>
      </c>
      <c r="F53" s="435" t="str">
        <f>IF(OR(E53&gt;=0.3,E53&lt;=-0.3),"超过30%","")</f>
        <v/>
      </c>
      <c r="G53" s="434">
        <f>IF(G46&lt;I46,I46/G46-1,G46/I46-1)</f>
        <v>2.3031366527747288E-2</v>
      </c>
      <c r="H53" s="435" t="str">
        <f>IF(OR(G53&gt;=0.3,G53&lt;=-0.3),"超过30%","")</f>
        <v/>
      </c>
      <c r="I53" s="434">
        <f>IF(I46&lt;E46,E46/I46-1,I46/E46-1)</f>
        <v>1.9796443350855508E-2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1872</v>
      </c>
      <c r="B55" s="605" t="s">
        <v>1873</v>
      </c>
      <c r="C55" s="1831" t="s">
        <v>1874</v>
      </c>
      <c r="D55" s="1832" t="s">
        <v>1875</v>
      </c>
      <c r="E55" s="606" t="s">
        <v>1876</v>
      </c>
      <c r="F55" s="837" t="s">
        <v>1877</v>
      </c>
      <c r="G55" s="3383" t="s">
        <v>1878</v>
      </c>
      <c r="H55" s="3384"/>
      <c r="I55" s="127" t="s">
        <v>1879</v>
      </c>
      <c r="J55" s="1833">
        <f>项目基本情况!F35</f>
        <v>0</v>
      </c>
      <c r="K55" s="1834" t="s">
        <v>1880</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1881</v>
      </c>
      <c r="B56" s="609">
        <f>C48</f>
        <v>7104</v>
      </c>
      <c r="C56" s="610">
        <v>1</v>
      </c>
      <c r="D56" s="890">
        <v>1</v>
      </c>
      <c r="E56" s="610">
        <f>'数据-汇总表'!E8+'数据-汇总表'!E9</f>
        <v>10446.719999999999</v>
      </c>
      <c r="F56" s="833">
        <f t="shared" ref="F56:F64" si="15">ROUND(B56*E56/10000,0)</f>
        <v>7421</v>
      </c>
      <c r="G56" s="3385"/>
      <c r="H56" s="338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1882</v>
      </c>
      <c r="B57" s="210">
        <f>ROUND($C$48*C57*D57,0)</f>
        <v>888</v>
      </c>
      <c r="C57" s="163">
        <f t="shared" ref="C57:C64" si="16">IF($C$55="北京市系数",I57,J57)</f>
        <v>0.5</v>
      </c>
      <c r="D57" s="891">
        <v>0.25</v>
      </c>
      <c r="E57" s="614"/>
      <c r="F57" s="833">
        <f t="shared" si="15"/>
        <v>0</v>
      </c>
      <c r="G57" s="2749" t="s">
        <v>1883</v>
      </c>
      <c r="H57" s="834" t="str">
        <f>项目基本情况!B37</f>
        <v>十级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1884</v>
      </c>
      <c r="B58" s="210">
        <f t="shared" ref="B58:B64" si="17">ROUND($C$48*C58*D58,0)</f>
        <v>355</v>
      </c>
      <c r="C58" s="163">
        <f t="shared" si="16"/>
        <v>0.2</v>
      </c>
      <c r="D58" s="891">
        <v>0.25</v>
      </c>
      <c r="E58" s="614"/>
      <c r="F58" s="833">
        <f t="shared" si="15"/>
        <v>0</v>
      </c>
      <c r="G58" s="2750"/>
      <c r="H58" s="834" t="str">
        <f>项目基本情况!B37</f>
        <v>十级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1885</v>
      </c>
      <c r="B59" s="210">
        <f t="shared" si="17"/>
        <v>355</v>
      </c>
      <c r="C59" s="163">
        <f t="shared" si="16"/>
        <v>0.2</v>
      </c>
      <c r="D59" s="891">
        <v>0.25</v>
      </c>
      <c r="E59" s="614"/>
      <c r="F59" s="833">
        <f t="shared" si="15"/>
        <v>0</v>
      </c>
      <c r="G59" s="2750"/>
      <c r="H59" s="834" t="str">
        <f>项目基本情况!B37</f>
        <v>十级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1886</v>
      </c>
      <c r="B60" s="210">
        <f t="shared" si="17"/>
        <v>0</v>
      </c>
      <c r="C60" s="163">
        <f t="shared" si="16"/>
        <v>0</v>
      </c>
      <c r="D60" s="891">
        <v>0.25</v>
      </c>
      <c r="E60" s="209">
        <f>'数据-汇总表'!E11</f>
        <v>0</v>
      </c>
      <c r="F60" s="833">
        <f t="shared" si="15"/>
        <v>0</v>
      </c>
      <c r="G60" s="1835" t="s">
        <v>1887</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1888</v>
      </c>
      <c r="B61" s="210">
        <f t="shared" si="17"/>
        <v>0</v>
      </c>
      <c r="C61" s="163">
        <f t="shared" si="16"/>
        <v>0</v>
      </c>
      <c r="D61" s="891">
        <v>0.25</v>
      </c>
      <c r="E61" s="209">
        <f>'数据-汇总表'!E12</f>
        <v>0</v>
      </c>
      <c r="F61" s="833">
        <f t="shared" si="15"/>
        <v>0</v>
      </c>
      <c r="G61" s="839" t="s">
        <v>3745</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1890</v>
      </c>
      <c r="B62" s="210">
        <f t="shared" si="17"/>
        <v>0</v>
      </c>
      <c r="C62" s="163">
        <f t="shared" si="16"/>
        <v>0</v>
      </c>
      <c r="D62" s="891">
        <v>0.25</v>
      </c>
      <c r="E62" s="209">
        <f>'数据-汇总表'!E13</f>
        <v>0</v>
      </c>
      <c r="F62" s="833">
        <f t="shared" si="15"/>
        <v>0</v>
      </c>
      <c r="G62" s="839" t="s">
        <v>1891</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1892</v>
      </c>
      <c r="B63" s="210">
        <f t="shared" si="17"/>
        <v>178</v>
      </c>
      <c r="C63" s="163">
        <f t="shared" si="16"/>
        <v>0.1</v>
      </c>
      <c r="D63" s="891">
        <v>0.25</v>
      </c>
      <c r="E63" s="209">
        <f>'数据-汇总表'!E14</f>
        <v>0</v>
      </c>
      <c r="F63" s="833">
        <f t="shared" si="15"/>
        <v>0</v>
      </c>
      <c r="G63" s="1835" t="s">
        <v>1883</v>
      </c>
      <c r="H63" s="834" t="str">
        <f>项目基本情况!B37</f>
        <v>十级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1893</v>
      </c>
      <c r="B64" s="210">
        <f t="shared" si="17"/>
        <v>0</v>
      </c>
      <c r="C64" s="163">
        <f t="shared" si="16"/>
        <v>0</v>
      </c>
      <c r="D64" s="891">
        <v>0.25</v>
      </c>
      <c r="E64" s="209">
        <f>'数据-汇总表'!E15</f>
        <v>0</v>
      </c>
      <c r="F64" s="833">
        <f t="shared" si="15"/>
        <v>0</v>
      </c>
      <c r="G64" s="1836" t="s">
        <v>1887</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1894</v>
      </c>
      <c r="B65" s="616" t="s">
        <v>22</v>
      </c>
      <c r="C65" s="616" t="s">
        <v>23</v>
      </c>
      <c r="D65" s="616" t="s">
        <v>392</v>
      </c>
      <c r="E65" s="616">
        <f>IF(B46="楼面地价",SUM(E56:E64),'数据-汇总表'!D3)</f>
        <v>10446.719999999999</v>
      </c>
      <c r="F65" s="617">
        <f>IF(B46="楼面地价",SUM(F56:F64),ROUND(C48*E65/10000,0))</f>
        <v>7421</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1790</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1895</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667</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1708</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1673</v>
      </c>
      <c r="B72" s="444"/>
      <c r="C72" s="456" t="s">
        <v>1768</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27.75">
      <c r="A74" s="379" t="s">
        <v>1711</v>
      </c>
      <c r="B74" s="460" t="s">
        <v>1677</v>
      </c>
      <c r="C74" s="3177" t="s">
        <v>3761</v>
      </c>
      <c r="D74" s="462" t="s">
        <v>3759</v>
      </c>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v>105</v>
      </c>
      <c r="D75" s="467">
        <v>100</v>
      </c>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1680</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1681</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v>1</v>
      </c>
      <c r="E79" s="480">
        <v>2</v>
      </c>
      <c r="F79" s="480">
        <v>3</v>
      </c>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自持</v>
      </c>
      <c r="C81" s="3179" t="s">
        <v>3818</v>
      </c>
      <c r="D81" s="3179" t="s">
        <v>3819</v>
      </c>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v>100</v>
      </c>
      <c r="D82" s="467">
        <v>90</v>
      </c>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1682</v>
      </c>
      <c r="B87" s="460" t="s">
        <v>1712</v>
      </c>
      <c r="C87" s="504" t="s">
        <v>1713</v>
      </c>
      <c r="D87" s="504" t="s">
        <v>1714</v>
      </c>
      <c r="E87" s="504" t="s">
        <v>1715</v>
      </c>
      <c r="F87" s="504" t="s">
        <v>1716</v>
      </c>
      <c r="G87" s="504" t="s">
        <v>1717</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1896</v>
      </c>
      <c r="C89" s="509" t="s">
        <v>1713</v>
      </c>
      <c r="D89" s="509" t="s">
        <v>1714</v>
      </c>
      <c r="E89" s="509" t="s">
        <v>1715</v>
      </c>
      <c r="F89" s="509" t="s">
        <v>1716</v>
      </c>
      <c r="G89" s="509" t="s">
        <v>1717</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98</v>
      </c>
      <c r="E90" s="475">
        <f>D90-$K17</f>
        <v>96</v>
      </c>
      <c r="F90" s="475">
        <f>E90-$K17</f>
        <v>94</v>
      </c>
      <c r="G90" s="475">
        <f>F90-$K17</f>
        <v>92</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1813</v>
      </c>
      <c r="C91" s="509" t="s">
        <v>1713</v>
      </c>
      <c r="D91" s="509" t="s">
        <v>1714</v>
      </c>
      <c r="E91" s="509" t="s">
        <v>1715</v>
      </c>
      <c r="F91" s="509" t="s">
        <v>1716</v>
      </c>
      <c r="G91" s="509" t="s">
        <v>1717</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1718</v>
      </c>
      <c r="C93" s="509" t="s">
        <v>1713</v>
      </c>
      <c r="D93" s="509" t="s">
        <v>1714</v>
      </c>
      <c r="E93" s="509" t="s">
        <v>1715</v>
      </c>
      <c r="F93" s="509" t="s">
        <v>1716</v>
      </c>
      <c r="G93" s="509" t="s">
        <v>1717</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98</v>
      </c>
      <c r="E94" s="475">
        <f>D94-$K21</f>
        <v>96</v>
      </c>
      <c r="F94" s="475">
        <f>E94-$K21</f>
        <v>94</v>
      </c>
      <c r="G94" s="475">
        <f>F94-$K21</f>
        <v>92</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1897</v>
      </c>
      <c r="C95" s="509" t="s">
        <v>1713</v>
      </c>
      <c r="D95" s="509" t="s">
        <v>1714</v>
      </c>
      <c r="E95" s="509" t="s">
        <v>1715</v>
      </c>
      <c r="F95" s="509" t="s">
        <v>1716</v>
      </c>
      <c r="G95" s="509" t="s">
        <v>1717</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1898</v>
      </c>
      <c r="C97" s="504" t="s">
        <v>1713</v>
      </c>
      <c r="D97" s="504" t="s">
        <v>1714</v>
      </c>
      <c r="E97" s="504" t="s">
        <v>1715</v>
      </c>
      <c r="F97" s="504" t="s">
        <v>1716</v>
      </c>
      <c r="G97" s="504" t="s">
        <v>1717</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1899</v>
      </c>
      <c r="D103" s="470" t="s">
        <v>1900</v>
      </c>
      <c r="E103" s="470" t="s">
        <v>1901</v>
      </c>
      <c r="F103" s="470" t="s">
        <v>1902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1807</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1864</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28.5">
      <c r="A115" s="379" t="s">
        <v>1686</v>
      </c>
      <c r="B115" s="460" t="s">
        <v>1903</v>
      </c>
      <c r="C115" s="461" t="str">
        <f>C116&amp;"(含)"&amp;"-"&amp;D116</f>
        <v>0(含)-20000</v>
      </c>
      <c r="D115" s="461" t="str">
        <f t="shared" ref="D115:M115" si="25">D116&amp;"(含)"&amp;"-"&amp;E116</f>
        <v>20000(含)-40000</v>
      </c>
      <c r="E115" s="461" t="str">
        <f t="shared" si="25"/>
        <v>40000(含)-60000</v>
      </c>
      <c r="F115" s="461" t="str">
        <f t="shared" si="25"/>
        <v>60000(含)-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v>20000</v>
      </c>
      <c r="E116" s="6">
        <v>40000</v>
      </c>
      <c r="F116" s="6">
        <v>60000</v>
      </c>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v>100</v>
      </c>
      <c r="D117" s="521">
        <v>101</v>
      </c>
      <c r="E117" s="521">
        <v>102</v>
      </c>
      <c r="F117" s="521">
        <v>103</v>
      </c>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1904</v>
      </c>
      <c r="C118" s="3178" t="s">
        <v>3731</v>
      </c>
      <c r="D118" s="3178" t="s">
        <v>3728</v>
      </c>
      <c r="E118" s="3178" t="s">
        <v>3729</v>
      </c>
      <c r="F118" s="3178" t="s">
        <v>3730</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1905</v>
      </c>
      <c r="C120" s="3179" t="s">
        <v>3732</v>
      </c>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1906</v>
      </c>
      <c r="C122" s="3179" t="s">
        <v>3734</v>
      </c>
      <c r="D122" s="3179" t="s">
        <v>3736</v>
      </c>
      <c r="E122" s="3179" t="s">
        <v>3737</v>
      </c>
      <c r="F122" s="3179" t="s">
        <v>3738</v>
      </c>
      <c r="G122" s="3179" t="s">
        <v>3752</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1907</v>
      </c>
      <c r="C124" s="3179" t="s">
        <v>3740</v>
      </c>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topLeftCell="W43" workbookViewId="0">
      <selection activeCell="AI54" sqref="AI54"/>
    </sheetView>
  </sheetViews>
  <sheetFormatPr defaultRowHeight="12"/>
  <cols>
    <col min="1" max="1" width="20" style="2857" customWidth="1"/>
    <col min="2" max="2" width="5.875" style="2857" hidden="1" customWidth="1"/>
    <col min="3" max="3" width="6.5" style="2857" customWidth="1"/>
    <col min="4" max="4" width="10.625" style="2857" hidden="1" customWidth="1"/>
    <col min="5" max="5" width="8.25" style="2857" customWidth="1"/>
    <col min="6" max="6" width="11.125" style="2857" customWidth="1"/>
    <col min="7" max="7" width="10" style="2857" customWidth="1"/>
    <col min="8" max="8" width="8.625" style="2857" customWidth="1"/>
    <col min="9" max="9" width="8.75" style="2857" customWidth="1"/>
    <col min="10" max="10" width="9.125" style="2857" customWidth="1"/>
    <col min="11" max="11" width="10.75" style="2857" customWidth="1"/>
    <col min="12" max="15" width="20" style="2857" hidden="1" customWidth="1"/>
    <col min="16" max="16" width="10.875" style="2857" customWidth="1"/>
    <col min="17" max="18" width="20" style="2857" hidden="1" customWidth="1"/>
    <col min="19" max="19" width="10.75" style="2857" customWidth="1"/>
    <col min="20" max="20" width="9.5" style="2857" customWidth="1"/>
    <col min="21" max="21" width="14.5" style="2857" customWidth="1"/>
    <col min="22" max="22" width="9.875" style="2857" customWidth="1"/>
    <col min="23" max="23" width="10.625" style="2857" customWidth="1"/>
    <col min="24" max="24" width="20" style="2857" hidden="1" customWidth="1"/>
    <col min="25" max="25" width="8.5" style="2857" customWidth="1"/>
    <col min="26" max="28" width="20" style="2857" hidden="1" customWidth="1"/>
    <col min="29" max="29" width="12" style="2857" customWidth="1"/>
    <col min="30" max="30" width="10.375" style="2857" customWidth="1"/>
    <col min="31" max="31" width="9" style="2857" customWidth="1"/>
    <col min="32" max="33" width="10.25" style="2857" bestFit="1" customWidth="1"/>
    <col min="34" max="16384" width="9" style="2857"/>
  </cols>
  <sheetData>
    <row r="1" spans="1:30" s="3175" customFormat="1" ht="24">
      <c r="A1" s="3175" t="s">
        <v>3415</v>
      </c>
      <c r="B1" s="3175" t="s">
        <v>3416</v>
      </c>
      <c r="C1" s="3175" t="s">
        <v>3417</v>
      </c>
      <c r="D1" s="3175" t="s">
        <v>3418</v>
      </c>
      <c r="E1" s="3175" t="s">
        <v>3419</v>
      </c>
      <c r="F1" s="3175" t="s">
        <v>3420</v>
      </c>
      <c r="G1" s="3175" t="s">
        <v>3421</v>
      </c>
      <c r="H1" s="3175" t="s">
        <v>3422</v>
      </c>
      <c r="I1" s="3175" t="s">
        <v>3423</v>
      </c>
      <c r="J1" s="3175" t="s">
        <v>3424</v>
      </c>
      <c r="K1" s="3175" t="s">
        <v>3425</v>
      </c>
      <c r="L1" s="3175" t="s">
        <v>3426</v>
      </c>
      <c r="M1" s="3175" t="s">
        <v>3427</v>
      </c>
      <c r="N1" s="3175" t="s">
        <v>3428</v>
      </c>
      <c r="O1" s="3175" t="s">
        <v>3429</v>
      </c>
      <c r="P1" s="3175" t="s">
        <v>3430</v>
      </c>
      <c r="Q1" s="3175" t="s">
        <v>3724</v>
      </c>
      <c r="R1" s="3175" t="s">
        <v>3431</v>
      </c>
      <c r="S1" s="3175" t="s">
        <v>3432</v>
      </c>
      <c r="T1" s="3175" t="s">
        <v>3433</v>
      </c>
      <c r="U1" s="3175" t="s">
        <v>3434</v>
      </c>
      <c r="V1" s="3175" t="s">
        <v>3435</v>
      </c>
      <c r="W1" s="3175" t="s">
        <v>3436</v>
      </c>
      <c r="X1" s="3175" t="s">
        <v>3437</v>
      </c>
      <c r="Y1" s="3175" t="s">
        <v>3438</v>
      </c>
      <c r="Z1" s="3175" t="s">
        <v>3439</v>
      </c>
      <c r="AA1" s="3175" t="s">
        <v>3440</v>
      </c>
      <c r="AB1" s="3175" t="s">
        <v>3441</v>
      </c>
      <c r="AC1" s="3175" t="s">
        <v>3442</v>
      </c>
      <c r="AD1" s="3175" t="s">
        <v>3443</v>
      </c>
    </row>
    <row r="2" spans="1:30">
      <c r="A2" s="2857" t="s">
        <v>3444</v>
      </c>
      <c r="B2" s="2857" t="s">
        <v>3393</v>
      </c>
      <c r="C2" s="2857" t="s">
        <v>3445</v>
      </c>
      <c r="D2" s="2857" t="s">
        <v>3446</v>
      </c>
      <c r="E2" s="2857" t="s">
        <v>3447</v>
      </c>
      <c r="F2" s="2857">
        <v>54036.49</v>
      </c>
      <c r="G2" s="2857">
        <v>81054.740000000005</v>
      </c>
      <c r="H2" s="2857" t="s">
        <v>3448</v>
      </c>
      <c r="I2" s="2857" t="s">
        <v>3449</v>
      </c>
      <c r="J2" s="2857" t="s">
        <v>3450</v>
      </c>
      <c r="K2" s="2857" t="s">
        <v>3451</v>
      </c>
      <c r="L2" s="2857" t="s">
        <v>3452</v>
      </c>
      <c r="M2" s="2857" t="s">
        <v>3453</v>
      </c>
      <c r="N2" s="2857" t="s">
        <v>3452</v>
      </c>
      <c r="O2" s="2857" t="s">
        <v>3452</v>
      </c>
      <c r="P2" s="2857" t="s">
        <v>3454</v>
      </c>
      <c r="Q2" s="2857" t="s">
        <v>3455</v>
      </c>
      <c r="R2" s="2857" t="s">
        <v>3456</v>
      </c>
      <c r="S2" s="2857" t="s">
        <v>3457</v>
      </c>
      <c r="T2" s="2857">
        <v>56400</v>
      </c>
      <c r="U2" s="2857">
        <v>10437.39</v>
      </c>
      <c r="V2" s="2857">
        <v>695.83</v>
      </c>
      <c r="W2" s="2857">
        <v>6958</v>
      </c>
      <c r="X2" s="2857" t="s">
        <v>3452</v>
      </c>
      <c r="Y2" s="2857">
        <v>0</v>
      </c>
      <c r="Z2" s="2857" t="s">
        <v>3452</v>
      </c>
      <c r="AA2" s="2857" t="s">
        <v>3452</v>
      </c>
      <c r="AB2" s="2857" t="s">
        <v>3452</v>
      </c>
      <c r="AC2" s="2857" t="s">
        <v>3458</v>
      </c>
      <c r="AD2" s="2857" t="s">
        <v>3452</v>
      </c>
    </row>
    <row r="3" spans="1:30">
      <c r="A3" s="2857" t="s">
        <v>3459</v>
      </c>
      <c r="B3" s="2857" t="s">
        <v>3393</v>
      </c>
      <c r="C3" s="2857" t="s">
        <v>3460</v>
      </c>
      <c r="D3" s="2857" t="s">
        <v>3461</v>
      </c>
      <c r="E3" s="2857" t="s">
        <v>3462</v>
      </c>
      <c r="F3" s="2857">
        <v>5369.21</v>
      </c>
      <c r="G3" s="2857">
        <v>12886.11</v>
      </c>
      <c r="H3" s="2857" t="s">
        <v>3448</v>
      </c>
      <c r="I3" s="2857" t="s">
        <v>3463</v>
      </c>
      <c r="J3" s="2857" t="s">
        <v>3464</v>
      </c>
      <c r="K3" s="2857" t="s">
        <v>3465</v>
      </c>
      <c r="L3" s="2857" t="s">
        <v>3452</v>
      </c>
      <c r="M3" s="2857" t="s">
        <v>3453</v>
      </c>
      <c r="N3" s="2857" t="s">
        <v>3452</v>
      </c>
      <c r="O3" s="2857" t="s">
        <v>3452</v>
      </c>
      <c r="P3" s="2857" t="s">
        <v>3466</v>
      </c>
      <c r="Q3" s="2857" t="s">
        <v>3455</v>
      </c>
      <c r="R3" s="2857" t="s">
        <v>3456</v>
      </c>
      <c r="S3" s="2857" t="s">
        <v>3467</v>
      </c>
      <c r="T3" s="2857">
        <v>17220</v>
      </c>
      <c r="U3" s="2857">
        <v>32071.75</v>
      </c>
      <c r="V3" s="2857">
        <v>2138.12</v>
      </c>
      <c r="W3" s="2857">
        <v>13363</v>
      </c>
      <c r="X3" s="2857" t="s">
        <v>3452</v>
      </c>
      <c r="Y3" s="2857">
        <v>0</v>
      </c>
      <c r="Z3" s="2857" t="s">
        <v>3452</v>
      </c>
      <c r="AA3" s="2857" t="s">
        <v>3452</v>
      </c>
      <c r="AB3" s="2857" t="s">
        <v>3452</v>
      </c>
      <c r="AC3" s="2857" t="s">
        <v>3468</v>
      </c>
      <c r="AD3" s="2857" t="s">
        <v>3452</v>
      </c>
    </row>
    <row r="4" spans="1:30">
      <c r="A4" s="2857" t="s">
        <v>3469</v>
      </c>
      <c r="B4" s="2857" t="s">
        <v>3393</v>
      </c>
      <c r="C4" s="2857" t="s">
        <v>3470</v>
      </c>
      <c r="D4" s="2857" t="s">
        <v>3471</v>
      </c>
      <c r="E4" s="2857" t="s">
        <v>3472</v>
      </c>
      <c r="F4" s="2857">
        <v>51399.76</v>
      </c>
      <c r="G4" s="2857">
        <v>52941.75</v>
      </c>
      <c r="H4" s="2857" t="s">
        <v>3448</v>
      </c>
      <c r="I4" s="2857" t="s">
        <v>3463</v>
      </c>
      <c r="J4" s="2857" t="s">
        <v>3473</v>
      </c>
      <c r="K4" s="2857" t="s">
        <v>3474</v>
      </c>
      <c r="L4" s="2857" t="s">
        <v>3452</v>
      </c>
      <c r="M4" s="2857" t="s">
        <v>3453</v>
      </c>
      <c r="N4" s="2857" t="s">
        <v>3452</v>
      </c>
      <c r="O4" s="2857" t="s">
        <v>3452</v>
      </c>
      <c r="P4" s="2857" t="s">
        <v>3475</v>
      </c>
      <c r="Q4" s="2857" t="s">
        <v>3455</v>
      </c>
      <c r="R4" s="2857" t="s">
        <v>3456</v>
      </c>
      <c r="S4" s="2857" t="s">
        <v>3476</v>
      </c>
      <c r="T4" s="2857">
        <v>121800</v>
      </c>
      <c r="U4" s="2857">
        <v>23696.61</v>
      </c>
      <c r="V4" s="2857">
        <v>1579.77</v>
      </c>
      <c r="W4" s="2857">
        <v>23006</v>
      </c>
      <c r="X4" s="2857" t="s">
        <v>3452</v>
      </c>
      <c r="Y4" s="2857">
        <v>0</v>
      </c>
      <c r="Z4" s="2857" t="s">
        <v>3452</v>
      </c>
      <c r="AA4" s="2857" t="s">
        <v>3452</v>
      </c>
      <c r="AB4" s="2857" t="s">
        <v>3452</v>
      </c>
      <c r="AC4" s="2857" t="s">
        <v>3477</v>
      </c>
      <c r="AD4" s="2857" t="s">
        <v>3452</v>
      </c>
    </row>
    <row r="5" spans="1:30">
      <c r="A5" s="2857" t="s">
        <v>3478</v>
      </c>
      <c r="B5" s="2857" t="s">
        <v>3393</v>
      </c>
      <c r="C5" s="2857" t="s">
        <v>3479</v>
      </c>
      <c r="D5" s="2857" t="s">
        <v>3480</v>
      </c>
      <c r="E5" s="2857" t="s">
        <v>3481</v>
      </c>
      <c r="F5" s="2857">
        <v>29689.18</v>
      </c>
      <c r="G5" s="2857">
        <v>29689.18</v>
      </c>
      <c r="H5" s="2857" t="s">
        <v>3448</v>
      </c>
      <c r="I5" s="2857" t="s">
        <v>3482</v>
      </c>
      <c r="J5" s="2857">
        <v>40</v>
      </c>
      <c r="K5" s="2857" t="s">
        <v>3483</v>
      </c>
      <c r="L5" s="2857" t="s">
        <v>3452</v>
      </c>
      <c r="M5" s="2857" t="s">
        <v>3453</v>
      </c>
      <c r="N5" s="2857" t="s">
        <v>3452</v>
      </c>
      <c r="O5" s="2857" t="s">
        <v>3452</v>
      </c>
      <c r="P5" s="2857" t="s">
        <v>3484</v>
      </c>
      <c r="Q5" s="2857" t="s">
        <v>3455</v>
      </c>
      <c r="R5" s="2857" t="s">
        <v>3485</v>
      </c>
      <c r="S5" s="2857" t="s">
        <v>3486</v>
      </c>
      <c r="T5" s="2857">
        <v>14250.88</v>
      </c>
      <c r="U5" s="2857">
        <v>4800.0200000000004</v>
      </c>
      <c r="V5" s="2857">
        <v>320</v>
      </c>
      <c r="W5" s="2857">
        <v>4800</v>
      </c>
      <c r="X5" s="2857" t="s">
        <v>3452</v>
      </c>
      <c r="Y5" s="2857">
        <v>0</v>
      </c>
      <c r="Z5" s="2857" t="s">
        <v>3452</v>
      </c>
      <c r="AA5" s="2857" t="s">
        <v>3452</v>
      </c>
      <c r="AB5" s="2857" t="s">
        <v>3452</v>
      </c>
      <c r="AC5" s="2857" t="s">
        <v>3487</v>
      </c>
      <c r="AD5" s="2857" t="s">
        <v>3452</v>
      </c>
    </row>
    <row r="6" spans="1:30">
      <c r="A6" s="2857" t="s">
        <v>3488</v>
      </c>
      <c r="B6" s="2857" t="s">
        <v>3393</v>
      </c>
      <c r="C6" s="2857" t="s">
        <v>3460</v>
      </c>
      <c r="D6" s="2857" t="s">
        <v>3489</v>
      </c>
      <c r="E6" s="2857" t="s">
        <v>3490</v>
      </c>
      <c r="F6" s="2857">
        <v>13348.31</v>
      </c>
      <c r="G6" s="2857">
        <v>17352.8</v>
      </c>
      <c r="H6" s="2857" t="s">
        <v>3448</v>
      </c>
      <c r="I6" s="2857" t="s">
        <v>3491</v>
      </c>
      <c r="J6" s="2857" t="s">
        <v>3492</v>
      </c>
      <c r="K6" s="2857" t="s">
        <v>3493</v>
      </c>
      <c r="L6" s="2857" t="s">
        <v>3452</v>
      </c>
      <c r="M6" s="2857" t="s">
        <v>3453</v>
      </c>
      <c r="N6" s="2857" t="s">
        <v>3452</v>
      </c>
      <c r="O6" s="2857" t="s">
        <v>3452</v>
      </c>
      <c r="P6" s="2857" t="s">
        <v>3494</v>
      </c>
      <c r="Q6" s="2857" t="s">
        <v>3455</v>
      </c>
      <c r="R6" s="2857" t="s">
        <v>3485</v>
      </c>
      <c r="S6" s="2857" t="s">
        <v>3495</v>
      </c>
      <c r="T6" s="2857">
        <v>6823.12</v>
      </c>
      <c r="U6" s="2857">
        <v>5111.59</v>
      </c>
      <c r="V6" s="2857">
        <v>340.77</v>
      </c>
      <c r="W6" s="2857">
        <v>3932</v>
      </c>
      <c r="X6" s="2857" t="s">
        <v>3452</v>
      </c>
      <c r="Y6" s="2857">
        <v>0</v>
      </c>
      <c r="Z6" s="2857" t="s">
        <v>3452</v>
      </c>
      <c r="AA6" s="2857" t="s">
        <v>3452</v>
      </c>
      <c r="AB6" s="2857" t="s">
        <v>3452</v>
      </c>
      <c r="AC6" s="2857" t="s">
        <v>3458</v>
      </c>
      <c r="AD6" s="2857" t="s">
        <v>3452</v>
      </c>
    </row>
    <row r="7" spans="1:30" s="3182" customFormat="1">
      <c r="A7" s="3182" t="s">
        <v>3496</v>
      </c>
      <c r="B7" s="3182" t="s">
        <v>3393</v>
      </c>
      <c r="C7" s="3182" t="s">
        <v>3460</v>
      </c>
      <c r="D7" s="3182" t="s">
        <v>3497</v>
      </c>
      <c r="E7" s="3182" t="s">
        <v>3747</v>
      </c>
      <c r="F7" s="3182">
        <v>41129.769999999997</v>
      </c>
      <c r="G7" s="3182">
        <v>90485.49</v>
      </c>
      <c r="H7" s="3182" t="s">
        <v>3448</v>
      </c>
      <c r="I7" s="3182" t="s">
        <v>3758</v>
      </c>
      <c r="J7" s="3182" t="s">
        <v>3498</v>
      </c>
      <c r="K7" s="3182" t="s">
        <v>3499</v>
      </c>
      <c r="L7" s="3182" t="s">
        <v>3452</v>
      </c>
      <c r="M7" s="3182" t="s">
        <v>3453</v>
      </c>
      <c r="N7" s="3182" t="s">
        <v>3452</v>
      </c>
      <c r="O7" s="3182" t="s">
        <v>3452</v>
      </c>
      <c r="P7" s="3182" t="s">
        <v>3500</v>
      </c>
      <c r="Q7" s="3182" t="s">
        <v>3455</v>
      </c>
      <c r="R7" s="3182" t="s">
        <v>3485</v>
      </c>
      <c r="S7" s="3182" t="s">
        <v>3501</v>
      </c>
      <c r="T7" s="3182">
        <v>80900</v>
      </c>
      <c r="U7" s="3182">
        <v>19669.45</v>
      </c>
      <c r="V7" s="3182">
        <v>1311.3</v>
      </c>
      <c r="W7" s="3182">
        <v>8941</v>
      </c>
      <c r="X7" s="3182" t="s">
        <v>3452</v>
      </c>
      <c r="Y7" s="3182">
        <v>0</v>
      </c>
      <c r="Z7" s="3182" t="s">
        <v>3452</v>
      </c>
      <c r="AA7" s="3182" t="s">
        <v>3452</v>
      </c>
      <c r="AB7" s="3182" t="s">
        <v>3452</v>
      </c>
      <c r="AC7" s="3182" t="s">
        <v>3468</v>
      </c>
      <c r="AD7" s="3182" t="s">
        <v>3452</v>
      </c>
    </row>
    <row r="8" spans="1:30">
      <c r="A8" s="2857" t="s">
        <v>3502</v>
      </c>
      <c r="B8" s="2857" t="s">
        <v>3393</v>
      </c>
      <c r="C8" s="2857" t="s">
        <v>3479</v>
      </c>
      <c r="D8" s="2857" t="s">
        <v>3503</v>
      </c>
      <c r="E8" s="2857" t="s">
        <v>3504</v>
      </c>
      <c r="F8" s="2857">
        <v>32423.18</v>
      </c>
      <c r="G8" s="2857">
        <v>42150</v>
      </c>
      <c r="H8" s="2857" t="s">
        <v>3448</v>
      </c>
      <c r="I8" s="2857" t="s">
        <v>3463</v>
      </c>
      <c r="J8" s="2857" t="s">
        <v>3498</v>
      </c>
      <c r="K8" s="2857" t="s">
        <v>3493</v>
      </c>
      <c r="L8" s="2857" t="s">
        <v>3452</v>
      </c>
      <c r="M8" s="2857" t="s">
        <v>3453</v>
      </c>
      <c r="N8" s="2857" t="s">
        <v>3452</v>
      </c>
      <c r="O8" s="2857" t="s">
        <v>3452</v>
      </c>
      <c r="P8" s="2857" t="s">
        <v>3505</v>
      </c>
      <c r="Q8" s="2857" t="s">
        <v>3455</v>
      </c>
      <c r="R8" s="2857" t="s">
        <v>3485</v>
      </c>
      <c r="S8" s="2857" t="s">
        <v>3506</v>
      </c>
      <c r="T8" s="2857">
        <v>23500</v>
      </c>
      <c r="U8" s="2857">
        <v>7247.9</v>
      </c>
      <c r="V8" s="2857">
        <v>483.19</v>
      </c>
      <c r="W8" s="2857">
        <v>5575</v>
      </c>
      <c r="X8" s="2857" t="s">
        <v>3452</v>
      </c>
      <c r="Y8" s="2857">
        <v>0</v>
      </c>
      <c r="Z8" s="2857" t="s">
        <v>3452</v>
      </c>
      <c r="AA8" s="2857" t="s">
        <v>3452</v>
      </c>
      <c r="AB8" s="2857" t="s">
        <v>3452</v>
      </c>
      <c r="AC8" s="2857" t="s">
        <v>3487</v>
      </c>
      <c r="AD8" s="2857" t="s">
        <v>3452</v>
      </c>
    </row>
    <row r="9" spans="1:30">
      <c r="A9" s="2857" t="s">
        <v>3507</v>
      </c>
      <c r="B9" s="2857" t="s">
        <v>3393</v>
      </c>
      <c r="C9" s="2857" t="s">
        <v>3479</v>
      </c>
      <c r="D9" s="2857" t="s">
        <v>3508</v>
      </c>
      <c r="E9" s="2857" t="s">
        <v>3509</v>
      </c>
      <c r="F9" s="2857">
        <v>48824.83</v>
      </c>
      <c r="G9" s="2857">
        <v>122062.08</v>
      </c>
      <c r="H9" s="2857" t="s">
        <v>3448</v>
      </c>
      <c r="I9" s="2857" t="s">
        <v>3510</v>
      </c>
      <c r="J9" s="2857" t="s">
        <v>3511</v>
      </c>
      <c r="K9" s="2857" t="s">
        <v>3512</v>
      </c>
      <c r="L9" s="2857" t="s">
        <v>3452</v>
      </c>
      <c r="M9" s="2857" t="s">
        <v>3453</v>
      </c>
      <c r="N9" s="2857" t="s">
        <v>3452</v>
      </c>
      <c r="O9" s="2857" t="s">
        <v>3452</v>
      </c>
      <c r="P9" s="2857" t="s">
        <v>3513</v>
      </c>
      <c r="Q9" s="2857" t="s">
        <v>3455</v>
      </c>
      <c r="R9" s="2857" t="s">
        <v>3485</v>
      </c>
      <c r="S9" s="2857" t="s">
        <v>3514</v>
      </c>
      <c r="T9" s="2857">
        <v>93000</v>
      </c>
      <c r="U9" s="2857">
        <v>19047.68</v>
      </c>
      <c r="V9" s="2857">
        <v>1269.8499999999999</v>
      </c>
      <c r="W9" s="2857">
        <v>7619</v>
      </c>
      <c r="X9" s="2857" t="s">
        <v>3452</v>
      </c>
      <c r="Y9" s="2857">
        <v>0</v>
      </c>
      <c r="Z9" s="2857" t="s">
        <v>3452</v>
      </c>
      <c r="AA9" s="2857" t="s">
        <v>3452</v>
      </c>
      <c r="AB9" s="2857" t="s">
        <v>3452</v>
      </c>
      <c r="AC9" s="2857" t="s">
        <v>3515</v>
      </c>
      <c r="AD9" s="2857" t="s">
        <v>3452</v>
      </c>
    </row>
    <row r="10" spans="1:30" s="3176" customFormat="1">
      <c r="A10" s="3176" t="s">
        <v>3516</v>
      </c>
      <c r="B10" s="2857" t="s">
        <v>3393</v>
      </c>
      <c r="C10" s="3176" t="s">
        <v>3445</v>
      </c>
      <c r="D10" s="2857" t="s">
        <v>3517</v>
      </c>
      <c r="E10" s="3176" t="s">
        <v>3746</v>
      </c>
      <c r="F10" s="3176">
        <v>21154.74</v>
      </c>
      <c r="G10" s="3176">
        <v>31732.11</v>
      </c>
      <c r="H10" s="3176" t="s">
        <v>3448</v>
      </c>
      <c r="I10" s="3176" t="s">
        <v>3760</v>
      </c>
      <c r="J10" s="3176" t="s">
        <v>3498</v>
      </c>
      <c r="K10" s="3176" t="s">
        <v>3451</v>
      </c>
      <c r="L10" s="2857" t="s">
        <v>3452</v>
      </c>
      <c r="M10" s="2857" t="s">
        <v>3453</v>
      </c>
      <c r="N10" s="2857" t="s">
        <v>3452</v>
      </c>
      <c r="O10" s="2857" t="s">
        <v>3452</v>
      </c>
      <c r="P10" s="3176" t="s">
        <v>3519</v>
      </c>
      <c r="Q10" s="2857" t="s">
        <v>3455</v>
      </c>
      <c r="R10" s="2857" t="s">
        <v>3485</v>
      </c>
      <c r="S10" s="3176" t="s">
        <v>3520</v>
      </c>
      <c r="T10" s="3176">
        <v>29600</v>
      </c>
      <c r="U10" s="3176">
        <v>13992.13</v>
      </c>
      <c r="V10" s="3176">
        <v>932.81</v>
      </c>
      <c r="W10" s="3176">
        <v>9328</v>
      </c>
      <c r="X10" s="2857" t="s">
        <v>3452</v>
      </c>
      <c r="Y10" s="3176">
        <v>0</v>
      </c>
      <c r="Z10" s="2857" t="s">
        <v>3452</v>
      </c>
      <c r="AA10" s="2857" t="s">
        <v>3452</v>
      </c>
      <c r="AB10" s="2857" t="s">
        <v>3452</v>
      </c>
      <c r="AC10" s="3176" t="s">
        <v>3468</v>
      </c>
      <c r="AD10" s="3176" t="s">
        <v>3452</v>
      </c>
    </row>
    <row r="11" spans="1:30">
      <c r="A11" s="2857" t="s">
        <v>3521</v>
      </c>
      <c r="B11" s="2857" t="s">
        <v>3393</v>
      </c>
      <c r="C11" s="2857" t="s">
        <v>3460</v>
      </c>
      <c r="D11" s="2857" t="s">
        <v>3522</v>
      </c>
      <c r="E11" s="2857" t="s">
        <v>3523</v>
      </c>
      <c r="F11" s="2857">
        <v>19810.400000000001</v>
      </c>
      <c r="G11" s="2857">
        <v>700</v>
      </c>
      <c r="H11" s="2857" t="s">
        <v>3448</v>
      </c>
      <c r="I11" s="2857" t="s">
        <v>3524</v>
      </c>
      <c r="J11" s="2857" t="s">
        <v>3498</v>
      </c>
      <c r="K11" s="2857" t="s">
        <v>3525</v>
      </c>
      <c r="L11" s="2857" t="s">
        <v>3452</v>
      </c>
      <c r="M11" s="2857" t="s">
        <v>3453</v>
      </c>
      <c r="N11" s="2857" t="s">
        <v>3452</v>
      </c>
      <c r="O11" s="2857" t="s">
        <v>3452</v>
      </c>
      <c r="P11" s="2857" t="s">
        <v>3526</v>
      </c>
      <c r="Q11" s="2857" t="s">
        <v>3455</v>
      </c>
      <c r="R11" s="2857" t="s">
        <v>3485</v>
      </c>
      <c r="S11" s="2857" t="s">
        <v>3527</v>
      </c>
      <c r="T11" s="2857">
        <v>6600</v>
      </c>
      <c r="U11" s="2857">
        <v>3331.58</v>
      </c>
      <c r="V11" s="2857">
        <v>222.11</v>
      </c>
      <c r="W11" s="2857">
        <v>94286</v>
      </c>
      <c r="X11" s="2857" t="s">
        <v>3452</v>
      </c>
      <c r="Y11" s="2857">
        <v>0</v>
      </c>
      <c r="Z11" s="2857" t="s">
        <v>3452</v>
      </c>
      <c r="AA11" s="2857" t="s">
        <v>3452</v>
      </c>
      <c r="AB11" s="2857" t="s">
        <v>3452</v>
      </c>
      <c r="AC11" s="2857" t="s">
        <v>3528</v>
      </c>
      <c r="AD11" s="2857" t="s">
        <v>3452</v>
      </c>
    </row>
    <row r="12" spans="1:30">
      <c r="A12" s="2857" t="s">
        <v>3529</v>
      </c>
      <c r="B12" s="2857" t="s">
        <v>3393</v>
      </c>
      <c r="C12" s="2857" t="s">
        <v>3470</v>
      </c>
      <c r="D12" s="2857" t="s">
        <v>3530</v>
      </c>
      <c r="E12" s="2857" t="s">
        <v>3531</v>
      </c>
      <c r="F12" s="2857">
        <v>8286.49</v>
      </c>
      <c r="G12" s="2857">
        <v>8286.49</v>
      </c>
      <c r="H12" s="2857" t="s">
        <v>3448</v>
      </c>
      <c r="I12" s="2857" t="s">
        <v>3532</v>
      </c>
      <c r="J12" s="2857" t="s">
        <v>3498</v>
      </c>
      <c r="K12" s="2857" t="s">
        <v>3483</v>
      </c>
      <c r="L12" s="2857" t="s">
        <v>3452</v>
      </c>
      <c r="M12" s="2857" t="s">
        <v>3453</v>
      </c>
      <c r="N12" s="2857" t="s">
        <v>3452</v>
      </c>
      <c r="O12" s="2857" t="s">
        <v>3452</v>
      </c>
      <c r="P12" s="2857" t="s">
        <v>3533</v>
      </c>
      <c r="Q12" s="2857" t="s">
        <v>3455</v>
      </c>
      <c r="R12" s="2857" t="s">
        <v>3485</v>
      </c>
      <c r="S12" s="2857" t="s">
        <v>3534</v>
      </c>
      <c r="T12" s="2857">
        <v>16000</v>
      </c>
      <c r="U12" s="2857">
        <v>19308.53</v>
      </c>
      <c r="V12" s="2857">
        <v>1287.24</v>
      </c>
      <c r="W12" s="2857">
        <v>19309</v>
      </c>
      <c r="X12" s="2857" t="s">
        <v>3452</v>
      </c>
      <c r="Y12" s="2857">
        <v>0</v>
      </c>
      <c r="Z12" s="2857" t="s">
        <v>3452</v>
      </c>
      <c r="AA12" s="2857" t="s">
        <v>3452</v>
      </c>
      <c r="AB12" s="2857" t="s">
        <v>3452</v>
      </c>
      <c r="AC12" s="2857" t="s">
        <v>3458</v>
      </c>
      <c r="AD12" s="2857" t="s">
        <v>3452</v>
      </c>
    </row>
    <row r="13" spans="1:30">
      <c r="A13" s="2857" t="s">
        <v>3535</v>
      </c>
      <c r="B13" s="2857" t="s">
        <v>3393</v>
      </c>
      <c r="C13" s="2857" t="s">
        <v>3470</v>
      </c>
      <c r="D13" s="2857" t="s">
        <v>3536</v>
      </c>
      <c r="E13" s="2857" t="s">
        <v>3537</v>
      </c>
      <c r="F13" s="2857">
        <v>78101.460000000006</v>
      </c>
      <c r="G13" s="2857">
        <v>249924.67</v>
      </c>
      <c r="H13" s="2857" t="s">
        <v>3448</v>
      </c>
      <c r="I13" s="2857" t="s">
        <v>3538</v>
      </c>
      <c r="J13" s="2857" t="s">
        <v>3498</v>
      </c>
      <c r="K13" s="2857" t="s">
        <v>3539</v>
      </c>
      <c r="L13" s="2857">
        <v>27.34</v>
      </c>
      <c r="M13" s="2857" t="s">
        <v>3453</v>
      </c>
      <c r="N13" s="2857" t="s">
        <v>3452</v>
      </c>
      <c r="O13" s="2857" t="s">
        <v>3452</v>
      </c>
      <c r="P13" s="2857" t="s">
        <v>3533</v>
      </c>
      <c r="Q13" s="2857" t="s">
        <v>3455</v>
      </c>
      <c r="R13" s="2857" t="s">
        <v>3485</v>
      </c>
      <c r="S13" s="2857" t="s">
        <v>3540</v>
      </c>
      <c r="T13" s="2857">
        <v>423000</v>
      </c>
      <c r="U13" s="2857">
        <v>54160.32</v>
      </c>
      <c r="V13" s="2857">
        <v>3610.69</v>
      </c>
      <c r="W13" s="2857">
        <v>16925</v>
      </c>
      <c r="X13" s="2857" t="s">
        <v>3452</v>
      </c>
      <c r="Y13" s="2857">
        <v>0</v>
      </c>
      <c r="Z13" s="2857" t="s">
        <v>3452</v>
      </c>
      <c r="AA13" s="2857" t="s">
        <v>3452</v>
      </c>
      <c r="AB13" s="2857" t="s">
        <v>3452</v>
      </c>
      <c r="AC13" s="2857" t="s">
        <v>3528</v>
      </c>
      <c r="AD13" s="2857" t="s">
        <v>3452</v>
      </c>
    </row>
    <row r="14" spans="1:30">
      <c r="A14" s="2857" t="s">
        <v>3541</v>
      </c>
      <c r="B14" s="2857" t="s">
        <v>3393</v>
      </c>
      <c r="C14" s="2857" t="s">
        <v>3470</v>
      </c>
      <c r="D14" s="2857" t="s">
        <v>3542</v>
      </c>
      <c r="E14" s="2857" t="s">
        <v>3543</v>
      </c>
      <c r="F14" s="2857">
        <v>37655.61</v>
      </c>
      <c r="G14" s="2857">
        <v>56108.97</v>
      </c>
      <c r="H14" s="2857" t="s">
        <v>3448</v>
      </c>
      <c r="I14" s="2857" t="s">
        <v>3544</v>
      </c>
      <c r="J14" s="2857" t="s">
        <v>3545</v>
      </c>
      <c r="K14" s="2857" t="s">
        <v>3546</v>
      </c>
      <c r="L14" s="2857" t="s">
        <v>3452</v>
      </c>
      <c r="M14" s="2857" t="s">
        <v>3453</v>
      </c>
      <c r="N14" s="2857" t="s">
        <v>3452</v>
      </c>
      <c r="O14" s="2857" t="s">
        <v>3452</v>
      </c>
      <c r="P14" s="2857" t="s">
        <v>3547</v>
      </c>
      <c r="Q14" s="2857" t="s">
        <v>3455</v>
      </c>
      <c r="R14" s="2857" t="s">
        <v>3485</v>
      </c>
      <c r="S14" s="2857" t="s">
        <v>3548</v>
      </c>
      <c r="T14" s="2857">
        <v>74000</v>
      </c>
      <c r="U14" s="2857">
        <v>19651.78</v>
      </c>
      <c r="V14" s="2857">
        <v>1310.1199999999999</v>
      </c>
      <c r="W14" s="2857">
        <v>13189</v>
      </c>
      <c r="X14" s="2857" t="s">
        <v>3452</v>
      </c>
      <c r="Y14" s="2857">
        <v>0</v>
      </c>
      <c r="Z14" s="2857" t="s">
        <v>3452</v>
      </c>
      <c r="AA14" s="2857" t="s">
        <v>3452</v>
      </c>
      <c r="AB14" s="2857" t="s">
        <v>3452</v>
      </c>
      <c r="AC14" s="2857" t="s">
        <v>3458</v>
      </c>
      <c r="AD14" s="2857" t="s">
        <v>3452</v>
      </c>
    </row>
    <row r="15" spans="1:30">
      <c r="A15" s="2857" t="s">
        <v>3549</v>
      </c>
      <c r="B15" s="2857" t="s">
        <v>3393</v>
      </c>
      <c r="C15" s="2857" t="s">
        <v>3470</v>
      </c>
      <c r="D15" s="2857" t="s">
        <v>3550</v>
      </c>
      <c r="E15" s="2857" t="s">
        <v>3551</v>
      </c>
      <c r="F15" s="2857">
        <v>70601.06</v>
      </c>
      <c r="G15" s="2857">
        <v>285523</v>
      </c>
      <c r="H15" s="2857" t="s">
        <v>3448</v>
      </c>
      <c r="I15" s="2857" t="s">
        <v>3552</v>
      </c>
      <c r="J15" s="2857" t="s">
        <v>3553</v>
      </c>
      <c r="K15" s="2857" t="s">
        <v>3554</v>
      </c>
      <c r="L15" s="2857" t="s">
        <v>3452</v>
      </c>
      <c r="M15" s="2857" t="s">
        <v>3453</v>
      </c>
      <c r="N15" s="2857" t="s">
        <v>3452</v>
      </c>
      <c r="O15" s="2857" t="s">
        <v>3452</v>
      </c>
      <c r="P15" s="2857" t="s">
        <v>3555</v>
      </c>
      <c r="Q15" s="2857" t="s">
        <v>3455</v>
      </c>
      <c r="R15" s="2857" t="s">
        <v>3485</v>
      </c>
      <c r="S15" s="2857" t="s">
        <v>3556</v>
      </c>
      <c r="T15" s="2857">
        <v>642000</v>
      </c>
      <c r="U15" s="2857">
        <v>90933.48</v>
      </c>
      <c r="V15" s="2857">
        <v>6062.23</v>
      </c>
      <c r="W15" s="2857">
        <v>22485</v>
      </c>
      <c r="X15" s="2857" t="s">
        <v>3452</v>
      </c>
      <c r="Y15" s="2857">
        <v>0</v>
      </c>
      <c r="Z15" s="2857" t="s">
        <v>3452</v>
      </c>
      <c r="AA15" s="2857" t="s">
        <v>3452</v>
      </c>
      <c r="AB15" s="2857" t="s">
        <v>3452</v>
      </c>
      <c r="AC15" s="2857" t="s">
        <v>3557</v>
      </c>
      <c r="AD15" s="2857" t="s">
        <v>3452</v>
      </c>
    </row>
    <row r="16" spans="1:30" s="3182" customFormat="1">
      <c r="A16" s="3182" t="s">
        <v>3558</v>
      </c>
      <c r="B16" s="3182" t="s">
        <v>3393</v>
      </c>
      <c r="C16" s="3182" t="s">
        <v>3460</v>
      </c>
      <c r="D16" s="3182" t="s">
        <v>3522</v>
      </c>
      <c r="E16" s="3182" t="s">
        <v>3748</v>
      </c>
      <c r="F16" s="3182">
        <v>9632.01</v>
      </c>
      <c r="G16" s="3182">
        <v>15025.93</v>
      </c>
      <c r="H16" s="3182" t="s">
        <v>3448</v>
      </c>
      <c r="I16" s="3182" t="s">
        <v>3463</v>
      </c>
      <c r="J16" s="3182" t="s">
        <v>3559</v>
      </c>
      <c r="K16" s="3182" t="s">
        <v>3560</v>
      </c>
      <c r="L16" s="3182" t="s">
        <v>3452</v>
      </c>
      <c r="M16" s="3182" t="s">
        <v>3453</v>
      </c>
      <c r="N16" s="3182" t="s">
        <v>3452</v>
      </c>
      <c r="O16" s="3182" t="s">
        <v>3452</v>
      </c>
      <c r="P16" s="3182" t="s">
        <v>3561</v>
      </c>
      <c r="Q16" s="3182" t="s">
        <v>3455</v>
      </c>
      <c r="R16" s="3182" t="s">
        <v>3485</v>
      </c>
      <c r="S16" s="3182" t="s">
        <v>3562</v>
      </c>
      <c r="T16" s="3182">
        <v>13700</v>
      </c>
      <c r="U16" s="3182">
        <v>14223.4</v>
      </c>
      <c r="V16" s="3182">
        <v>948.23</v>
      </c>
      <c r="W16" s="3182">
        <v>9118</v>
      </c>
      <c r="X16" s="3182" t="s">
        <v>3452</v>
      </c>
      <c r="Y16" s="3182">
        <v>0</v>
      </c>
      <c r="Z16" s="3182" t="s">
        <v>3452</v>
      </c>
      <c r="AA16" s="3182" t="s">
        <v>3452</v>
      </c>
      <c r="AB16" s="3182" t="s">
        <v>3452</v>
      </c>
      <c r="AC16" s="3182" t="s">
        <v>3528</v>
      </c>
      <c r="AD16" s="3182" t="s">
        <v>3452</v>
      </c>
    </row>
    <row r="17" spans="1:30">
      <c r="A17" s="2857" t="s">
        <v>3563</v>
      </c>
      <c r="B17" s="2857" t="s">
        <v>3393</v>
      </c>
      <c r="C17" s="2857" t="s">
        <v>3470</v>
      </c>
      <c r="D17" s="2857" t="s">
        <v>3542</v>
      </c>
      <c r="E17" s="2857" t="s">
        <v>3564</v>
      </c>
      <c r="F17" s="2857">
        <v>49900.54</v>
      </c>
      <c r="G17" s="2857">
        <v>109781.19</v>
      </c>
      <c r="H17" s="2857" t="s">
        <v>3448</v>
      </c>
      <c r="I17" s="2857" t="s">
        <v>3463</v>
      </c>
      <c r="J17" s="2857" t="s">
        <v>3565</v>
      </c>
      <c r="K17" s="2857" t="s">
        <v>3499</v>
      </c>
      <c r="L17" s="2857" t="s">
        <v>3452</v>
      </c>
      <c r="M17" s="2857" t="s">
        <v>3453</v>
      </c>
      <c r="N17" s="2857" t="s">
        <v>3452</v>
      </c>
      <c r="O17" s="2857" t="s">
        <v>3452</v>
      </c>
      <c r="P17" s="2857" t="s">
        <v>3566</v>
      </c>
      <c r="Q17" s="2857" t="s">
        <v>3455</v>
      </c>
      <c r="R17" s="2857" t="s">
        <v>3485</v>
      </c>
      <c r="S17" s="2857" t="s">
        <v>3567</v>
      </c>
      <c r="T17" s="2857">
        <v>227000</v>
      </c>
      <c r="U17" s="2857">
        <v>45490.49</v>
      </c>
      <c r="V17" s="2857">
        <v>3032.7</v>
      </c>
      <c r="W17" s="2857">
        <v>20677</v>
      </c>
      <c r="X17" s="2857" t="s">
        <v>3452</v>
      </c>
      <c r="Y17" s="2857">
        <v>0</v>
      </c>
      <c r="Z17" s="2857" t="s">
        <v>3452</v>
      </c>
      <c r="AA17" s="2857" t="s">
        <v>3452</v>
      </c>
      <c r="AB17" s="2857" t="s">
        <v>3452</v>
      </c>
      <c r="AC17" s="2857" t="s">
        <v>3468</v>
      </c>
      <c r="AD17" s="2857" t="s">
        <v>3452</v>
      </c>
    </row>
    <row r="18" spans="1:30">
      <c r="A18" s="2857" t="s">
        <v>3568</v>
      </c>
      <c r="B18" s="2857" t="s">
        <v>3393</v>
      </c>
      <c r="C18" s="2857" t="s">
        <v>3460</v>
      </c>
      <c r="D18" s="2857" t="s">
        <v>3569</v>
      </c>
      <c r="E18" s="2857" t="s">
        <v>3570</v>
      </c>
      <c r="F18" s="2857">
        <v>15459.22</v>
      </c>
      <c r="G18" s="2857">
        <v>52599.12</v>
      </c>
      <c r="H18" s="2857" t="s">
        <v>3448</v>
      </c>
      <c r="I18" s="2857" t="s">
        <v>3510</v>
      </c>
      <c r="J18" s="2857" t="s">
        <v>3571</v>
      </c>
      <c r="K18" s="2857" t="s">
        <v>3572</v>
      </c>
      <c r="L18" s="2857" t="s">
        <v>3452</v>
      </c>
      <c r="M18" s="2857" t="s">
        <v>3453</v>
      </c>
      <c r="N18" s="2857" t="s">
        <v>3452</v>
      </c>
      <c r="O18" s="2857" t="s">
        <v>3452</v>
      </c>
      <c r="P18" s="2857" t="s">
        <v>3573</v>
      </c>
      <c r="Q18" s="2857" t="s">
        <v>3455</v>
      </c>
      <c r="R18" s="2857" t="s">
        <v>3485</v>
      </c>
      <c r="S18" s="2857" t="s">
        <v>3562</v>
      </c>
      <c r="T18" s="2857">
        <v>53100</v>
      </c>
      <c r="U18" s="2857">
        <v>34348.43</v>
      </c>
      <c r="V18" s="2857">
        <v>2289.9</v>
      </c>
      <c r="W18" s="2857">
        <v>10095</v>
      </c>
      <c r="X18" s="2857" t="s">
        <v>3452</v>
      </c>
      <c r="Y18" s="2857">
        <v>0</v>
      </c>
      <c r="Z18" s="2857" t="s">
        <v>3452</v>
      </c>
      <c r="AA18" s="2857" t="s">
        <v>3452</v>
      </c>
      <c r="AB18" s="2857" t="s">
        <v>3452</v>
      </c>
      <c r="AC18" s="2857" t="s">
        <v>3528</v>
      </c>
      <c r="AD18" s="2857" t="s">
        <v>3452</v>
      </c>
    </row>
    <row r="19" spans="1:30">
      <c r="A19" s="2857" t="s">
        <v>3574</v>
      </c>
      <c r="B19" s="2857" t="s">
        <v>3393</v>
      </c>
      <c r="C19" s="2857" t="s">
        <v>3575</v>
      </c>
      <c r="D19" s="2857" t="s">
        <v>3576</v>
      </c>
      <c r="E19" s="2857" t="s">
        <v>3577</v>
      </c>
      <c r="F19" s="2857">
        <v>101190.07</v>
      </c>
      <c r="G19" s="2857">
        <v>198291</v>
      </c>
      <c r="H19" s="2857" t="s">
        <v>3448</v>
      </c>
      <c r="I19" s="2857" t="s">
        <v>3463</v>
      </c>
      <c r="J19" s="2857" t="s">
        <v>3565</v>
      </c>
      <c r="K19" s="2857" t="s">
        <v>3578</v>
      </c>
      <c r="L19" s="2857" t="s">
        <v>3452</v>
      </c>
      <c r="M19" s="2857" t="s">
        <v>3453</v>
      </c>
      <c r="N19" s="2857" t="s">
        <v>3452</v>
      </c>
      <c r="O19" s="2857" t="s">
        <v>3452</v>
      </c>
      <c r="P19" s="2857" t="s">
        <v>3579</v>
      </c>
      <c r="Q19" s="2857" t="s">
        <v>3455</v>
      </c>
      <c r="R19" s="2857" t="s">
        <v>3485</v>
      </c>
      <c r="S19" s="2857" t="s">
        <v>3580</v>
      </c>
      <c r="T19" s="2857">
        <v>100000</v>
      </c>
      <c r="U19" s="2857">
        <v>9882.39</v>
      </c>
      <c r="V19" s="2857">
        <v>658.83</v>
      </c>
      <c r="W19" s="2857">
        <v>5043</v>
      </c>
      <c r="X19" s="2857" t="s">
        <v>3452</v>
      </c>
      <c r="Y19" s="2857">
        <v>0</v>
      </c>
      <c r="Z19" s="2857" t="s">
        <v>3452</v>
      </c>
      <c r="AA19" s="2857" t="s">
        <v>3452</v>
      </c>
      <c r="AB19" s="2857" t="s">
        <v>3452</v>
      </c>
      <c r="AC19" s="2857" t="s">
        <v>3581</v>
      </c>
      <c r="AD19" s="2857" t="s">
        <v>3452</v>
      </c>
    </row>
    <row r="20" spans="1:30">
      <c r="A20" s="2857" t="s">
        <v>3582</v>
      </c>
      <c r="B20" s="2857" t="s">
        <v>3393</v>
      </c>
      <c r="C20" s="2857" t="s">
        <v>3460</v>
      </c>
      <c r="D20" s="2857" t="s">
        <v>3583</v>
      </c>
      <c r="E20" s="2857" t="s">
        <v>3584</v>
      </c>
      <c r="F20" s="2857">
        <v>5500.65</v>
      </c>
      <c r="G20" s="2857">
        <v>15401.81</v>
      </c>
      <c r="H20" s="2857" t="s">
        <v>3448</v>
      </c>
      <c r="I20" s="2857" t="s">
        <v>3585</v>
      </c>
      <c r="J20" s="2857" t="s">
        <v>3586</v>
      </c>
      <c r="K20" s="2857" t="s">
        <v>3587</v>
      </c>
      <c r="L20" s="2857" t="s">
        <v>3452</v>
      </c>
      <c r="M20" s="2857" t="s">
        <v>3453</v>
      </c>
      <c r="N20" s="2857" t="s">
        <v>3452</v>
      </c>
      <c r="O20" s="2857" t="s">
        <v>3452</v>
      </c>
      <c r="P20" s="2857" t="s">
        <v>3588</v>
      </c>
      <c r="Q20" s="2857" t="s">
        <v>3455</v>
      </c>
      <c r="R20" s="2857" t="s">
        <v>3485</v>
      </c>
      <c r="S20" s="2857" t="s">
        <v>3589</v>
      </c>
      <c r="T20" s="2857">
        <v>17000</v>
      </c>
      <c r="U20" s="2857">
        <v>30905.43</v>
      </c>
      <c r="V20" s="2857">
        <v>2060.36</v>
      </c>
      <c r="W20" s="2857">
        <v>11038</v>
      </c>
      <c r="X20" s="2857" t="s">
        <v>3452</v>
      </c>
      <c r="Y20" s="2857">
        <v>0</v>
      </c>
      <c r="Z20" s="2857" t="s">
        <v>3452</v>
      </c>
      <c r="AA20" s="2857" t="s">
        <v>3452</v>
      </c>
      <c r="AB20" s="2857" t="s">
        <v>3452</v>
      </c>
      <c r="AC20" s="2857" t="s">
        <v>3468</v>
      </c>
      <c r="AD20" s="2857" t="s">
        <v>3452</v>
      </c>
    </row>
    <row r="21" spans="1:30">
      <c r="A21" s="2857" t="s">
        <v>3590</v>
      </c>
      <c r="B21" s="2857" t="s">
        <v>3393</v>
      </c>
      <c r="C21" s="2857" t="s">
        <v>3479</v>
      </c>
      <c r="D21" s="2857" t="s">
        <v>3591</v>
      </c>
      <c r="E21" s="2857" t="s">
        <v>3592</v>
      </c>
      <c r="F21" s="2857">
        <v>82500</v>
      </c>
      <c r="G21" s="2857">
        <v>165000</v>
      </c>
      <c r="H21" s="2857" t="s">
        <v>3448</v>
      </c>
      <c r="I21" s="2857" t="s">
        <v>3482</v>
      </c>
      <c r="J21" s="2857">
        <v>40</v>
      </c>
      <c r="K21" s="2857" t="s">
        <v>3593</v>
      </c>
      <c r="L21" s="2857" t="s">
        <v>3452</v>
      </c>
      <c r="M21" s="2857" t="s">
        <v>3453</v>
      </c>
      <c r="N21" s="2857" t="s">
        <v>3452</v>
      </c>
      <c r="O21" s="2857" t="s">
        <v>3452</v>
      </c>
      <c r="P21" s="2857" t="s">
        <v>3594</v>
      </c>
      <c r="Q21" s="2857" t="s">
        <v>3455</v>
      </c>
      <c r="R21" s="2857" t="s">
        <v>3485</v>
      </c>
      <c r="S21" s="2857" t="s">
        <v>3595</v>
      </c>
      <c r="T21" s="2857">
        <v>260700</v>
      </c>
      <c r="U21" s="2857">
        <v>31600</v>
      </c>
      <c r="V21" s="2857">
        <v>2106.67</v>
      </c>
      <c r="W21" s="2857">
        <v>15800</v>
      </c>
      <c r="X21" s="2857" t="s">
        <v>3452</v>
      </c>
      <c r="Y21" s="2857">
        <v>0</v>
      </c>
      <c r="Z21" s="2857" t="s">
        <v>3452</v>
      </c>
      <c r="AA21" s="2857" t="s">
        <v>3452</v>
      </c>
      <c r="AB21" s="2857" t="s">
        <v>3452</v>
      </c>
      <c r="AC21" s="2857" t="s">
        <v>3468</v>
      </c>
      <c r="AD21" s="2857" t="s">
        <v>3452</v>
      </c>
    </row>
    <row r="22" spans="1:30">
      <c r="A22" s="2857" t="s">
        <v>3596</v>
      </c>
      <c r="B22" s="2857" t="s">
        <v>3393</v>
      </c>
      <c r="C22" s="2857" t="s">
        <v>3479</v>
      </c>
      <c r="D22" s="2857" t="s">
        <v>3480</v>
      </c>
      <c r="E22" s="2857" t="s">
        <v>3597</v>
      </c>
      <c r="F22" s="2857">
        <v>4800</v>
      </c>
      <c r="G22" s="2857">
        <v>1920</v>
      </c>
      <c r="H22" s="2857" t="s">
        <v>3448</v>
      </c>
      <c r="I22" s="2857" t="s">
        <v>3598</v>
      </c>
      <c r="J22" s="2857" t="s">
        <v>3599</v>
      </c>
      <c r="K22" s="2857" t="s">
        <v>3600</v>
      </c>
      <c r="L22" s="2857" t="s">
        <v>3452</v>
      </c>
      <c r="M22" s="2857" t="s">
        <v>3453</v>
      </c>
      <c r="N22" s="2857" t="s">
        <v>3452</v>
      </c>
      <c r="O22" s="2857" t="s">
        <v>3452</v>
      </c>
      <c r="P22" s="2857" t="s">
        <v>3601</v>
      </c>
      <c r="Q22" s="2857" t="s">
        <v>3455</v>
      </c>
      <c r="R22" s="2857" t="s">
        <v>3602</v>
      </c>
      <c r="S22" s="2857" t="s">
        <v>3603</v>
      </c>
      <c r="T22" s="2857">
        <v>5800</v>
      </c>
      <c r="U22" s="2857">
        <v>12083.33</v>
      </c>
      <c r="V22" s="2857">
        <v>805.56</v>
      </c>
      <c r="W22" s="2857">
        <v>30208</v>
      </c>
      <c r="X22" s="2857" t="s">
        <v>3452</v>
      </c>
      <c r="Y22" s="2857">
        <v>0</v>
      </c>
      <c r="Z22" s="2857" t="s">
        <v>3452</v>
      </c>
      <c r="AA22" s="2857" t="s">
        <v>3452</v>
      </c>
      <c r="AB22" s="2857" t="s">
        <v>3452</v>
      </c>
      <c r="AC22" s="2857" t="s">
        <v>3487</v>
      </c>
      <c r="AD22" s="2857" t="s">
        <v>3452</v>
      </c>
    </row>
    <row r="23" spans="1:30">
      <c r="A23" s="2857" t="s">
        <v>3604</v>
      </c>
      <c r="B23" s="2857" t="s">
        <v>3393</v>
      </c>
      <c r="C23" s="2857" t="s">
        <v>3470</v>
      </c>
      <c r="D23" s="2857" t="s">
        <v>3542</v>
      </c>
      <c r="E23" s="2857" t="s">
        <v>3605</v>
      </c>
      <c r="F23" s="2857">
        <v>32733.22</v>
      </c>
      <c r="G23" s="2857">
        <v>72013.08</v>
      </c>
      <c r="H23" s="2857" t="s">
        <v>3448</v>
      </c>
      <c r="I23" s="2857" t="s">
        <v>3463</v>
      </c>
      <c r="J23" s="2857" t="s">
        <v>3565</v>
      </c>
      <c r="K23" s="2857" t="s">
        <v>3499</v>
      </c>
      <c r="L23" s="2857" t="s">
        <v>3452</v>
      </c>
      <c r="M23" s="2857" t="s">
        <v>3453</v>
      </c>
      <c r="N23" s="2857" t="s">
        <v>3452</v>
      </c>
      <c r="O23" s="2857" t="s">
        <v>3452</v>
      </c>
      <c r="P23" s="2857" t="s">
        <v>3606</v>
      </c>
      <c r="Q23" s="2857" t="s">
        <v>3455</v>
      </c>
      <c r="R23" s="2857" t="s">
        <v>3602</v>
      </c>
      <c r="S23" s="2857" t="s">
        <v>3607</v>
      </c>
      <c r="T23" s="2857">
        <v>149000</v>
      </c>
      <c r="U23" s="2857">
        <v>45519.5</v>
      </c>
      <c r="V23" s="2857">
        <v>3034.63</v>
      </c>
      <c r="W23" s="2857">
        <v>20691</v>
      </c>
      <c r="X23" s="2857" t="s">
        <v>3452</v>
      </c>
      <c r="Y23" s="2857">
        <v>0</v>
      </c>
      <c r="Z23" s="2857" t="s">
        <v>3452</v>
      </c>
      <c r="AA23" s="2857" t="s">
        <v>3452</v>
      </c>
      <c r="AB23" s="2857" t="s">
        <v>3452</v>
      </c>
      <c r="AC23" s="2857" t="s">
        <v>3468</v>
      </c>
      <c r="AD23" s="2857" t="s">
        <v>3452</v>
      </c>
    </row>
    <row r="24" spans="1:30">
      <c r="A24" s="2857" t="s">
        <v>3608</v>
      </c>
      <c r="B24" s="2857" t="s">
        <v>3393</v>
      </c>
      <c r="C24" s="2857" t="s">
        <v>3470</v>
      </c>
      <c r="D24" s="2857" t="s">
        <v>3542</v>
      </c>
      <c r="E24" s="2857" t="s">
        <v>3609</v>
      </c>
      <c r="F24" s="2857">
        <v>29506.55</v>
      </c>
      <c r="G24" s="2857">
        <v>64914.41</v>
      </c>
      <c r="H24" s="2857" t="s">
        <v>3448</v>
      </c>
      <c r="I24" s="2857" t="s">
        <v>3463</v>
      </c>
      <c r="J24" s="2857" t="s">
        <v>3565</v>
      </c>
      <c r="K24" s="2857" t="s">
        <v>3499</v>
      </c>
      <c r="L24" s="2857" t="s">
        <v>3452</v>
      </c>
      <c r="M24" s="2857" t="s">
        <v>3453</v>
      </c>
      <c r="N24" s="2857" t="s">
        <v>3452</v>
      </c>
      <c r="O24" s="2857" t="s">
        <v>3452</v>
      </c>
      <c r="P24" s="2857" t="s">
        <v>3606</v>
      </c>
      <c r="Q24" s="2857" t="s">
        <v>3455</v>
      </c>
      <c r="R24" s="2857" t="s">
        <v>3602</v>
      </c>
      <c r="S24" s="2857" t="s">
        <v>3610</v>
      </c>
      <c r="T24" s="2857">
        <v>135000</v>
      </c>
      <c r="U24" s="2857">
        <v>45752.55</v>
      </c>
      <c r="V24" s="2857">
        <v>3050.17</v>
      </c>
      <c r="W24" s="2857">
        <v>20797</v>
      </c>
      <c r="X24" s="2857" t="s">
        <v>3452</v>
      </c>
      <c r="Y24" s="2857">
        <v>0</v>
      </c>
      <c r="Z24" s="2857" t="s">
        <v>3452</v>
      </c>
      <c r="AA24" s="2857" t="s">
        <v>3452</v>
      </c>
      <c r="AB24" s="2857" t="s">
        <v>3452</v>
      </c>
      <c r="AC24" s="2857" t="s">
        <v>3468</v>
      </c>
      <c r="AD24" s="2857" t="s">
        <v>3452</v>
      </c>
    </row>
    <row r="25" spans="1:30">
      <c r="A25" s="2857" t="s">
        <v>3611</v>
      </c>
      <c r="B25" s="2857" t="s">
        <v>3393</v>
      </c>
      <c r="C25" s="2857" t="s">
        <v>3460</v>
      </c>
      <c r="D25" s="2857" t="s">
        <v>3612</v>
      </c>
      <c r="E25" s="2857" t="s">
        <v>3613</v>
      </c>
      <c r="F25" s="2857">
        <v>10000</v>
      </c>
      <c r="G25" s="2857">
        <v>22000</v>
      </c>
      <c r="H25" s="2857" t="s">
        <v>3448</v>
      </c>
      <c r="I25" s="2857" t="s">
        <v>3463</v>
      </c>
      <c r="J25" s="2857" t="s">
        <v>3614</v>
      </c>
      <c r="K25" s="2857" t="s">
        <v>3615</v>
      </c>
      <c r="L25" s="2857" t="s">
        <v>3452</v>
      </c>
      <c r="M25" s="2857" t="s">
        <v>3453</v>
      </c>
      <c r="N25" s="2857" t="s">
        <v>3452</v>
      </c>
      <c r="O25" s="2857" t="s">
        <v>3452</v>
      </c>
      <c r="P25" s="2857" t="s">
        <v>3616</v>
      </c>
      <c r="Q25" s="2857" t="s">
        <v>3455</v>
      </c>
      <c r="R25" s="2857" t="s">
        <v>3602</v>
      </c>
      <c r="S25" s="2857" t="s">
        <v>3617</v>
      </c>
      <c r="T25" s="2857">
        <v>36400</v>
      </c>
      <c r="U25" s="2857">
        <v>36400</v>
      </c>
      <c r="V25" s="2857">
        <v>2426.67</v>
      </c>
      <c r="W25" s="2857">
        <v>16545</v>
      </c>
      <c r="X25" s="2857" t="s">
        <v>3452</v>
      </c>
      <c r="Y25" s="2857">
        <v>0</v>
      </c>
      <c r="Z25" s="2857" t="s">
        <v>3452</v>
      </c>
      <c r="AA25" s="2857" t="s">
        <v>3452</v>
      </c>
      <c r="AB25" s="2857" t="s">
        <v>3452</v>
      </c>
      <c r="AC25" s="2857" t="s">
        <v>3468</v>
      </c>
      <c r="AD25" s="2857" t="s">
        <v>3452</v>
      </c>
    </row>
    <row r="26" spans="1:30">
      <c r="A26" s="2857" t="s">
        <v>3618</v>
      </c>
      <c r="B26" s="2857" t="s">
        <v>3393</v>
      </c>
      <c r="C26" s="2857" t="s">
        <v>3460</v>
      </c>
      <c r="D26" s="2857" t="s">
        <v>3612</v>
      </c>
      <c r="E26" s="2857" t="s">
        <v>3619</v>
      </c>
      <c r="F26" s="2857">
        <v>5500</v>
      </c>
      <c r="G26" s="2857">
        <v>12100</v>
      </c>
      <c r="H26" s="2857" t="s">
        <v>3448</v>
      </c>
      <c r="I26" s="2857" t="s">
        <v>3463</v>
      </c>
      <c r="J26" s="2857" t="s">
        <v>3614</v>
      </c>
      <c r="K26" s="2857" t="s">
        <v>3615</v>
      </c>
      <c r="L26" s="2857" t="s">
        <v>3452</v>
      </c>
      <c r="M26" s="2857" t="s">
        <v>3453</v>
      </c>
      <c r="N26" s="2857" t="s">
        <v>3452</v>
      </c>
      <c r="O26" s="2857" t="s">
        <v>3452</v>
      </c>
      <c r="P26" s="2857" t="s">
        <v>3620</v>
      </c>
      <c r="Q26" s="2857" t="s">
        <v>3455</v>
      </c>
      <c r="R26" s="2857" t="s">
        <v>3602</v>
      </c>
      <c r="S26" s="2857" t="s">
        <v>3621</v>
      </c>
      <c r="T26" s="2857">
        <v>20000</v>
      </c>
      <c r="U26" s="2857">
        <v>36363.629999999997</v>
      </c>
      <c r="V26" s="2857">
        <v>2424.2399999999998</v>
      </c>
      <c r="W26" s="2857">
        <v>16529</v>
      </c>
      <c r="X26" s="2857" t="s">
        <v>3452</v>
      </c>
      <c r="Y26" s="2857">
        <v>0</v>
      </c>
      <c r="Z26" s="2857" t="s">
        <v>3452</v>
      </c>
      <c r="AA26" s="2857" t="s">
        <v>3452</v>
      </c>
      <c r="AB26" s="2857" t="s">
        <v>3452</v>
      </c>
      <c r="AC26" s="2857" t="s">
        <v>3468</v>
      </c>
      <c r="AD26" s="2857" t="s">
        <v>3452</v>
      </c>
    </row>
    <row r="27" spans="1:30">
      <c r="A27" s="2857" t="s">
        <v>3622</v>
      </c>
      <c r="B27" s="2857" t="s">
        <v>3393</v>
      </c>
      <c r="C27" s="2857" t="s">
        <v>3460</v>
      </c>
      <c r="D27" s="2857" t="s">
        <v>3497</v>
      </c>
      <c r="E27" s="2857" t="s">
        <v>3623</v>
      </c>
      <c r="F27" s="2857">
        <v>16122.82</v>
      </c>
      <c r="G27" s="2857">
        <v>45143.91</v>
      </c>
      <c r="H27" s="2857" t="s">
        <v>3448</v>
      </c>
      <c r="I27" s="2857" t="s">
        <v>3463</v>
      </c>
      <c r="J27" s="2857" t="s">
        <v>3624</v>
      </c>
      <c r="K27" s="2857" t="s">
        <v>3587</v>
      </c>
      <c r="L27" s="2857" t="s">
        <v>3452</v>
      </c>
      <c r="M27" s="2857" t="s">
        <v>3453</v>
      </c>
      <c r="N27" s="2857" t="s">
        <v>3452</v>
      </c>
      <c r="O27" s="2857" t="s">
        <v>3452</v>
      </c>
      <c r="P27" s="2857" t="s">
        <v>3625</v>
      </c>
      <c r="Q27" s="2857" t="s">
        <v>3455</v>
      </c>
      <c r="R27" s="2857" t="s">
        <v>3602</v>
      </c>
      <c r="S27" s="2857" t="s">
        <v>3626</v>
      </c>
      <c r="T27" s="2857">
        <v>76000</v>
      </c>
      <c r="U27" s="2857">
        <v>47138.15</v>
      </c>
      <c r="V27" s="2857">
        <v>3142.54</v>
      </c>
      <c r="W27" s="2857">
        <v>16835</v>
      </c>
      <c r="X27" s="2857" t="s">
        <v>3452</v>
      </c>
      <c r="Y27" s="2857">
        <v>0</v>
      </c>
      <c r="Z27" s="2857" t="s">
        <v>3452</v>
      </c>
      <c r="AA27" s="2857" t="s">
        <v>3452</v>
      </c>
      <c r="AB27" s="2857" t="s">
        <v>3452</v>
      </c>
      <c r="AC27" s="2857" t="s">
        <v>3468</v>
      </c>
      <c r="AD27" s="2857" t="s">
        <v>3452</v>
      </c>
    </row>
    <row r="28" spans="1:30">
      <c r="A28" s="2857" t="s">
        <v>3627</v>
      </c>
      <c r="B28" s="2857" t="s">
        <v>3393</v>
      </c>
      <c r="C28" s="2857" t="s">
        <v>3479</v>
      </c>
      <c r="D28" s="2857" t="s">
        <v>3628</v>
      </c>
      <c r="E28" s="2857" t="s">
        <v>3629</v>
      </c>
      <c r="F28" s="2857">
        <v>17308.8</v>
      </c>
      <c r="G28" s="2857">
        <v>86544</v>
      </c>
      <c r="H28" s="2857" t="s">
        <v>3448</v>
      </c>
      <c r="I28" s="2857" t="s">
        <v>3463</v>
      </c>
      <c r="J28" s="2857" t="s">
        <v>3630</v>
      </c>
      <c r="K28" s="2857" t="s">
        <v>3631</v>
      </c>
      <c r="L28" s="2857" t="s">
        <v>3452</v>
      </c>
      <c r="M28" s="2857" t="s">
        <v>3453</v>
      </c>
      <c r="N28" s="2857" t="s">
        <v>3452</v>
      </c>
      <c r="O28" s="2857" t="s">
        <v>3452</v>
      </c>
      <c r="P28" s="2857" t="s">
        <v>3632</v>
      </c>
      <c r="Q28" s="2857" t="s">
        <v>3455</v>
      </c>
      <c r="R28" s="2857" t="s">
        <v>3602</v>
      </c>
      <c r="S28" s="2857" t="s">
        <v>3633</v>
      </c>
      <c r="T28" s="2857">
        <v>91400</v>
      </c>
      <c r="U28" s="2857">
        <v>52805.5</v>
      </c>
      <c r="V28" s="2857">
        <v>3520.37</v>
      </c>
      <c r="W28" s="2857">
        <v>10561</v>
      </c>
      <c r="X28" s="2857" t="s">
        <v>3452</v>
      </c>
      <c r="Y28" s="2857">
        <v>0</v>
      </c>
      <c r="Z28" s="2857" t="s">
        <v>3452</v>
      </c>
      <c r="AA28" s="2857" t="s">
        <v>3452</v>
      </c>
      <c r="AB28" s="2857" t="s">
        <v>3452</v>
      </c>
      <c r="AC28" s="2857" t="s">
        <v>3468</v>
      </c>
      <c r="AD28" s="2857" t="s">
        <v>3452</v>
      </c>
    </row>
    <row r="29" spans="1:30" s="3180" customFormat="1">
      <c r="A29" s="3180" t="s">
        <v>3634</v>
      </c>
      <c r="B29" s="3180" t="s">
        <v>3393</v>
      </c>
      <c r="C29" s="3180" t="s">
        <v>3479</v>
      </c>
      <c r="D29" s="3180" t="s">
        <v>3503</v>
      </c>
      <c r="E29" s="3180" t="s">
        <v>3749</v>
      </c>
      <c r="F29" s="3180">
        <v>59169.74</v>
      </c>
      <c r="G29" s="3180">
        <v>130173.43</v>
      </c>
      <c r="H29" s="3180" t="s">
        <v>3448</v>
      </c>
      <c r="I29" s="3180" t="s">
        <v>3463</v>
      </c>
      <c r="J29" s="3180" t="s">
        <v>3565</v>
      </c>
      <c r="K29" s="3180" t="s">
        <v>3615</v>
      </c>
      <c r="L29" s="3180" t="s">
        <v>3452</v>
      </c>
      <c r="M29" s="3180" t="s">
        <v>3453</v>
      </c>
      <c r="N29" s="3180" t="s">
        <v>3452</v>
      </c>
      <c r="O29" s="3180" t="s">
        <v>3452</v>
      </c>
      <c r="P29" s="3180" t="s">
        <v>3635</v>
      </c>
      <c r="Q29" s="3180" t="s">
        <v>3455</v>
      </c>
      <c r="R29" s="3180" t="s">
        <v>3602</v>
      </c>
      <c r="S29" s="3180" t="s">
        <v>3636</v>
      </c>
      <c r="T29" s="3180">
        <v>131600</v>
      </c>
      <c r="U29" s="3180">
        <v>22241.09</v>
      </c>
      <c r="V29" s="3180">
        <v>1482.74</v>
      </c>
      <c r="W29" s="3180">
        <v>10110</v>
      </c>
      <c r="X29" s="3180" t="s">
        <v>3452</v>
      </c>
      <c r="Y29" s="3180">
        <v>0</v>
      </c>
      <c r="Z29" s="3180" t="s">
        <v>3452</v>
      </c>
      <c r="AA29" s="3180" t="s">
        <v>3452</v>
      </c>
      <c r="AB29" s="3180" t="s">
        <v>3452</v>
      </c>
      <c r="AC29" s="3180" t="s">
        <v>3487</v>
      </c>
      <c r="AD29" s="3180" t="s">
        <v>3452</v>
      </c>
    </row>
    <row r="30" spans="1:30">
      <c r="A30" s="2857" t="s">
        <v>3637</v>
      </c>
      <c r="B30" s="2857" t="s">
        <v>3393</v>
      </c>
      <c r="C30" s="2857" t="s">
        <v>3479</v>
      </c>
      <c r="D30" s="2857" t="s">
        <v>3480</v>
      </c>
      <c r="E30" s="2857" t="s">
        <v>3638</v>
      </c>
      <c r="F30" s="2857">
        <v>12066.9</v>
      </c>
      <c r="G30" s="2857">
        <v>18100.349999999999</v>
      </c>
      <c r="H30" s="2857" t="s">
        <v>3448</v>
      </c>
      <c r="I30" s="2857" t="s">
        <v>3585</v>
      </c>
      <c r="J30" s="2857" t="s">
        <v>3639</v>
      </c>
      <c r="K30" s="2857" t="s">
        <v>3451</v>
      </c>
      <c r="L30" s="2857" t="s">
        <v>3452</v>
      </c>
      <c r="M30" s="2857" t="s">
        <v>3453</v>
      </c>
      <c r="N30" s="2857" t="s">
        <v>3452</v>
      </c>
      <c r="O30" s="2857" t="s">
        <v>3452</v>
      </c>
      <c r="P30" s="2857" t="s">
        <v>3640</v>
      </c>
      <c r="Q30" s="2857" t="s">
        <v>3455</v>
      </c>
      <c r="R30" s="2857" t="s">
        <v>3602</v>
      </c>
      <c r="S30" s="2857" t="s">
        <v>3636</v>
      </c>
      <c r="T30" s="2857">
        <v>9400</v>
      </c>
      <c r="U30" s="2857">
        <v>7789.9</v>
      </c>
      <c r="V30" s="2857">
        <v>519.33000000000004</v>
      </c>
      <c r="W30" s="2857">
        <v>5193</v>
      </c>
      <c r="X30" s="2857" t="s">
        <v>3452</v>
      </c>
      <c r="Y30" s="2857">
        <v>0</v>
      </c>
      <c r="Z30" s="2857" t="s">
        <v>3452</v>
      </c>
      <c r="AA30" s="2857" t="s">
        <v>3452</v>
      </c>
      <c r="AB30" s="2857" t="s">
        <v>3452</v>
      </c>
      <c r="AC30" s="2857" t="s">
        <v>3487</v>
      </c>
      <c r="AD30" s="2857" t="s">
        <v>3452</v>
      </c>
    </row>
    <row r="31" spans="1:30">
      <c r="A31" s="2857" t="s">
        <v>3641</v>
      </c>
      <c r="B31" s="2857" t="s">
        <v>3393</v>
      </c>
      <c r="C31" s="2857" t="s">
        <v>3479</v>
      </c>
      <c r="D31" s="2857" t="s">
        <v>3642</v>
      </c>
      <c r="E31" s="2857" t="s">
        <v>3643</v>
      </c>
      <c r="F31" s="2857">
        <v>15178.6</v>
      </c>
      <c r="G31" s="2857">
        <v>45535.8</v>
      </c>
      <c r="H31" s="2857" t="s">
        <v>3448</v>
      </c>
      <c r="I31" s="2857" t="s">
        <v>3463</v>
      </c>
      <c r="J31" s="2857" t="s">
        <v>3614</v>
      </c>
      <c r="K31" s="2857" t="s">
        <v>3644</v>
      </c>
      <c r="L31" s="2857" t="s">
        <v>3452</v>
      </c>
      <c r="M31" s="2857" t="s">
        <v>3453</v>
      </c>
      <c r="N31" s="2857" t="s">
        <v>3452</v>
      </c>
      <c r="O31" s="2857" t="s">
        <v>3452</v>
      </c>
      <c r="P31" s="2857" t="s">
        <v>3645</v>
      </c>
      <c r="Q31" s="2857" t="s">
        <v>3455</v>
      </c>
      <c r="R31" s="2857" t="s">
        <v>3602</v>
      </c>
      <c r="S31" s="2857" t="s">
        <v>3646</v>
      </c>
      <c r="T31" s="2857">
        <v>58400</v>
      </c>
      <c r="U31" s="2857">
        <v>38475.22</v>
      </c>
      <c r="V31" s="2857">
        <v>2565.0100000000002</v>
      </c>
      <c r="W31" s="2857">
        <v>12825</v>
      </c>
      <c r="X31" s="2857" t="s">
        <v>3452</v>
      </c>
      <c r="Y31" s="2857">
        <v>0</v>
      </c>
      <c r="Z31" s="2857" t="s">
        <v>3452</v>
      </c>
      <c r="AA31" s="2857" t="s">
        <v>3452</v>
      </c>
      <c r="AB31" s="2857" t="s">
        <v>3452</v>
      </c>
      <c r="AC31" s="2857" t="s">
        <v>3528</v>
      </c>
      <c r="AD31" s="2857" t="s">
        <v>3452</v>
      </c>
    </row>
    <row r="32" spans="1:30">
      <c r="A32" s="2857" t="s">
        <v>3647</v>
      </c>
      <c r="B32" s="2857" t="s">
        <v>3393</v>
      </c>
      <c r="C32" s="2857" t="s">
        <v>3460</v>
      </c>
      <c r="D32" s="2857" t="s">
        <v>3461</v>
      </c>
      <c r="E32" s="2857" t="s">
        <v>3648</v>
      </c>
      <c r="F32" s="2857">
        <v>29991.73</v>
      </c>
      <c r="G32" s="2857">
        <v>119966.93</v>
      </c>
      <c r="H32" s="2857" t="s">
        <v>3448</v>
      </c>
      <c r="I32" s="2857" t="s">
        <v>3463</v>
      </c>
      <c r="J32" s="2857" t="s">
        <v>3511</v>
      </c>
      <c r="K32" s="2857" t="s">
        <v>3649</v>
      </c>
      <c r="L32" s="2857" t="s">
        <v>3452</v>
      </c>
      <c r="M32" s="2857" t="s">
        <v>3453</v>
      </c>
      <c r="N32" s="2857" t="s">
        <v>3452</v>
      </c>
      <c r="O32" s="2857" t="s">
        <v>3452</v>
      </c>
      <c r="P32" s="2857" t="s">
        <v>3650</v>
      </c>
      <c r="Q32" s="2857" t="s">
        <v>3455</v>
      </c>
      <c r="R32" s="2857" t="s">
        <v>3602</v>
      </c>
      <c r="S32" s="2857" t="s">
        <v>3651</v>
      </c>
      <c r="T32" s="2857">
        <v>165300</v>
      </c>
      <c r="U32" s="2857">
        <v>55115.19</v>
      </c>
      <c r="V32" s="2857">
        <v>3674.35</v>
      </c>
      <c r="W32" s="2857">
        <v>13779</v>
      </c>
      <c r="X32" s="2857" t="s">
        <v>3452</v>
      </c>
      <c r="Y32" s="2857">
        <v>0</v>
      </c>
      <c r="Z32" s="2857" t="s">
        <v>3452</v>
      </c>
      <c r="AA32" s="2857" t="s">
        <v>3452</v>
      </c>
      <c r="AB32" s="2857" t="s">
        <v>3452</v>
      </c>
      <c r="AC32" s="2857" t="s">
        <v>3468</v>
      </c>
      <c r="AD32" s="2857" t="s">
        <v>3452</v>
      </c>
    </row>
    <row r="33" spans="1:30">
      <c r="A33" s="2857" t="s">
        <v>3652</v>
      </c>
      <c r="B33" s="2857" t="s">
        <v>3393</v>
      </c>
      <c r="C33" s="2857" t="s">
        <v>3479</v>
      </c>
      <c r="D33" s="2857" t="s">
        <v>3653</v>
      </c>
      <c r="E33" s="2857" t="s">
        <v>3654</v>
      </c>
      <c r="F33" s="2857">
        <v>15197.52</v>
      </c>
      <c r="G33" s="2857">
        <v>30395.05</v>
      </c>
      <c r="H33" s="2857" t="s">
        <v>3448</v>
      </c>
      <c r="I33" s="2857" t="s">
        <v>3655</v>
      </c>
      <c r="J33" s="2857" t="s">
        <v>3614</v>
      </c>
      <c r="K33" s="2857" t="s">
        <v>3593</v>
      </c>
      <c r="L33" s="2857" t="s">
        <v>3452</v>
      </c>
      <c r="M33" s="2857" t="s">
        <v>3453</v>
      </c>
      <c r="N33" s="2857" t="s">
        <v>3656</v>
      </c>
      <c r="O33" s="2857" t="s">
        <v>3452</v>
      </c>
      <c r="P33" s="2857" t="s">
        <v>3657</v>
      </c>
      <c r="Q33" s="2857" t="s">
        <v>3455</v>
      </c>
      <c r="R33" s="2857" t="s">
        <v>3602</v>
      </c>
      <c r="S33" s="2857" t="s">
        <v>3658</v>
      </c>
      <c r="T33" s="2857">
        <v>42600</v>
      </c>
      <c r="U33" s="2857">
        <v>28030.880000000001</v>
      </c>
      <c r="V33" s="2857">
        <v>1868.73</v>
      </c>
      <c r="W33" s="2857">
        <v>14015</v>
      </c>
      <c r="X33" s="2857" t="s">
        <v>3452</v>
      </c>
      <c r="Y33" s="2857">
        <v>0</v>
      </c>
      <c r="Z33" s="2857" t="s">
        <v>3452</v>
      </c>
      <c r="AA33" s="2857" t="s">
        <v>3452</v>
      </c>
      <c r="AB33" s="2857" t="s">
        <v>3452</v>
      </c>
      <c r="AC33" s="2857" t="s">
        <v>3468</v>
      </c>
      <c r="AD33" s="2857" t="s">
        <v>3452</v>
      </c>
    </row>
    <row r="34" spans="1:30">
      <c r="A34" s="2857" t="s">
        <v>3659</v>
      </c>
      <c r="B34" s="2857" t="s">
        <v>3393</v>
      </c>
      <c r="C34" s="2857" t="s">
        <v>3470</v>
      </c>
      <c r="D34" s="2857" t="s">
        <v>3542</v>
      </c>
      <c r="E34" s="2857" t="s">
        <v>3660</v>
      </c>
      <c r="F34" s="2857">
        <v>38252.550000000003</v>
      </c>
      <c r="G34" s="2857">
        <v>84155.61</v>
      </c>
      <c r="H34" s="2857" t="s">
        <v>3448</v>
      </c>
      <c r="I34" s="2857" t="s">
        <v>3463</v>
      </c>
      <c r="J34" s="2857" t="s">
        <v>3511</v>
      </c>
      <c r="K34" s="2857" t="s">
        <v>3499</v>
      </c>
      <c r="L34" s="2857" t="s">
        <v>3452</v>
      </c>
      <c r="M34" s="2857" t="s">
        <v>3453</v>
      </c>
      <c r="N34" s="2857" t="s">
        <v>3452</v>
      </c>
      <c r="O34" s="2857" t="s">
        <v>3452</v>
      </c>
      <c r="P34" s="2857" t="s">
        <v>3661</v>
      </c>
      <c r="Q34" s="2857" t="s">
        <v>3455</v>
      </c>
      <c r="R34" s="2857" t="s">
        <v>3602</v>
      </c>
      <c r="S34" s="2857" t="s">
        <v>3662</v>
      </c>
      <c r="T34" s="2857">
        <v>175000</v>
      </c>
      <c r="U34" s="2857">
        <v>45748.58</v>
      </c>
      <c r="V34" s="2857">
        <v>3049.91</v>
      </c>
      <c r="W34" s="2857">
        <v>20795</v>
      </c>
      <c r="X34" s="2857" t="s">
        <v>3452</v>
      </c>
      <c r="Y34" s="2857">
        <v>0</v>
      </c>
      <c r="Z34" s="2857" t="s">
        <v>3452</v>
      </c>
      <c r="AA34" s="2857" t="s">
        <v>3452</v>
      </c>
      <c r="AB34" s="2857" t="s">
        <v>3452</v>
      </c>
      <c r="AC34" s="2857" t="s">
        <v>3468</v>
      </c>
      <c r="AD34" s="2857" t="s">
        <v>3452</v>
      </c>
    </row>
    <row r="35" spans="1:30">
      <c r="A35" s="2857" t="s">
        <v>3663</v>
      </c>
      <c r="B35" s="2857" t="s">
        <v>3393</v>
      </c>
      <c r="C35" s="2857" t="s">
        <v>3470</v>
      </c>
      <c r="D35" s="2857" t="s">
        <v>3542</v>
      </c>
      <c r="E35" s="2857" t="s">
        <v>3664</v>
      </c>
      <c r="F35" s="2857">
        <v>30025.18</v>
      </c>
      <c r="G35" s="2857">
        <v>66055.39</v>
      </c>
      <c r="H35" s="2857" t="s">
        <v>3448</v>
      </c>
      <c r="I35" s="2857" t="s">
        <v>3463</v>
      </c>
      <c r="J35" s="2857" t="s">
        <v>3511</v>
      </c>
      <c r="K35" s="2857" t="s">
        <v>3499</v>
      </c>
      <c r="L35" s="2857" t="s">
        <v>3452</v>
      </c>
      <c r="M35" s="2857" t="s">
        <v>3453</v>
      </c>
      <c r="N35" s="2857" t="s">
        <v>3452</v>
      </c>
      <c r="O35" s="2857" t="s">
        <v>3452</v>
      </c>
      <c r="P35" s="2857" t="s">
        <v>3661</v>
      </c>
      <c r="Q35" s="2857" t="s">
        <v>3455</v>
      </c>
      <c r="R35" s="2857" t="s">
        <v>3602</v>
      </c>
      <c r="S35" s="2857" t="s">
        <v>3665</v>
      </c>
      <c r="T35" s="2857">
        <v>137000</v>
      </c>
      <c r="U35" s="2857">
        <v>45628.37</v>
      </c>
      <c r="V35" s="2857">
        <v>3041.89</v>
      </c>
      <c r="W35" s="2857">
        <v>20740</v>
      </c>
      <c r="X35" s="2857" t="s">
        <v>3452</v>
      </c>
      <c r="Y35" s="2857">
        <v>0</v>
      </c>
      <c r="Z35" s="2857" t="s">
        <v>3452</v>
      </c>
      <c r="AA35" s="2857" t="s">
        <v>3452</v>
      </c>
      <c r="AB35" s="2857" t="s">
        <v>3452</v>
      </c>
      <c r="AC35" s="2857" t="s">
        <v>3468</v>
      </c>
      <c r="AD35" s="2857" t="s">
        <v>3452</v>
      </c>
    </row>
    <row r="36" spans="1:30">
      <c r="A36" s="2857" t="s">
        <v>3666</v>
      </c>
      <c r="B36" s="2857" t="s">
        <v>3393</v>
      </c>
      <c r="C36" s="2857" t="s">
        <v>3460</v>
      </c>
      <c r="D36" s="2857" t="s">
        <v>3497</v>
      </c>
      <c r="E36" s="2857" t="s">
        <v>3667</v>
      </c>
      <c r="F36" s="2857">
        <v>204418.11</v>
      </c>
      <c r="G36" s="2857">
        <v>302000</v>
      </c>
      <c r="H36" s="2857" t="s">
        <v>3448</v>
      </c>
      <c r="I36" s="2857" t="s">
        <v>3463</v>
      </c>
      <c r="J36" s="2857" t="s">
        <v>3511</v>
      </c>
      <c r="K36" s="2857" t="s">
        <v>3451</v>
      </c>
      <c r="L36" s="2857" t="s">
        <v>3452</v>
      </c>
      <c r="M36" s="2857" t="s">
        <v>3453</v>
      </c>
      <c r="N36" s="2857" t="s">
        <v>3452</v>
      </c>
      <c r="O36" s="2857" t="s">
        <v>3452</v>
      </c>
      <c r="P36" s="2857" t="s">
        <v>3661</v>
      </c>
      <c r="Q36" s="2857" t="s">
        <v>3455</v>
      </c>
      <c r="R36" s="2857" t="s">
        <v>3602</v>
      </c>
      <c r="S36" s="2857" t="s">
        <v>3668</v>
      </c>
      <c r="T36" s="2857">
        <v>506700</v>
      </c>
      <c r="U36" s="2857">
        <v>24787.43</v>
      </c>
      <c r="V36" s="2857">
        <v>1652.5</v>
      </c>
      <c r="W36" s="2857">
        <v>16778</v>
      </c>
      <c r="X36" s="2857" t="s">
        <v>3452</v>
      </c>
      <c r="Y36" s="2857">
        <v>0</v>
      </c>
      <c r="Z36" s="2857" t="s">
        <v>3452</v>
      </c>
      <c r="AA36" s="2857" t="s">
        <v>3452</v>
      </c>
      <c r="AB36" s="2857" t="s">
        <v>3452</v>
      </c>
      <c r="AC36" s="2857" t="s">
        <v>3468</v>
      </c>
      <c r="AD36" s="2857" t="s">
        <v>3452</v>
      </c>
    </row>
    <row r="37" spans="1:30">
      <c r="A37" s="2857" t="s">
        <v>3669</v>
      </c>
      <c r="B37" s="2857" t="s">
        <v>3393</v>
      </c>
      <c r="C37" s="2857" t="s">
        <v>3470</v>
      </c>
      <c r="D37" s="2857" t="s">
        <v>3542</v>
      </c>
      <c r="E37" s="2857" t="s">
        <v>3670</v>
      </c>
      <c r="F37" s="2857">
        <v>25121.77</v>
      </c>
      <c r="G37" s="2857">
        <v>55267.89</v>
      </c>
      <c r="H37" s="2857" t="s">
        <v>3448</v>
      </c>
      <c r="I37" s="2857" t="s">
        <v>3463</v>
      </c>
      <c r="J37" s="2857" t="s">
        <v>3511</v>
      </c>
      <c r="K37" s="2857" t="s">
        <v>3499</v>
      </c>
      <c r="L37" s="2857" t="s">
        <v>3452</v>
      </c>
      <c r="M37" s="2857" t="s">
        <v>3453</v>
      </c>
      <c r="N37" s="2857" t="s">
        <v>3452</v>
      </c>
      <c r="O37" s="2857" t="s">
        <v>3452</v>
      </c>
      <c r="P37" s="2857" t="s">
        <v>3661</v>
      </c>
      <c r="Q37" s="2857" t="s">
        <v>3455</v>
      </c>
      <c r="R37" s="2857" t="s">
        <v>3602</v>
      </c>
      <c r="S37" s="2857" t="s">
        <v>3671</v>
      </c>
      <c r="T37" s="2857">
        <v>115000</v>
      </c>
      <c r="U37" s="2857">
        <v>45777.02</v>
      </c>
      <c r="V37" s="2857">
        <v>3051.8</v>
      </c>
      <c r="W37" s="2857">
        <v>20808</v>
      </c>
      <c r="X37" s="2857" t="s">
        <v>3452</v>
      </c>
      <c r="Y37" s="2857">
        <v>0</v>
      </c>
      <c r="Z37" s="2857" t="s">
        <v>3452</v>
      </c>
      <c r="AA37" s="2857" t="s">
        <v>3452</v>
      </c>
      <c r="AB37" s="2857" t="s">
        <v>3452</v>
      </c>
      <c r="AC37" s="2857" t="s">
        <v>3468</v>
      </c>
      <c r="AD37" s="2857" t="s">
        <v>3452</v>
      </c>
    </row>
    <row r="38" spans="1:30">
      <c r="A38" s="2857" t="s">
        <v>3672</v>
      </c>
      <c r="B38" s="2857" t="s">
        <v>3393</v>
      </c>
      <c r="C38" s="2857" t="s">
        <v>3460</v>
      </c>
      <c r="D38" s="2857" t="s">
        <v>3673</v>
      </c>
      <c r="E38" s="2857" t="s">
        <v>3674</v>
      </c>
      <c r="F38" s="2857">
        <v>17147.95</v>
      </c>
      <c r="G38" s="2857">
        <v>53158.65</v>
      </c>
      <c r="H38" s="2857" t="s">
        <v>3448</v>
      </c>
      <c r="I38" s="2857" t="s">
        <v>3675</v>
      </c>
      <c r="J38" s="2857" t="s">
        <v>3676</v>
      </c>
      <c r="K38" s="2857" t="s">
        <v>3677</v>
      </c>
      <c r="L38" s="2857" t="s">
        <v>3452</v>
      </c>
      <c r="M38" s="2857" t="s">
        <v>3453</v>
      </c>
      <c r="N38" s="2857" t="s">
        <v>3452</v>
      </c>
      <c r="O38" s="2857" t="s">
        <v>3452</v>
      </c>
      <c r="P38" s="2857" t="s">
        <v>3678</v>
      </c>
      <c r="Q38" s="2857" t="s">
        <v>3455</v>
      </c>
      <c r="R38" s="2857" t="s">
        <v>3602</v>
      </c>
      <c r="S38" s="2857" t="s">
        <v>3527</v>
      </c>
      <c r="T38" s="2857">
        <v>69200</v>
      </c>
      <c r="U38" s="2857">
        <v>40354.68</v>
      </c>
      <c r="V38" s="2857">
        <v>2690.31</v>
      </c>
      <c r="W38" s="2857">
        <v>13018</v>
      </c>
      <c r="X38" s="2857" t="s">
        <v>3452</v>
      </c>
      <c r="Y38" s="2857">
        <v>0</v>
      </c>
      <c r="Z38" s="2857" t="s">
        <v>3452</v>
      </c>
      <c r="AA38" s="2857" t="s">
        <v>3452</v>
      </c>
      <c r="AB38" s="2857" t="s">
        <v>3452</v>
      </c>
      <c r="AC38" s="2857" t="s">
        <v>3468</v>
      </c>
      <c r="AD38" s="2857" t="s">
        <v>3452</v>
      </c>
    </row>
    <row r="39" spans="1:30">
      <c r="A39" s="2857" t="s">
        <v>3679</v>
      </c>
      <c r="B39" s="2857" t="s">
        <v>3393</v>
      </c>
      <c r="C39" s="2857" t="s">
        <v>3460</v>
      </c>
      <c r="D39" s="2857" t="s">
        <v>3497</v>
      </c>
      <c r="E39" s="2857" t="s">
        <v>3680</v>
      </c>
      <c r="F39" s="2857">
        <v>22058.78</v>
      </c>
      <c r="G39" s="2857">
        <v>47390</v>
      </c>
      <c r="H39" s="2857" t="s">
        <v>3448</v>
      </c>
      <c r="I39" s="2857" t="s">
        <v>3463</v>
      </c>
      <c r="J39" s="2857" t="s">
        <v>3676</v>
      </c>
      <c r="K39" s="2857" t="s">
        <v>3681</v>
      </c>
      <c r="L39" s="2857" t="s">
        <v>3452</v>
      </c>
      <c r="M39" s="2857" t="s">
        <v>3453</v>
      </c>
      <c r="N39" s="2857" t="s">
        <v>3452</v>
      </c>
      <c r="O39" s="2857" t="s">
        <v>3452</v>
      </c>
      <c r="P39" s="2857" t="s">
        <v>3682</v>
      </c>
      <c r="Q39" s="2857" t="s">
        <v>3455</v>
      </c>
      <c r="R39" s="2857" t="s">
        <v>3602</v>
      </c>
      <c r="S39" s="2857" t="s">
        <v>3683</v>
      </c>
      <c r="T39" s="2857">
        <v>32700</v>
      </c>
      <c r="U39" s="2857">
        <v>14824.02</v>
      </c>
      <c r="V39" s="2857">
        <v>988.27</v>
      </c>
      <c r="W39" s="2857">
        <v>6900</v>
      </c>
      <c r="X39" s="2857" t="s">
        <v>3452</v>
      </c>
      <c r="Y39" s="2857">
        <v>0</v>
      </c>
      <c r="Z39" s="2857" t="s">
        <v>3452</v>
      </c>
      <c r="AA39" s="2857" t="s">
        <v>3452</v>
      </c>
      <c r="AB39" s="2857" t="s">
        <v>3452</v>
      </c>
      <c r="AC39" s="2857" t="s">
        <v>3468</v>
      </c>
      <c r="AD39" s="2857" t="s">
        <v>3452</v>
      </c>
    </row>
    <row r="40" spans="1:30">
      <c r="A40" s="2857" t="s">
        <v>3684</v>
      </c>
      <c r="B40" s="2857" t="s">
        <v>3393</v>
      </c>
      <c r="C40" s="2857" t="s">
        <v>3575</v>
      </c>
      <c r="D40" s="2857" t="s">
        <v>3685</v>
      </c>
      <c r="E40" s="2857" t="s">
        <v>3686</v>
      </c>
      <c r="F40" s="2857">
        <v>25224.15</v>
      </c>
      <c r="G40" s="2857">
        <v>75672.45</v>
      </c>
      <c r="H40" s="2857" t="s">
        <v>3448</v>
      </c>
      <c r="I40" s="2857" t="s">
        <v>3463</v>
      </c>
      <c r="J40" s="2857" t="s">
        <v>3614</v>
      </c>
      <c r="K40" s="2857" t="s">
        <v>3687</v>
      </c>
      <c r="L40" s="2857" t="s">
        <v>3452</v>
      </c>
      <c r="M40" s="2857" t="s">
        <v>3453</v>
      </c>
      <c r="N40" s="2857" t="s">
        <v>3452</v>
      </c>
      <c r="O40" s="2857" t="s">
        <v>3452</v>
      </c>
      <c r="P40" s="2857" t="s">
        <v>3688</v>
      </c>
      <c r="Q40" s="2857" t="s">
        <v>3455</v>
      </c>
      <c r="R40" s="2857" t="s">
        <v>3602</v>
      </c>
      <c r="S40" s="2857" t="s">
        <v>3689</v>
      </c>
      <c r="T40" s="2857">
        <v>60800</v>
      </c>
      <c r="U40" s="2857">
        <v>24103.88</v>
      </c>
      <c r="V40" s="2857">
        <v>1606.93</v>
      </c>
      <c r="W40" s="2857">
        <v>8035</v>
      </c>
      <c r="X40" s="2857" t="s">
        <v>3452</v>
      </c>
      <c r="Y40" s="2857">
        <v>0</v>
      </c>
      <c r="Z40" s="2857" t="s">
        <v>3452</v>
      </c>
      <c r="AA40" s="2857" t="s">
        <v>3452</v>
      </c>
      <c r="AB40" s="2857" t="s">
        <v>3452</v>
      </c>
      <c r="AC40" s="2857" t="s">
        <v>3458</v>
      </c>
      <c r="AD40" s="2857" t="s">
        <v>3452</v>
      </c>
    </row>
    <row r="41" spans="1:30">
      <c r="A41" s="2857" t="s">
        <v>3690</v>
      </c>
      <c r="B41" s="2857" t="s">
        <v>3393</v>
      </c>
      <c r="C41" s="2857" t="s">
        <v>3470</v>
      </c>
      <c r="D41" s="2857" t="s">
        <v>3691</v>
      </c>
      <c r="E41" s="2857" t="s">
        <v>3692</v>
      </c>
      <c r="F41" s="2857">
        <v>51788.13</v>
      </c>
      <c r="G41" s="2857">
        <v>184800</v>
      </c>
      <c r="H41" s="2857" t="s">
        <v>3448</v>
      </c>
      <c r="I41" s="2857" t="s">
        <v>3585</v>
      </c>
      <c r="J41" s="2857" t="s">
        <v>3614</v>
      </c>
      <c r="K41" s="2857" t="s">
        <v>3693</v>
      </c>
      <c r="L41" s="2857" t="s">
        <v>3452</v>
      </c>
      <c r="M41" s="2857" t="s">
        <v>3453</v>
      </c>
      <c r="N41" s="2857" t="s">
        <v>3452</v>
      </c>
      <c r="O41" s="2857" t="s">
        <v>3452</v>
      </c>
      <c r="P41" s="2857" t="s">
        <v>3694</v>
      </c>
      <c r="Q41" s="2857" t="s">
        <v>3455</v>
      </c>
      <c r="R41" s="2857" t="s">
        <v>3602</v>
      </c>
      <c r="S41" s="2857" t="s">
        <v>3695</v>
      </c>
      <c r="T41" s="2857">
        <v>579500</v>
      </c>
      <c r="U41" s="2857">
        <v>111898.23</v>
      </c>
      <c r="V41" s="2857">
        <v>7459.88</v>
      </c>
      <c r="W41" s="2857">
        <v>31358</v>
      </c>
      <c r="X41" s="2857" t="s">
        <v>3452</v>
      </c>
      <c r="Y41" s="2857">
        <v>1.58</v>
      </c>
      <c r="Z41" s="2857" t="s">
        <v>3452</v>
      </c>
      <c r="AA41" s="2857" t="s">
        <v>3452</v>
      </c>
      <c r="AB41" s="2857" t="s">
        <v>3452</v>
      </c>
      <c r="AC41" s="2857" t="s">
        <v>3477</v>
      </c>
      <c r="AD41" s="2857" t="s">
        <v>3452</v>
      </c>
    </row>
    <row r="42" spans="1:30">
      <c r="A42" s="2857" t="s">
        <v>3696</v>
      </c>
      <c r="B42" s="2857" t="s">
        <v>3393</v>
      </c>
      <c r="C42" s="2857" t="s">
        <v>3479</v>
      </c>
      <c r="D42" s="2857" t="s">
        <v>3628</v>
      </c>
      <c r="E42" s="2857" t="s">
        <v>3697</v>
      </c>
      <c r="F42" s="2857">
        <v>265269.8</v>
      </c>
      <c r="G42" s="2857">
        <v>665975.69999999995</v>
      </c>
      <c r="H42" s="2857" t="s">
        <v>3448</v>
      </c>
      <c r="I42" s="2857" t="s">
        <v>3463</v>
      </c>
      <c r="J42" s="2857" t="s">
        <v>3614</v>
      </c>
      <c r="K42" s="2857" t="s">
        <v>3698</v>
      </c>
      <c r="L42" s="2857" t="s">
        <v>3452</v>
      </c>
      <c r="M42" s="2857" t="s">
        <v>3453</v>
      </c>
      <c r="N42" s="2857" t="s">
        <v>3452</v>
      </c>
      <c r="O42" s="2857" t="s">
        <v>3452</v>
      </c>
      <c r="P42" s="2857" t="s">
        <v>3699</v>
      </c>
      <c r="Q42" s="2857" t="s">
        <v>3455</v>
      </c>
      <c r="R42" s="2857" t="s">
        <v>3602</v>
      </c>
      <c r="S42" s="2857" t="s">
        <v>3700</v>
      </c>
      <c r="T42" s="2857">
        <v>699300</v>
      </c>
      <c r="U42" s="2857">
        <v>26361.84</v>
      </c>
      <c r="V42" s="2857">
        <v>1757.46</v>
      </c>
      <c r="W42" s="2857">
        <v>10500</v>
      </c>
      <c r="X42" s="2857" t="s">
        <v>3452</v>
      </c>
      <c r="Y42" s="2857">
        <v>0</v>
      </c>
      <c r="Z42" s="2857" t="s">
        <v>3452</v>
      </c>
      <c r="AA42" s="2857" t="s">
        <v>3452</v>
      </c>
      <c r="AB42" s="2857" t="s">
        <v>3452</v>
      </c>
      <c r="AC42" s="2857" t="s">
        <v>3468</v>
      </c>
      <c r="AD42" s="2857" t="s">
        <v>3452</v>
      </c>
    </row>
    <row r="43" spans="1:30">
      <c r="A43" s="2857" t="s">
        <v>3701</v>
      </c>
      <c r="B43" s="2857" t="s">
        <v>3393</v>
      </c>
      <c r="C43" s="2857" t="s">
        <v>3702</v>
      </c>
      <c r="D43" s="2857" t="s">
        <v>3703</v>
      </c>
      <c r="E43" s="2857" t="s">
        <v>3704</v>
      </c>
      <c r="F43" s="2857">
        <v>12501.51</v>
      </c>
      <c r="G43" s="2857">
        <v>37505</v>
      </c>
      <c r="H43" s="2857" t="s">
        <v>3448</v>
      </c>
      <c r="I43" s="2857" t="s">
        <v>3463</v>
      </c>
      <c r="J43" s="2857" t="s">
        <v>3614</v>
      </c>
      <c r="K43" s="2857" t="s">
        <v>3687</v>
      </c>
      <c r="L43" s="2857" t="s">
        <v>3452</v>
      </c>
      <c r="M43" s="2857" t="s">
        <v>3453</v>
      </c>
      <c r="N43" s="2857" t="s">
        <v>3452</v>
      </c>
      <c r="O43" s="2857" t="s">
        <v>3452</v>
      </c>
      <c r="P43" s="2857" t="s">
        <v>3705</v>
      </c>
      <c r="Q43" s="2857" t="s">
        <v>3455</v>
      </c>
      <c r="R43" s="2857" t="s">
        <v>3602</v>
      </c>
      <c r="S43" s="2857" t="s">
        <v>3706</v>
      </c>
      <c r="T43" s="2857">
        <v>56000</v>
      </c>
      <c r="U43" s="2857">
        <v>44794.59</v>
      </c>
      <c r="V43" s="2857">
        <v>2986.31</v>
      </c>
      <c r="W43" s="2857">
        <v>14931</v>
      </c>
      <c r="X43" s="2857" t="s">
        <v>3452</v>
      </c>
      <c r="Y43" s="2857">
        <v>0</v>
      </c>
      <c r="Z43" s="2857" t="s">
        <v>3452</v>
      </c>
      <c r="AA43" s="2857" t="s">
        <v>3452</v>
      </c>
      <c r="AB43" s="2857" t="s">
        <v>3452</v>
      </c>
      <c r="AC43" s="2857" t="s">
        <v>3458</v>
      </c>
      <c r="AD43" s="2857" t="s">
        <v>3452</v>
      </c>
    </row>
    <row r="44" spans="1:30">
      <c r="A44" s="2857" t="s">
        <v>3707</v>
      </c>
      <c r="B44" s="2857" t="s">
        <v>3393</v>
      </c>
      <c r="C44" s="2857" t="s">
        <v>3470</v>
      </c>
      <c r="D44" s="2857" t="s">
        <v>3550</v>
      </c>
      <c r="E44" s="2857" t="s">
        <v>3708</v>
      </c>
      <c r="F44" s="2857">
        <v>70601.070000000007</v>
      </c>
      <c r="G44" s="2857">
        <v>285523</v>
      </c>
      <c r="H44" s="2857" t="s">
        <v>3448</v>
      </c>
      <c r="I44" s="2857" t="s">
        <v>3552</v>
      </c>
      <c r="J44" s="2857" t="s">
        <v>3614</v>
      </c>
      <c r="K44" s="2857" t="s">
        <v>3709</v>
      </c>
      <c r="L44" s="2857" t="s">
        <v>3452</v>
      </c>
      <c r="M44" s="2857" t="s">
        <v>3710</v>
      </c>
      <c r="N44" s="2857" t="s">
        <v>3452</v>
      </c>
      <c r="O44" s="2857" t="s">
        <v>3452</v>
      </c>
      <c r="P44" s="2857" t="s">
        <v>3711</v>
      </c>
      <c r="Q44" s="2857" t="s">
        <v>3455</v>
      </c>
      <c r="R44" s="2857" t="s">
        <v>3602</v>
      </c>
      <c r="S44" s="2857" t="s">
        <v>3712</v>
      </c>
      <c r="T44" s="2857">
        <v>660900</v>
      </c>
      <c r="U44" s="2857">
        <v>93610.48</v>
      </c>
      <c r="V44" s="2857">
        <v>6240.7</v>
      </c>
      <c r="W44" s="2857">
        <v>23147</v>
      </c>
      <c r="X44" s="2857" t="s">
        <v>3452</v>
      </c>
      <c r="Y44" s="2857">
        <v>0</v>
      </c>
      <c r="Z44" s="2857" t="s">
        <v>3452</v>
      </c>
      <c r="AA44" s="2857" t="s">
        <v>3452</v>
      </c>
      <c r="AB44" s="2857" t="s">
        <v>3452</v>
      </c>
      <c r="AC44" s="2857" t="s">
        <v>3557</v>
      </c>
      <c r="AD44" s="2857" t="s">
        <v>3452</v>
      </c>
    </row>
    <row r="45" spans="1:30">
      <c r="A45" s="2857" t="s">
        <v>3713</v>
      </c>
      <c r="B45" s="2857" t="s">
        <v>3393</v>
      </c>
      <c r="C45" s="2857" t="s">
        <v>3460</v>
      </c>
      <c r="D45" s="2857" t="s">
        <v>3673</v>
      </c>
      <c r="E45" s="2857" t="s">
        <v>3714</v>
      </c>
      <c r="F45" s="2857">
        <v>28003.32</v>
      </c>
      <c r="G45" s="2857">
        <v>70008</v>
      </c>
      <c r="H45" s="2857" t="s">
        <v>3448</v>
      </c>
      <c r="I45" s="2857" t="s">
        <v>3463</v>
      </c>
      <c r="J45" s="2857" t="s">
        <v>3565</v>
      </c>
      <c r="K45" s="2857" t="s">
        <v>3512</v>
      </c>
      <c r="L45" s="2857" t="s">
        <v>3452</v>
      </c>
      <c r="M45" s="2857" t="s">
        <v>3453</v>
      </c>
      <c r="N45" s="2857" t="s">
        <v>3452</v>
      </c>
      <c r="O45" s="2857" t="s">
        <v>3452</v>
      </c>
      <c r="P45" s="2857" t="s">
        <v>3715</v>
      </c>
      <c r="Q45" s="2857" t="s">
        <v>3455</v>
      </c>
      <c r="R45" s="2857" t="s">
        <v>3602</v>
      </c>
      <c r="S45" s="2857" t="s">
        <v>3716</v>
      </c>
      <c r="T45" s="2857">
        <v>97800</v>
      </c>
      <c r="U45" s="2857">
        <v>34924.43</v>
      </c>
      <c r="V45" s="2857">
        <v>2328.3000000000002</v>
      </c>
      <c r="W45" s="2857">
        <v>13970</v>
      </c>
      <c r="X45" s="2857" t="s">
        <v>3452</v>
      </c>
      <c r="Y45" s="2857">
        <v>1.03</v>
      </c>
      <c r="Z45" s="2857" t="s">
        <v>3452</v>
      </c>
      <c r="AA45" s="2857" t="s">
        <v>3452</v>
      </c>
      <c r="AB45" s="2857" t="s">
        <v>3452</v>
      </c>
      <c r="AC45" s="2857" t="s">
        <v>3528</v>
      </c>
      <c r="AD45" s="2857" t="s">
        <v>3452</v>
      </c>
    </row>
    <row r="46" spans="1:30">
      <c r="A46" s="2857" t="s">
        <v>3717</v>
      </c>
      <c r="B46" s="2857" t="s">
        <v>3393</v>
      </c>
      <c r="C46" s="2857" t="s">
        <v>3479</v>
      </c>
      <c r="D46" s="2857" t="s">
        <v>3718</v>
      </c>
      <c r="E46" s="2857" t="s">
        <v>3719</v>
      </c>
      <c r="F46" s="2857">
        <v>42276.47</v>
      </c>
      <c r="G46" s="2857">
        <v>84552.93</v>
      </c>
      <c r="H46" s="2857" t="s">
        <v>3448</v>
      </c>
      <c r="I46" s="2857" t="s">
        <v>3585</v>
      </c>
      <c r="J46" s="2857" t="s">
        <v>3720</v>
      </c>
      <c r="K46" s="2857" t="s">
        <v>3721</v>
      </c>
      <c r="L46" s="2857" t="s">
        <v>3452</v>
      </c>
      <c r="M46" s="2857" t="s">
        <v>3453</v>
      </c>
      <c r="N46" s="2857" t="s">
        <v>3452</v>
      </c>
      <c r="O46" s="2857" t="s">
        <v>3452</v>
      </c>
      <c r="P46" s="2857" t="s">
        <v>3722</v>
      </c>
      <c r="Q46" s="2857" t="s">
        <v>3455</v>
      </c>
      <c r="R46" s="2857" t="s">
        <v>3602</v>
      </c>
      <c r="S46" s="2857" t="s">
        <v>3723</v>
      </c>
      <c r="T46" s="2857">
        <v>96500</v>
      </c>
      <c r="U46" s="2857">
        <v>22825.93</v>
      </c>
      <c r="V46" s="2857">
        <v>1521.73</v>
      </c>
      <c r="W46" s="2857">
        <v>11413</v>
      </c>
      <c r="X46" s="2857" t="s">
        <v>3452</v>
      </c>
      <c r="Y46" s="2857">
        <v>1.58</v>
      </c>
      <c r="Z46" s="2857" t="s">
        <v>3452</v>
      </c>
      <c r="AA46" s="2857" t="s">
        <v>3452</v>
      </c>
      <c r="AB46" s="2857" t="s">
        <v>3452</v>
      </c>
      <c r="AC46" s="2857" t="s">
        <v>3458</v>
      </c>
      <c r="AD46" s="2857" t="s">
        <v>3452</v>
      </c>
    </row>
    <row r="52" spans="1:30" ht="13.5">
      <c r="A52" s="3181" t="s">
        <v>3750</v>
      </c>
    </row>
    <row r="54" spans="1:30">
      <c r="T54" s="2857" t="s">
        <v>3764</v>
      </c>
    </row>
    <row r="55" spans="1:30">
      <c r="T55" s="3421" t="s">
        <v>3763</v>
      </c>
      <c r="U55" s="3421" t="s">
        <v>3767</v>
      </c>
      <c r="V55" s="3421" t="s">
        <v>3765</v>
      </c>
      <c r="W55" s="3421" t="s">
        <v>3766</v>
      </c>
      <c r="X55" s="3421"/>
      <c r="Y55" s="3421"/>
      <c r="Z55" s="3421"/>
      <c r="AA55" s="3421"/>
      <c r="AB55" s="3421"/>
      <c r="AC55" s="3421"/>
      <c r="AD55" s="3421" t="s">
        <v>3776</v>
      </c>
    </row>
    <row r="56" spans="1:30">
      <c r="T56" s="3421"/>
      <c r="U56" s="3421"/>
      <c r="V56" s="3421"/>
      <c r="W56" s="2857" t="s">
        <v>3773</v>
      </c>
      <c r="Y56" s="2857" t="s">
        <v>3774</v>
      </c>
      <c r="AC56" s="2857" t="s">
        <v>3775</v>
      </c>
      <c r="AD56" s="3421"/>
    </row>
    <row r="57" spans="1:30">
      <c r="T57" s="2857">
        <v>6057</v>
      </c>
      <c r="U57" s="2857" t="s">
        <v>3769</v>
      </c>
      <c r="V57" s="2857">
        <v>7662.49</v>
      </c>
      <c r="W57" s="2857">
        <v>18284.8</v>
      </c>
      <c r="Y57" s="2857">
        <v>9822.5</v>
      </c>
      <c r="AC57" s="2857">
        <f>W57+Y57</f>
        <v>28107.3</v>
      </c>
      <c r="AD57" s="2857">
        <f>ROUND(W57/V57,2)</f>
        <v>2.39</v>
      </c>
    </row>
    <row r="58" spans="1:30">
      <c r="T58" s="2857">
        <v>6058</v>
      </c>
      <c r="U58" s="2857" t="s">
        <v>3770</v>
      </c>
      <c r="V58" s="2857">
        <v>3500</v>
      </c>
      <c r="W58" s="2857">
        <v>2100</v>
      </c>
      <c r="Y58" s="2857">
        <v>0</v>
      </c>
      <c r="AC58" s="2857">
        <f t="shared" ref="AC58:AC63" si="0">W58+Y58</f>
        <v>2100</v>
      </c>
      <c r="AD58" s="2857">
        <f t="shared" ref="AD58:AD64" si="1">ROUND(W58/V58,2)</f>
        <v>0.6</v>
      </c>
    </row>
    <row r="59" spans="1:30">
      <c r="T59" s="2857">
        <v>6059</v>
      </c>
      <c r="U59" s="2857" t="s">
        <v>3771</v>
      </c>
      <c r="V59" s="2857">
        <v>44947.040000000001</v>
      </c>
      <c r="W59" s="2857">
        <v>73244.23</v>
      </c>
      <c r="Y59" s="2857">
        <v>33304.46</v>
      </c>
      <c r="AC59" s="2857">
        <f t="shared" si="0"/>
        <v>106548.69</v>
      </c>
      <c r="AD59" s="2857">
        <f t="shared" si="1"/>
        <v>1.63</v>
      </c>
    </row>
    <row r="60" spans="1:30">
      <c r="T60" s="2857">
        <v>6064</v>
      </c>
      <c r="U60" s="2857" t="s">
        <v>3771</v>
      </c>
      <c r="V60" s="2857">
        <v>20848.45</v>
      </c>
      <c r="W60" s="2857">
        <v>33357.519999999997</v>
      </c>
      <c r="Y60" s="2857">
        <v>21309.61</v>
      </c>
      <c r="AC60" s="2857">
        <f t="shared" si="0"/>
        <v>54667.13</v>
      </c>
      <c r="AD60" s="2857">
        <f t="shared" si="1"/>
        <v>1.6</v>
      </c>
    </row>
    <row r="61" spans="1:30">
      <c r="T61" s="2857">
        <v>6065</v>
      </c>
      <c r="U61" s="2857" t="s">
        <v>3771</v>
      </c>
      <c r="V61" s="2857">
        <v>25686.87</v>
      </c>
      <c r="W61" s="2857">
        <v>39770.019999999997</v>
      </c>
      <c r="Y61" s="2857">
        <v>26075.07</v>
      </c>
      <c r="AC61" s="2857">
        <f t="shared" si="0"/>
        <v>65845.09</v>
      </c>
      <c r="AD61" s="2857">
        <f t="shared" si="1"/>
        <v>1.55</v>
      </c>
    </row>
    <row r="62" spans="1:30">
      <c r="T62" s="2857">
        <v>6067</v>
      </c>
      <c r="U62" s="2857" t="s">
        <v>3768</v>
      </c>
      <c r="V62" s="2857">
        <v>6200</v>
      </c>
      <c r="W62" s="2857">
        <v>4960</v>
      </c>
      <c r="Y62" s="2857">
        <v>3593.96</v>
      </c>
      <c r="AC62" s="2857">
        <f t="shared" si="0"/>
        <v>8553.9599999999991</v>
      </c>
      <c r="AD62" s="2857">
        <f t="shared" si="1"/>
        <v>0.8</v>
      </c>
    </row>
    <row r="63" spans="1:30">
      <c r="T63" s="2857">
        <v>6070</v>
      </c>
      <c r="U63" s="2857" t="s">
        <v>3772</v>
      </c>
      <c r="V63" s="2857">
        <v>13398.85</v>
      </c>
      <c r="W63" s="2857">
        <v>33497.129999999997</v>
      </c>
      <c r="Y63" s="2857">
        <v>10987.24</v>
      </c>
      <c r="AC63" s="2857">
        <f t="shared" si="0"/>
        <v>44484.369999999995</v>
      </c>
      <c r="AD63" s="2857">
        <f t="shared" si="1"/>
        <v>2.5</v>
      </c>
    </row>
    <row r="64" spans="1:30">
      <c r="U64" s="2857" t="s">
        <v>3777</v>
      </c>
      <c r="V64" s="2857">
        <f>SUM(V57:V63)</f>
        <v>122243.7</v>
      </c>
      <c r="W64" s="2857">
        <f t="shared" ref="W64:Y64" si="2">SUM(W57:W63)</f>
        <v>205213.69999999998</v>
      </c>
      <c r="X64" s="2857">
        <f t="shared" si="2"/>
        <v>0</v>
      </c>
      <c r="Y64" s="2857">
        <f t="shared" si="2"/>
        <v>105092.84000000001</v>
      </c>
      <c r="Z64" s="2857">
        <f t="shared" ref="Z64" si="3">SUM(Z57:Z63)</f>
        <v>0</v>
      </c>
      <c r="AA64" s="2857">
        <f t="shared" ref="AA64" si="4">SUM(AA57:AA63)</f>
        <v>0</v>
      </c>
      <c r="AB64" s="2857">
        <f t="shared" ref="AB64" si="5">SUM(AB57:AB63)</f>
        <v>0</v>
      </c>
      <c r="AC64" s="2857">
        <f t="shared" ref="AC64" si="6">SUM(AC57:AC63)</f>
        <v>310306.53999999998</v>
      </c>
      <c r="AD64" s="2857">
        <f t="shared" si="1"/>
        <v>1.68</v>
      </c>
    </row>
    <row r="66" spans="21:33">
      <c r="V66" s="2857" t="s">
        <v>3765</v>
      </c>
      <c r="W66" s="2857" t="s">
        <v>3773</v>
      </c>
      <c r="Y66" s="2857" t="s">
        <v>3774</v>
      </c>
      <c r="AC66" s="2857" t="s">
        <v>3775</v>
      </c>
      <c r="AD66" s="2857" t="s">
        <v>3781</v>
      </c>
      <c r="AE66" s="2857" t="s">
        <v>3379</v>
      </c>
      <c r="AF66" s="2857" t="s">
        <v>3402</v>
      </c>
      <c r="AG66" s="2857" t="s">
        <v>3782</v>
      </c>
    </row>
    <row r="67" spans="21:33">
      <c r="U67" s="2857" t="s">
        <v>3778</v>
      </c>
      <c r="V67" s="2857">
        <f>V59+V60+V61</f>
        <v>91482.36</v>
      </c>
      <c r="W67" s="2857">
        <f>W59+W60+W61</f>
        <v>146371.76999999999</v>
      </c>
      <c r="X67" s="2857">
        <f t="shared" ref="X67:AC67" si="7">X59+X60+X61</f>
        <v>0</v>
      </c>
      <c r="Y67" s="2857">
        <f t="shared" si="7"/>
        <v>80689.14</v>
      </c>
      <c r="Z67" s="2857">
        <f t="shared" si="7"/>
        <v>0</v>
      </c>
      <c r="AA67" s="2857">
        <f t="shared" si="7"/>
        <v>0</v>
      </c>
      <c r="AB67" s="2857">
        <f t="shared" si="7"/>
        <v>0</v>
      </c>
      <c r="AC67" s="2857">
        <f t="shared" si="7"/>
        <v>227060.91</v>
      </c>
      <c r="AD67" s="2857">
        <f>AG67/AG70*AD70</f>
        <v>2336913503.7770033</v>
      </c>
      <c r="AE67" s="2857">
        <f>AD67/W67</f>
        <v>15965.602546016922</v>
      </c>
      <c r="AF67" s="2857">
        <v>7000</v>
      </c>
      <c r="AG67" s="2857">
        <f>W67*AF67</f>
        <v>1024602389.9999999</v>
      </c>
    </row>
    <row r="68" spans="21:33">
      <c r="U68" s="2857" t="s">
        <v>3779</v>
      </c>
      <c r="V68" s="2857">
        <f>V57+V63</f>
        <v>21061.34</v>
      </c>
      <c r="W68" s="2857">
        <f>W57+W63</f>
        <v>51781.929999999993</v>
      </c>
      <c r="X68" s="2857">
        <f t="shared" ref="X68:AC68" si="8">X57+X63</f>
        <v>0</v>
      </c>
      <c r="Y68" s="2857">
        <f t="shared" si="8"/>
        <v>20809.739999999998</v>
      </c>
      <c r="Z68" s="2857">
        <f t="shared" si="8"/>
        <v>0</v>
      </c>
      <c r="AA68" s="2857">
        <f t="shared" si="8"/>
        <v>0</v>
      </c>
      <c r="AB68" s="2857">
        <f t="shared" si="8"/>
        <v>0</v>
      </c>
      <c r="AC68" s="2857">
        <f t="shared" si="8"/>
        <v>72591.67</v>
      </c>
      <c r="AD68" s="2857">
        <f>AG68/AG70*AD70</f>
        <v>708625468.6677171</v>
      </c>
      <c r="AE68" s="2857">
        <f t="shared" ref="AE68:AE70" si="9">AD68/W68</f>
        <v>13684.80218230022</v>
      </c>
      <c r="AF68" s="2857">
        <v>6000</v>
      </c>
      <c r="AG68" s="2857">
        <f>W68*AF68</f>
        <v>310691579.99999994</v>
      </c>
    </row>
    <row r="69" spans="21:33">
      <c r="U69" s="2857" t="s">
        <v>3780</v>
      </c>
      <c r="V69" s="2857">
        <f>V58+V62</f>
        <v>9700</v>
      </c>
      <c r="W69" s="2857">
        <f>W58+W62</f>
        <v>7060</v>
      </c>
      <c r="X69" s="2857">
        <f t="shared" ref="X69:AC69" si="10">X58+X62</f>
        <v>0</v>
      </c>
      <c r="Y69" s="2857">
        <f t="shared" si="10"/>
        <v>3593.96</v>
      </c>
      <c r="Z69" s="2857">
        <f t="shared" si="10"/>
        <v>0</v>
      </c>
      <c r="AA69" s="2857">
        <f t="shared" si="10"/>
        <v>0</v>
      </c>
      <c r="AB69" s="2857">
        <f t="shared" si="10"/>
        <v>0</v>
      </c>
      <c r="AC69" s="2857">
        <f t="shared" si="10"/>
        <v>10653.96</v>
      </c>
      <c r="AD69" s="2857">
        <f>AG69/AG70*AD70</f>
        <v>72461027.555279672</v>
      </c>
      <c r="AE69" s="2857">
        <f t="shared" si="9"/>
        <v>10263.601636725167</v>
      </c>
      <c r="AF69" s="2857">
        <v>4500</v>
      </c>
      <c r="AG69" s="2857">
        <f>W69*AF69</f>
        <v>31770000</v>
      </c>
    </row>
    <row r="70" spans="21:33">
      <c r="U70" s="2857" t="s">
        <v>3777</v>
      </c>
      <c r="V70" s="2857">
        <f>SUM(V67:V69)</f>
        <v>122243.7</v>
      </c>
      <c r="W70" s="2857">
        <f>SUM(W67:W69)</f>
        <v>205213.69999999998</v>
      </c>
      <c r="X70" s="2857">
        <f t="shared" ref="X70:AC70" si="11">SUM(X67:X69)</f>
        <v>0</v>
      </c>
      <c r="Y70" s="2857">
        <f t="shared" si="11"/>
        <v>105092.84000000001</v>
      </c>
      <c r="Z70" s="2857">
        <f t="shared" si="11"/>
        <v>0</v>
      </c>
      <c r="AA70" s="2857">
        <f t="shared" si="11"/>
        <v>0</v>
      </c>
      <c r="AB70" s="2857">
        <f t="shared" si="11"/>
        <v>0</v>
      </c>
      <c r="AC70" s="2857">
        <f t="shared" si="11"/>
        <v>310306.54000000004</v>
      </c>
      <c r="AD70" s="2857">
        <v>3118000000</v>
      </c>
      <c r="AE70" s="2857">
        <f t="shared" si="9"/>
        <v>15193.917365166168</v>
      </c>
      <c r="AG70" s="2857">
        <f>SUM(AG67:AG69)</f>
        <v>1367063969.9999998</v>
      </c>
    </row>
    <row r="72" spans="21:33">
      <c r="U72" s="2857" t="s">
        <v>3783</v>
      </c>
      <c r="V72" s="2857">
        <f>V67+V68</f>
        <v>112543.7</v>
      </c>
      <c r="W72" s="2857">
        <f>W67+W68</f>
        <v>198153.69999999998</v>
      </c>
      <c r="X72" s="2857">
        <f t="shared" ref="X72:AD72" si="12">X67+X68</f>
        <v>0</v>
      </c>
      <c r="Y72" s="2857">
        <f t="shared" si="12"/>
        <v>101498.88</v>
      </c>
      <c r="Z72" s="2857">
        <f t="shared" si="12"/>
        <v>0</v>
      </c>
      <c r="AA72" s="2857">
        <f t="shared" si="12"/>
        <v>0</v>
      </c>
      <c r="AB72" s="2857">
        <f t="shared" si="12"/>
        <v>0</v>
      </c>
      <c r="AC72" s="2857">
        <f t="shared" si="12"/>
        <v>299652.58</v>
      </c>
      <c r="AD72" s="2857">
        <f t="shared" si="12"/>
        <v>3045538972.4447203</v>
      </c>
      <c r="AE72" s="2857">
        <f>AD72/W72</f>
        <v>15369.579131980481</v>
      </c>
    </row>
  </sheetData>
  <autoFilter ref="A1:AD46"/>
  <mergeCells count="5">
    <mergeCell ref="T55:T56"/>
    <mergeCell ref="U55:U56"/>
    <mergeCell ref="V55:V56"/>
    <mergeCell ref="W55:AC55"/>
    <mergeCell ref="AD55:AD56"/>
  </mergeCells>
  <phoneticPr fontId="134" type="noConversion"/>
  <hyperlinks>
    <hyperlink ref="A52"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E44" sqref="E4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1916</v>
      </c>
      <c r="B1" s="189"/>
      <c r="C1" s="193" t="s">
        <v>1917</v>
      </c>
      <c r="D1" s="333">
        <f>SUM(D33:D34,D37:D42)</f>
        <v>10446.719999999999</v>
      </c>
      <c r="E1" s="1842"/>
      <c r="F1" s="1842"/>
      <c r="G1" s="1842"/>
      <c r="H1" s="1842"/>
      <c r="I1" s="1842"/>
      <c r="J1" s="1842"/>
      <c r="K1" s="1056"/>
      <c r="L1" s="1843" t="s">
        <v>1918</v>
      </c>
      <c r="M1" s="810">
        <f>SUMPRODUCT((区片价!B5:B9=I2)*(区片价!C3:G3=E2)*(区片价!C5:G9))</f>
        <v>0</v>
      </c>
      <c r="N1" s="813">
        <f>SUMPRODUCT((因素修正幅度!B5:B9=I2)*(因素修正幅度!C3:G3=E2)*(因素修正幅度!C5:G9))</f>
        <v>0</v>
      </c>
      <c r="O1" s="1844"/>
      <c r="P1" s="1844"/>
      <c r="Q1" s="1056"/>
      <c r="R1" s="1129" t="s">
        <v>1919</v>
      </c>
      <c r="S1" s="1129" t="s">
        <v>1920</v>
      </c>
      <c r="T1" s="1129" t="s">
        <v>1921</v>
      </c>
      <c r="U1" s="1129" t="s">
        <v>1922</v>
      </c>
      <c r="V1" s="1129" t="s">
        <v>1923</v>
      </c>
      <c r="W1" s="1133"/>
      <c r="X1" s="1133"/>
      <c r="Y1" s="1133"/>
      <c r="Z1" s="1133"/>
      <c r="AA1" s="1133"/>
      <c r="AB1" s="1133"/>
      <c r="AC1" s="1134"/>
      <c r="AD1" s="1135"/>
      <c r="AE1" s="1135"/>
      <c r="AF1" s="1135"/>
      <c r="AG1" s="1135"/>
      <c r="AH1" s="1135"/>
      <c r="AI1" s="1135"/>
      <c r="AJ1" s="1136"/>
    </row>
    <row r="2" spans="1:36" ht="15.75">
      <c r="A2" s="193" t="s">
        <v>1924</v>
      </c>
      <c r="B2" s="196">
        <f>C30</f>
        <v>1340</v>
      </c>
      <c r="C2" s="1846" t="s">
        <v>1925</v>
      </c>
      <c r="D2" s="162" t="s">
        <v>1926</v>
      </c>
      <c r="E2" s="3119" t="s">
        <v>3832</v>
      </c>
      <c r="F2" s="162" t="s">
        <v>1927</v>
      </c>
      <c r="G2" s="163" t="str">
        <f>IF(E2="商业",项目基本情况!B37,IF(E2="办公",项目基本情况!C37,IF(E2="住宅",项目基本情况!D37,IF(E2="工业",项目基本情况!E37,项目基本情况!F37))))</f>
        <v>十级</v>
      </c>
      <c r="H2" s="162" t="s">
        <v>1928</v>
      </c>
      <c r="I2" s="163" t="str">
        <f>IF(E2="商业",项目基本情况!B38,IF(E2="办公",项目基本情况!C38,IF(E2="住宅",项目基本情况!D38,IF(E2="工业",项目基本情况!E38,项目基本情况!F38))))</f>
        <v>Ⅹ-兴2</v>
      </c>
      <c r="J2" s="1842"/>
      <c r="K2" s="1056"/>
      <c r="L2" s="1847" t="s">
        <v>1929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1978</v>
      </c>
      <c r="U2" s="1130" t="e">
        <f>ROUND(#REF!/4,2)</f>
        <v>#REF!</v>
      </c>
      <c r="V2" s="3062" t="e">
        <f>ROUND(T2*U2/10000,0)</f>
        <v>#REF!</v>
      </c>
      <c r="W2" s="1133"/>
      <c r="X2" s="1133"/>
      <c r="Y2" s="1133"/>
      <c r="Z2" s="1133"/>
      <c r="AA2" s="1133"/>
      <c r="AB2" s="1133"/>
      <c r="AC2" s="1134"/>
      <c r="AD2" s="1135"/>
      <c r="AE2" s="1135"/>
      <c r="AF2" s="1135"/>
      <c r="AG2" s="1135"/>
      <c r="AH2" s="1135"/>
      <c r="AI2" s="1135"/>
      <c r="AJ2" s="1136"/>
    </row>
    <row r="3" spans="1:36" ht="15.75">
      <c r="A3" s="195" t="s">
        <v>1930</v>
      </c>
      <c r="B3" s="196">
        <f>ROUND(B2*10000/D1,0)</f>
        <v>1283</v>
      </c>
      <c r="C3" s="1846" t="s">
        <v>1931</v>
      </c>
      <c r="D3" s="162" t="s">
        <v>1932</v>
      </c>
      <c r="E3" s="3117" t="s">
        <v>2452</v>
      </c>
      <c r="F3" s="1848" t="s">
        <v>3823</v>
      </c>
      <c r="G3" s="708">
        <f>IF(F3="宗地容积率",'数据-汇总表'!I4,IF(F3="估价对象容积率",'数据-汇总表'!I6,'数据-汇总表'!I7))</f>
        <v>1.5</v>
      </c>
      <c r="H3" s="162" t="s">
        <v>1933</v>
      </c>
      <c r="I3" s="729"/>
      <c r="J3" s="1842" t="s">
        <v>1934</v>
      </c>
      <c r="K3" s="1056"/>
      <c r="L3" s="1847" t="s">
        <v>1935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1525</v>
      </c>
      <c r="U3" s="1130" t="e">
        <f>U2</f>
        <v>#REF!</v>
      </c>
      <c r="V3" s="3062" t="e">
        <f t="shared" ref="V3:V16" si="1">ROUND(T3*U3/10000,0)</f>
        <v>#REF!</v>
      </c>
      <c r="W3" s="1133"/>
      <c r="X3" s="1133"/>
      <c r="Y3" s="1133"/>
      <c r="Z3" s="1133"/>
      <c r="AA3" s="1133"/>
      <c r="AB3" s="1133"/>
      <c r="AC3" s="1134"/>
      <c r="AD3" s="1135"/>
      <c r="AE3" s="1135"/>
      <c r="AF3" s="1135"/>
      <c r="AG3" s="1135"/>
      <c r="AH3" s="1135"/>
      <c r="AI3" s="1135"/>
      <c r="AJ3" s="1136"/>
    </row>
    <row r="4" spans="1:36" ht="15.75">
      <c r="A4" s="3429"/>
      <c r="B4" s="3430"/>
      <c r="C4" s="3430"/>
      <c r="D4" s="3431"/>
      <c r="E4" s="3431"/>
      <c r="F4" s="3431"/>
      <c r="G4" s="3431"/>
      <c r="H4" s="3431"/>
      <c r="I4" s="3431"/>
      <c r="J4" s="3432"/>
      <c r="K4" s="1056"/>
      <c r="L4" s="1847" t="s">
        <v>1936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1244</v>
      </c>
      <c r="U4" s="1130" t="e">
        <f>U2</f>
        <v>#REF!</v>
      </c>
      <c r="V4" s="3062" t="e">
        <f t="shared" si="1"/>
        <v>#REF!</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1937</v>
      </c>
      <c r="C5" s="709">
        <f>ROUND(IF(E2="商业",C6*C7*C17+C20,(IF(E2="住宅",C6*C13*C17+C20,IF(E2="办公",C6*C12*C17+C20,C6+C20)))),0)</f>
        <v>2240</v>
      </c>
      <c r="D5" s="1252">
        <f>ROUND(C6*C17+C20,0)</f>
        <v>2240</v>
      </c>
      <c r="E5" s="1252"/>
      <c r="F5" s="1851"/>
      <c r="G5" s="1852"/>
      <c r="H5" s="1852"/>
      <c r="I5" s="1852"/>
      <c r="J5" s="1853"/>
      <c r="K5" s="1854"/>
      <c r="L5" s="1847" t="s">
        <v>1938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1056</v>
      </c>
      <c r="U5" s="1130" t="e">
        <f>#REF!-基准地价修正!U2-基准地价修正!U3-基准地价修正!U4</f>
        <v>#REF!</v>
      </c>
      <c r="V5" s="3062" t="e">
        <f t="shared" si="1"/>
        <v>#REF!</v>
      </c>
      <c r="W5" s="1133"/>
      <c r="X5" s="1133"/>
      <c r="Y5" s="1133"/>
      <c r="Z5" s="1133"/>
      <c r="AA5" s="1133"/>
      <c r="AB5" s="1133"/>
      <c r="AC5" s="1855"/>
      <c r="AD5" s="1856"/>
      <c r="AE5" s="1856"/>
      <c r="AF5" s="1856"/>
      <c r="AG5" s="1856"/>
      <c r="AH5" s="1856"/>
      <c r="AI5" s="1856"/>
      <c r="AJ5" s="1857"/>
    </row>
    <row r="6" spans="1:36" ht="15.75" thickBot="1">
      <c r="A6" s="1859" t="s">
        <v>1939</v>
      </c>
      <c r="B6" s="1860" t="s">
        <v>1940</v>
      </c>
      <c r="C6" s="710">
        <f>SUMIF(L1:L12,G2,M1:M12)</f>
        <v>2240</v>
      </c>
      <c r="D6" s="1861"/>
      <c r="E6" s="1862"/>
      <c r="F6" s="1862"/>
      <c r="G6" s="1863"/>
      <c r="H6" s="1863"/>
      <c r="I6" s="1863"/>
      <c r="J6" s="1864"/>
      <c r="K6" s="1292"/>
      <c r="L6" s="1847" t="s">
        <v>1941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962</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3225</v>
      </c>
      <c r="B7" s="1865" t="s">
        <v>1942</v>
      </c>
      <c r="C7" s="711">
        <f>IF(C8="不临65条商业街",1,ROUND(1+(1.6*E8+1.2*E9+0.8*E10+0.4*E11)*C9,4))</f>
        <v>1</v>
      </c>
      <c r="D7" s="1866" t="s">
        <v>1943</v>
      </c>
      <c r="E7" s="730"/>
      <c r="F7" s="1867"/>
      <c r="G7" s="1868"/>
      <c r="H7" s="1868"/>
      <c r="I7" s="1868"/>
      <c r="J7" s="1869"/>
      <c r="K7" s="1292"/>
      <c r="L7" s="1847" t="s">
        <v>1944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1945</v>
      </c>
      <c r="X7" s="1131" t="str">
        <f>G2</f>
        <v>十级</v>
      </c>
      <c r="Y7" s="1131" t="s">
        <v>1946</v>
      </c>
      <c r="Z7" s="1132">
        <f>G3</f>
        <v>1.5</v>
      </c>
      <c r="AA7" s="1133"/>
      <c r="AB7" s="1133"/>
      <c r="AC7" s="1134"/>
      <c r="AD7" s="1135"/>
      <c r="AE7" s="1135"/>
      <c r="AF7" s="1135"/>
      <c r="AG7" s="1135"/>
      <c r="AH7" s="1135"/>
      <c r="AI7" s="1135"/>
      <c r="AJ7" s="1136"/>
    </row>
    <row r="8" spans="1:36" ht="25.5">
      <c r="A8" s="3008"/>
      <c r="B8" s="162" t="s">
        <v>1947</v>
      </c>
      <c r="C8" s="1870" t="s">
        <v>3824</v>
      </c>
      <c r="D8" s="712" t="s">
        <v>112</v>
      </c>
      <c r="E8" s="713" t="e">
        <f>ROUND(C11/E7,4)</f>
        <v>#DIV/0!</v>
      </c>
      <c r="F8" s="1871" t="s">
        <v>1948</v>
      </c>
      <c r="G8" s="1872"/>
      <c r="H8" s="1872"/>
      <c r="I8" s="1872"/>
      <c r="J8" s="1873"/>
      <c r="K8" s="1056"/>
      <c r="L8" s="1847" t="s">
        <v>1949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26" t="s">
        <v>1950</v>
      </c>
      <c r="X8" s="3427"/>
      <c r="Y8" s="1137" t="s">
        <v>1951</v>
      </c>
      <c r="Z8" s="1137" t="s">
        <v>1952</v>
      </c>
      <c r="AA8" s="1137" t="s">
        <v>1953</v>
      </c>
      <c r="AB8" s="1137" t="s">
        <v>1954</v>
      </c>
      <c r="AC8" s="1137" t="s">
        <v>1955</v>
      </c>
      <c r="AD8" s="1137" t="s">
        <v>1956</v>
      </c>
      <c r="AE8" s="1137" t="s">
        <v>1957</v>
      </c>
      <c r="AF8" s="1137" t="s">
        <v>1958</v>
      </c>
      <c r="AG8" s="1137" t="s">
        <v>1959</v>
      </c>
      <c r="AH8" s="1137" t="s">
        <v>1960</v>
      </c>
      <c r="AI8" s="1137" t="s">
        <v>1961</v>
      </c>
      <c r="AJ8" s="1137" t="s">
        <v>1962</v>
      </c>
    </row>
    <row r="9" spans="1:36" ht="15">
      <c r="A9" s="3008"/>
      <c r="B9" s="162" t="s">
        <v>1963</v>
      </c>
      <c r="C9" s="714">
        <f>SUMIF(修正!C71:C138,C8,修正!E71:E138)</f>
        <v>0</v>
      </c>
      <c r="D9" s="163" t="s">
        <v>113</v>
      </c>
      <c r="E9" s="163" t="e">
        <f>ROUND(C11/E7,4)</f>
        <v>#DIV/0!</v>
      </c>
      <c r="F9" s="1871" t="s">
        <v>1964</v>
      </c>
      <c r="G9" s="1872"/>
      <c r="H9" s="1872"/>
      <c r="I9" s="1872"/>
      <c r="J9" s="1873"/>
      <c r="K9" s="1056"/>
      <c r="L9" s="1847" t="s">
        <v>1965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28"/>
      <c r="X9" s="3063" t="s">
        <v>3255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1966</v>
      </c>
      <c r="C10" s="163">
        <f>SUMIF(修正!C71:C138,C8,修正!F71:F138)</f>
        <v>0</v>
      </c>
      <c r="D10" s="163" t="s">
        <v>114</v>
      </c>
      <c r="E10" s="163" t="e">
        <f>ROUND(C11/E7,4)</f>
        <v>#DIV/0!</v>
      </c>
      <c r="F10" s="1871" t="s">
        <v>1967</v>
      </c>
      <c r="G10" s="1872"/>
      <c r="H10" s="1872"/>
      <c r="I10" s="1872"/>
      <c r="J10" s="1873"/>
      <c r="K10" s="1056"/>
      <c r="L10" s="1847" t="s">
        <v>1968</v>
      </c>
      <c r="M10" s="811">
        <f>SUMPRODUCT((区片价!B327:B357=I2)*(区片价!C3:G3=E2)*(区片价!C327:G357))</f>
        <v>2240</v>
      </c>
      <c r="N10" s="813">
        <f>SUMPRODUCT((因素修正幅度!B327:B357=I2)*(因素修正幅度!C3:G3=E2)*(因素修正幅度!C327:G357))</f>
        <v>0.13</v>
      </c>
      <c r="O10" s="1056"/>
      <c r="P10" s="1056"/>
      <c r="Q10" s="1056"/>
      <c r="R10" s="1129">
        <v>9</v>
      </c>
      <c r="S10" s="1130"/>
      <c r="T10" s="3062">
        <f t="shared" si="0"/>
        <v>0</v>
      </c>
      <c r="U10" s="1130"/>
      <c r="V10" s="3062">
        <f t="shared" si="1"/>
        <v>0</v>
      </c>
      <c r="W10" s="342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1969</v>
      </c>
      <c r="C11" s="715">
        <f>C10/4</f>
        <v>0</v>
      </c>
      <c r="D11" s="715" t="s">
        <v>115</v>
      </c>
      <c r="E11" s="715" t="e">
        <f>ROUND(C11/E7,4)</f>
        <v>#DIV/0!</v>
      </c>
      <c r="F11" s="1875" t="s">
        <v>1970</v>
      </c>
      <c r="G11" s="1876"/>
      <c r="H11" s="1876"/>
      <c r="I11" s="1876"/>
      <c r="J11" s="1877"/>
      <c r="K11" s="1056"/>
      <c r="L11" s="1847" t="s">
        <v>1971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3226</v>
      </c>
      <c r="B12" s="3012" t="s">
        <v>3227</v>
      </c>
      <c r="C12" s="3013">
        <v>1</v>
      </c>
      <c r="D12" s="3014" t="s">
        <v>3228</v>
      </c>
      <c r="E12" s="3015" t="s">
        <v>3229</v>
      </c>
      <c r="F12" s="3016"/>
      <c r="G12" s="3017"/>
      <c r="H12" s="3017"/>
      <c r="I12" s="3017"/>
      <c r="J12" s="3018"/>
      <c r="K12" s="1056"/>
      <c r="L12" s="1796" t="s">
        <v>1974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3230</v>
      </c>
      <c r="B13" s="1878" t="s">
        <v>1972</v>
      </c>
      <c r="C13" s="711">
        <f>ROUND(C16*D16*E16*F16*G16*H16*I16*J16,4)</f>
        <v>0</v>
      </c>
      <c r="D13" s="1879" t="s">
        <v>1973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1975</v>
      </c>
      <c r="C14" s="1884" t="s">
        <v>1976</v>
      </c>
      <c r="D14" s="1261" t="s">
        <v>1977</v>
      </c>
      <c r="E14" s="27" t="s">
        <v>1978</v>
      </c>
      <c r="F14" s="3019" t="s">
        <v>3231</v>
      </c>
      <c r="G14" s="3019" t="s">
        <v>3231</v>
      </c>
      <c r="H14" s="3019" t="s">
        <v>3231</v>
      </c>
      <c r="I14" s="3019" t="s">
        <v>3231</v>
      </c>
      <c r="J14" s="3019" t="s">
        <v>3231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1979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3233</v>
      </c>
      <c r="B17" s="3026" t="s">
        <v>3234</v>
      </c>
      <c r="C17" s="3035">
        <f>ROUND(IF(OR(E2="工业",E2="公共服务"),1,IF(AND(E18=0,E19=0),1,IF(AND(E18=J24,E19=G19),0.8,IF(E19=0,1+E17*(-0.2),1+E17*G17*(-0.2))))),4)</f>
        <v>1</v>
      </c>
      <c r="D17" s="3027" t="s">
        <v>3235</v>
      </c>
      <c r="E17" s="3035">
        <f>ROUND(G18/I18,2)</f>
        <v>0</v>
      </c>
      <c r="F17" s="3027" t="s">
        <v>3238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3236</v>
      </c>
      <c r="E18" s="2356"/>
      <c r="F18" s="3029" t="s">
        <v>3239</v>
      </c>
      <c r="G18" s="3033">
        <f>ROUND(1-(1/(POWER(1+G24,E18))),4)</f>
        <v>0</v>
      </c>
      <c r="H18" s="3029" t="s">
        <v>3241</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3237</v>
      </c>
      <c r="E19" s="3042"/>
      <c r="F19" s="3043" t="s">
        <v>3240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33" t="s">
        <v>3242</v>
      </c>
      <c r="B20" s="159" t="s">
        <v>1984</v>
      </c>
      <c r="C20" s="3030">
        <f>ROUND(IF(F21="与级别开发程度一致",0,(G21-E21)/C21),0)</f>
        <v>0</v>
      </c>
      <c r="D20" s="3045" t="s">
        <v>1988</v>
      </c>
      <c r="E20" s="3046"/>
      <c r="F20" s="3439" t="s">
        <v>1985</v>
      </c>
      <c r="G20" s="3440"/>
      <c r="H20" s="3031" t="s">
        <v>3825</v>
      </c>
      <c r="I20" s="3031" t="s">
        <v>3826</v>
      </c>
      <c r="J20" s="3032" t="s">
        <v>3827</v>
      </c>
      <c r="K20" s="1889" t="s">
        <v>3828</v>
      </c>
      <c r="L20" s="1889" t="s">
        <v>3842</v>
      </c>
      <c r="M20" s="1889" t="s">
        <v>3829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34"/>
      <c r="B21" s="2002" t="s">
        <v>1987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3843</v>
      </c>
      <c r="G21" s="1995">
        <f>SUM(H21:O21)</f>
        <v>185</v>
      </c>
      <c r="H21" s="2003">
        <f>SUMPRODUCT((七通一平=H20)*(修正!B1:M1=G2)*(修正!B8:M16))</f>
        <v>60</v>
      </c>
      <c r="I21" s="2003">
        <f>SUMPRODUCT((七通一平=I20)*(修正!B1:M1=G2)*(修正!B8:M16))</f>
        <v>50</v>
      </c>
      <c r="J21" s="2004">
        <f>SUMPRODUCT((七通一平=J20)*(修正!B1:M1=G2)*(修正!B8:M16))</f>
        <v>20</v>
      </c>
      <c r="K21" s="2003">
        <f>SUMPRODUCT((七通一平=K20)*(修正!B1:M1=G2)*(修正!B8:M16))</f>
        <v>35</v>
      </c>
      <c r="L21" s="2003">
        <f>SUMPRODUCT((七通一平=L20)*(修正!B1:M1=G2)*(修正!B8:M16))</f>
        <v>10</v>
      </c>
      <c r="M21" s="2003">
        <f>SUMPRODUCT((七通一平=M20)*(修正!B1:M1=G2)*(修正!B8:M16))</f>
        <v>10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1990</v>
      </c>
      <c r="C22" s="1998">
        <f>SUMIF(修正!C20:C51,E3,修正!E20:E51)</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1991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1992</v>
      </c>
      <c r="E23" s="717">
        <v>44197</v>
      </c>
      <c r="F23" s="1896" t="s">
        <v>1993</v>
      </c>
      <c r="G23" s="718">
        <f>'数据-取费表'!B2</f>
        <v>45719</v>
      </c>
      <c r="H23" s="3047" t="s">
        <v>3243</v>
      </c>
      <c r="I23" s="3048" t="str">
        <f>IF(H23="季度增幅（自定义）",SUMIF(N25:N28,E2,O25:O28),"")</f>
        <v/>
      </c>
      <c r="J23" s="3140" t="s">
        <v>3830</v>
      </c>
      <c r="K23" s="1061"/>
      <c r="L23" s="1897" t="s">
        <v>1994</v>
      </c>
      <c r="M23" s="1241">
        <f>ROUND(SUMIF(地价!B2:G2,E2,地价!B16:G16),0)</f>
        <v>0</v>
      </c>
      <c r="N23" s="1898" t="s">
        <v>1995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1996</v>
      </c>
      <c r="C24" s="720">
        <f>ROUND(POWER(1+G24,J24-I24)*(POWER(1+G24,I24)-1)/(POWER(1+G24,J24)-1),4)</f>
        <v>0.73899999999999999</v>
      </c>
      <c r="D24" s="1902" t="s">
        <v>1997</v>
      </c>
      <c r="E24" s="1248">
        <f>存贷款利率!E27/100</f>
        <v>4.3499999999999997E-2</v>
      </c>
      <c r="F24" s="1902" t="s">
        <v>1989</v>
      </c>
      <c r="G24" s="724">
        <f>SUMIF(M30:Q30,E2,M33:Q33)</f>
        <v>0.05</v>
      </c>
      <c r="H24" s="1902" t="s">
        <v>1998</v>
      </c>
      <c r="I24" s="725">
        <f>SUMIF('数据-取费表'!C6:C15,E2,'数据-取费表'!F6:F15)/COUNTIF('数据-取费表'!C6:C15,E2)</f>
        <v>23.01</v>
      </c>
      <c r="J24" s="726">
        <f>IF(E2="住宅",70,IF(E2="商业",40,50))</f>
        <v>50</v>
      </c>
      <c r="K24" s="1061"/>
      <c r="L24" s="1903" t="s">
        <v>1999</v>
      </c>
      <c r="M24" s="1242">
        <f>ROUND(SUMPRODUCT((地价!A4:A16=YEAR(G23)&amp;"-"&amp;ROUNDUP(MONTH(G23)/3,0))*(地价!B2:G2=E2)*(地价!B4:G16)),0)</f>
        <v>0</v>
      </c>
      <c r="N24" s="1904" t="s">
        <v>2000</v>
      </c>
      <c r="O24" s="1905" t="s">
        <v>2001</v>
      </c>
      <c r="P24" s="1906" t="s">
        <v>2002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3322</v>
      </c>
      <c r="C25" s="461">
        <f>IF(B25="容积率修正",IF(G3&lt;10,D26,J26),C27)</f>
        <v>1</v>
      </c>
      <c r="D25" s="1909"/>
      <c r="E25" s="1909"/>
      <c r="F25" s="1909"/>
      <c r="G25" s="1909"/>
      <c r="H25" s="1909"/>
      <c r="I25" s="1909"/>
      <c r="J25" s="1910"/>
      <c r="K25" s="1061"/>
      <c r="L25" s="2551"/>
      <c r="M25" s="2551"/>
      <c r="N25" s="1911" t="s">
        <v>2003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2004</v>
      </c>
      <c r="B26" s="1912" t="s">
        <v>2005</v>
      </c>
      <c r="C26" s="1912" t="s">
        <v>3244</v>
      </c>
      <c r="D26" s="1263">
        <f>IF(E26=G26,F26,IF(G3&lt;10,ROUND(F26+(H26-F26)*(G3-E26)/(G26-E26),4),"——"))</f>
        <v>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3245</v>
      </c>
      <c r="J26" s="374" t="str">
        <f>IF(G3&gt;=10,D115,"——")</f>
        <v>——</v>
      </c>
      <c r="K26" s="1061"/>
      <c r="L26" s="2551"/>
      <c r="M26" s="2551"/>
      <c r="N26" s="1911" t="s">
        <v>2006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2007</v>
      </c>
      <c r="B27" s="1913" t="s">
        <v>2008</v>
      </c>
      <c r="C27" s="791">
        <f>ROUND(IF(I3&lt;6,SUMPRODUCT((B106:B110=I3)*(C105:N105=G2)*(C106:N110)),SUMIF(C105:N105,G2,C112:N112)),4)</f>
        <v>0</v>
      </c>
      <c r="D27" s="1842"/>
      <c r="E27" s="1842"/>
      <c r="F27" s="1914"/>
      <c r="G27" s="1915"/>
      <c r="H27" s="1916"/>
      <c r="I27" s="1917"/>
      <c r="J27" s="1918"/>
      <c r="K27" s="1056"/>
      <c r="L27" s="1844"/>
      <c r="M27" s="1844"/>
      <c r="N27" s="1911" t="s">
        <v>2009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2010</v>
      </c>
      <c r="C28" s="716">
        <f>SUMIF(A47:A101,E2,B47:B101)</f>
        <v>0.95269999999999999</v>
      </c>
      <c r="D28" s="1894"/>
      <c r="E28" s="1919"/>
      <c r="F28" s="1919"/>
      <c r="G28" s="1919"/>
      <c r="H28" s="1919"/>
      <c r="I28" s="1919"/>
      <c r="J28" s="1920"/>
      <c r="K28" s="1061"/>
      <c r="L28" s="2551"/>
      <c r="M28" s="2551"/>
      <c r="N28" s="1921" t="s">
        <v>2011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2012</v>
      </c>
      <c r="C29" s="721"/>
      <c r="D29" s="1868"/>
      <c r="E29" s="1868"/>
      <c r="F29" s="1923"/>
      <c r="G29" s="1868"/>
      <c r="H29" s="1868"/>
      <c r="I29" s="1868"/>
      <c r="J29" s="1869"/>
      <c r="K29" s="1056"/>
      <c r="L29" s="1844"/>
      <c r="M29" s="1844"/>
      <c r="N29" s="2548" t="s">
        <v>2013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2014</v>
      </c>
      <c r="C30" s="2145">
        <f>IF(B25="容积率修正",E33+SUM(E37:E42),SUM(V2:V16)+SUM(E37:E42))</f>
        <v>1340</v>
      </c>
      <c r="D30" s="1925"/>
      <c r="E30" s="1842"/>
      <c r="F30" s="1926"/>
      <c r="G30" s="1842"/>
      <c r="H30" s="1842"/>
      <c r="I30" s="1842"/>
      <c r="J30" s="1927"/>
      <c r="K30" s="1056"/>
      <c r="L30" s="3054" t="s">
        <v>1926</v>
      </c>
      <c r="M30" s="3055" t="s">
        <v>1980</v>
      </c>
      <c r="N30" s="3055" t="s">
        <v>1981</v>
      </c>
      <c r="O30" s="3055" t="s">
        <v>1982</v>
      </c>
      <c r="P30" s="3055" t="s">
        <v>1983</v>
      </c>
      <c r="Q30" s="3058"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2015</v>
      </c>
      <c r="C31" s="722">
        <f>E34+SUM(I37:I42)</f>
        <v>0</v>
      </c>
      <c r="D31" s="1929"/>
      <c r="E31" s="1930"/>
      <c r="F31" s="1931"/>
      <c r="G31" s="1930"/>
      <c r="H31" s="1930"/>
      <c r="I31" s="1930"/>
      <c r="J31" s="1932"/>
      <c r="K31" s="1056"/>
      <c r="L31" s="3056" t="s">
        <v>1986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2016</v>
      </c>
      <c r="C32" s="1935" t="s">
        <v>2017</v>
      </c>
      <c r="D32" s="1935" t="s">
        <v>2018</v>
      </c>
      <c r="E32" s="1936" t="s">
        <v>2019</v>
      </c>
      <c r="F32" s="1937"/>
      <c r="G32" s="1881"/>
      <c r="H32" s="1881"/>
      <c r="I32" s="1881"/>
      <c r="J32" s="1882"/>
      <c r="K32" s="1056"/>
      <c r="L32" s="3057" t="s">
        <v>1989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2020</v>
      </c>
      <c r="C33" s="167">
        <f>ROUND(C5*C22*C23*C24*C25*C28,0)</f>
        <v>1283</v>
      </c>
      <c r="D33" s="1940">
        <f>'数据-汇总表'!E3</f>
        <v>10446.719999999999</v>
      </c>
      <c r="E33" s="727">
        <f>ROUND(C33*D33/10000,0)</f>
        <v>1340</v>
      </c>
      <c r="F33" s="3049" t="s">
        <v>3247</v>
      </c>
      <c r="G33" s="1941"/>
      <c r="H33" s="1941"/>
      <c r="I33" s="1941"/>
      <c r="J33" s="1942"/>
      <c r="K33" s="1056"/>
      <c r="L33" s="3052" t="s">
        <v>3250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2021</v>
      </c>
      <c r="C34" s="179">
        <f>ROUND(IF(E2="工业",C33*M42,IF(B25="楼层修正",SUM(V2:V16)*M41*10000/D34,C33*M41)),0)</f>
        <v>321</v>
      </c>
      <c r="D34" s="1945"/>
      <c r="E34" s="727">
        <f>ROUND(IF(B25="楼层修正",SUM(V2:V16)*M40,C34*D34/10000),0)</f>
        <v>0</v>
      </c>
      <c r="F34" s="1946" t="s">
        <v>2022</v>
      </c>
      <c r="G34" s="1947"/>
      <c r="H34" s="1947"/>
      <c r="I34" s="1947"/>
      <c r="J34" s="1948"/>
      <c r="K34" s="1056"/>
      <c r="L34" s="3052" t="s">
        <v>3251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2023</v>
      </c>
      <c r="C35" s="3050" t="s">
        <v>3248</v>
      </c>
      <c r="D35" s="1881"/>
      <c r="E35" s="1951"/>
      <c r="F35" s="1951"/>
      <c r="G35" s="1879" t="s">
        <v>2024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2017</v>
      </c>
      <c r="D36" s="433" t="s">
        <v>2018</v>
      </c>
      <c r="E36" s="433" t="s">
        <v>2019</v>
      </c>
      <c r="F36" s="333" t="s">
        <v>2025</v>
      </c>
      <c r="G36" s="1954" t="s">
        <v>2017</v>
      </c>
      <c r="H36" s="1954" t="s">
        <v>2018</v>
      </c>
      <c r="I36" s="1954" t="s">
        <v>2019</v>
      </c>
      <c r="J36" s="235"/>
      <c r="K36" s="1964" t="s">
        <v>3252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37"/>
      <c r="B37" s="1955" t="s">
        <v>2026</v>
      </c>
      <c r="C37" s="167">
        <f>ROUND(D5*C22*C23*C24*C28*F37,0)</f>
        <v>642</v>
      </c>
      <c r="D37" s="1940"/>
      <c r="E37" s="163">
        <f>ROUND(C37*D37/10000,0)</f>
        <v>0</v>
      </c>
      <c r="F37" s="163">
        <f>SUMIF(修正!A57:A68,G2,修正!B57:B68)</f>
        <v>0.5</v>
      </c>
      <c r="G37" s="163">
        <f>ROUND(IF(E2="工业",C37*$M$42,C37*$M$41),0)</f>
        <v>161</v>
      </c>
      <c r="H37" s="163">
        <f>D37</f>
        <v>0</v>
      </c>
      <c r="I37" s="163">
        <f>ROUND(G37*H37/10000,0)</f>
        <v>0</v>
      </c>
      <c r="J37" s="2753"/>
      <c r="K37" s="3060" t="s">
        <v>3253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8"/>
      <c r="B38" s="1884" t="s">
        <v>2027</v>
      </c>
      <c r="C38" s="167">
        <f>ROUND(D5*C22*C23*C24*C28*F38,0)</f>
        <v>257</v>
      </c>
      <c r="D38" s="1940"/>
      <c r="E38" s="163">
        <f t="shared" ref="E38:E42" si="4">ROUND(C38*D38/10000,0)</f>
        <v>0</v>
      </c>
      <c r="F38" s="163">
        <f>SUMIF(修正!A57:A68,G2,修正!C57:C68)</f>
        <v>0.2</v>
      </c>
      <c r="G38" s="163">
        <f>ROUND(IF(E2="工业",C38*$M$42,C38*$M$41),0)</f>
        <v>64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8"/>
      <c r="B39" s="1884" t="s">
        <v>3246</v>
      </c>
      <c r="C39" s="167">
        <f>ROUND(D5*C22*C23*C24*C28*F39,0)</f>
        <v>257</v>
      </c>
      <c r="D39" s="1940"/>
      <c r="E39" s="163">
        <f t="shared" si="4"/>
        <v>0</v>
      </c>
      <c r="F39" s="163">
        <f>SUMIF(修正!A57:A68,G2,修正!D57:D68)</f>
        <v>0.2</v>
      </c>
      <c r="G39" s="163">
        <f>ROUND(IF(E2="工业",C39*$M$42,C39*$M$41),0)</f>
        <v>64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2028</v>
      </c>
      <c r="C40" s="163">
        <f>ROUND(D5*C22*C23*C24*C28*F40,0)</f>
        <v>257</v>
      </c>
      <c r="D40" s="1940"/>
      <c r="E40" s="163">
        <f t="shared" si="4"/>
        <v>0</v>
      </c>
      <c r="F40" s="167">
        <f>SUMIF(修正!A57:A68,G2,修正!E57:E68)</f>
        <v>0.2</v>
      </c>
      <c r="G40" s="163">
        <f>ROUND(IF(E2="工业",C40*$M$42,C40*$M$41),0)</f>
        <v>64</v>
      </c>
      <c r="H40" s="163">
        <f t="shared" si="5"/>
        <v>0</v>
      </c>
      <c r="I40" s="163">
        <f t="shared" si="6"/>
        <v>0</v>
      </c>
      <c r="J40" s="939"/>
      <c r="L40" s="1957" t="s">
        <v>2029</v>
      </c>
      <c r="M40" s="1958"/>
      <c r="Z40" s="1057"/>
      <c r="AA40" s="1057"/>
      <c r="AB40" s="1057"/>
      <c r="AC40" s="1057"/>
      <c r="AD40" s="1057"/>
      <c r="AE40" s="1057"/>
      <c r="AF40" s="1057"/>
      <c r="AG40" s="1057"/>
      <c r="AH40" s="1057"/>
      <c r="AI40" s="1057"/>
      <c r="AJ40" s="1057"/>
    </row>
    <row r="41" spans="1:37" s="1056" customFormat="1">
      <c r="A41" s="1956"/>
      <c r="B41" s="1884" t="s">
        <v>2030</v>
      </c>
      <c r="C41" s="163">
        <f>ROUND(D5*C22*C23*C44*C28*F41,0)</f>
        <v>257</v>
      </c>
      <c r="D41" s="1940"/>
      <c r="E41" s="163">
        <f t="shared" si="4"/>
        <v>0</v>
      </c>
      <c r="F41" s="167">
        <f>SUMIF(修正!A57:A68,G2,修正!F57:F68)</f>
        <v>0.2</v>
      </c>
      <c r="G41" s="163">
        <f>ROUND(IF(E2="工业",C41*$M$42,C41*$M$41),0)</f>
        <v>64</v>
      </c>
      <c r="H41" s="163">
        <f t="shared" si="5"/>
        <v>0</v>
      </c>
      <c r="I41" s="163">
        <f t="shared" si="6"/>
        <v>0</v>
      </c>
      <c r="J41" s="939"/>
      <c r="L41" s="3061" t="s">
        <v>3254</v>
      </c>
      <c r="M41" s="1959">
        <v>0.25</v>
      </c>
      <c r="Z41" s="1057"/>
      <c r="AA41" s="1057"/>
      <c r="AB41" s="1057"/>
      <c r="AC41" s="1057"/>
      <c r="AD41" s="1057"/>
      <c r="AE41" s="1057"/>
      <c r="AF41" s="1057"/>
      <c r="AG41" s="1057"/>
      <c r="AH41" s="1057"/>
      <c r="AI41" s="1057"/>
      <c r="AJ41" s="1057"/>
    </row>
    <row r="42" spans="1:37" s="1056" customFormat="1" ht="13.5" thickBot="1">
      <c r="A42" s="1943"/>
      <c r="B42" s="1960" t="s">
        <v>2031</v>
      </c>
      <c r="C42" s="179">
        <f>ROUND(D5*C22*C23*C44*C28*F42,0)</f>
        <v>128</v>
      </c>
      <c r="D42" s="1945"/>
      <c r="E42" s="179">
        <f t="shared" si="4"/>
        <v>0</v>
      </c>
      <c r="F42" s="723">
        <f>SUMIF(修正!A57:A68,G2,修正!G57:G68)</f>
        <v>0.1</v>
      </c>
      <c r="G42" s="179">
        <f>ROUND(IF(E2="工业",C42*$M$42,C42*$M$41),0)</f>
        <v>32</v>
      </c>
      <c r="H42" s="179">
        <f t="shared" si="5"/>
        <v>0</v>
      </c>
      <c r="I42" s="179">
        <f t="shared" si="6"/>
        <v>0</v>
      </c>
      <c r="J42" s="1961"/>
      <c r="L42" s="1962" t="s">
        <v>1983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2112</v>
      </c>
      <c r="C44" s="333">
        <f>ROUND(POWER(1+E44,H44-G44)*(POWER(1+E44,G44)-1)/(POWER(1+E44,H44)-1),4)</f>
        <v>0.73899999999999999</v>
      </c>
      <c r="D44" s="163" t="s">
        <v>1989</v>
      </c>
      <c r="E44" s="1991">
        <f>G24</f>
        <v>0.05</v>
      </c>
      <c r="F44" s="163" t="s">
        <v>1998</v>
      </c>
      <c r="G44" s="175">
        <f>项目基本情况!I15</f>
        <v>23.01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2033</v>
      </c>
      <c r="B48" s="1968" t="e">
        <f>1+E50</f>
        <v>#VALUE!</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2034</v>
      </c>
      <c r="B49" s="1262" t="s">
        <v>2035</v>
      </c>
      <c r="C49" s="1262" t="s">
        <v>2036</v>
      </c>
      <c r="D49" s="1262" t="s">
        <v>2037</v>
      </c>
      <c r="E49" s="701" t="s">
        <v>2038</v>
      </c>
      <c r="F49" s="1971" t="s">
        <v>2039</v>
      </c>
      <c r="G49" s="1262" t="s">
        <v>310</v>
      </c>
      <c r="H49" s="1972" t="s">
        <v>2040</v>
      </c>
      <c r="I49" s="1262" t="s">
        <v>2041</v>
      </c>
      <c r="J49" s="530" t="s">
        <v>1713</v>
      </c>
      <c r="K49" s="530" t="s">
        <v>1714</v>
      </c>
      <c r="L49" s="530" t="s">
        <v>1715</v>
      </c>
      <c r="M49" s="530" t="s">
        <v>1716</v>
      </c>
      <c r="N49" s="530" t="s">
        <v>1717</v>
      </c>
      <c r="AA49" s="1057"/>
      <c r="AB49" s="1057"/>
      <c r="AC49" s="1057"/>
      <c r="AD49" s="1057"/>
      <c r="AE49" s="1057"/>
      <c r="AF49" s="1057"/>
      <c r="AG49" s="1057"/>
      <c r="AH49" s="1057"/>
      <c r="AI49" s="1057"/>
      <c r="AJ49" s="1057"/>
      <c r="AK49" s="1057"/>
    </row>
    <row r="50" spans="1:37" s="1056" customFormat="1" ht="38.25">
      <c r="A50" s="1970" t="s">
        <v>2042</v>
      </c>
      <c r="B50" s="1973" t="str">
        <f>估价对象房地状况!C4</f>
        <v>估价对象位于XX商圈，周边商业氛围成熟，人流量大，商业繁华度好</v>
      </c>
      <c r="C50" s="1887" t="s">
        <v>3741</v>
      </c>
      <c r="D50" s="1002" t="e">
        <f t="shared" ref="D50:D58" si="7">SUMIF($J$49:$N$49,C50,J50:N50)</f>
        <v>#VALUE!</v>
      </c>
      <c r="E50" s="702" t="e">
        <f>ROUND(SUM(D50:D58),4)</f>
        <v>#VALUE!</v>
      </c>
      <c r="F50" s="1675" t="str">
        <f>IF(E2="商业",SUMIF(L1:L12,G2,N1:N12),"——")</f>
        <v>——</v>
      </c>
      <c r="G50" s="1000" t="str">
        <f>H50</f>
        <v>——</v>
      </c>
      <c r="H50" s="1003" t="str">
        <f t="shared" ref="H50:H58" si="8">IFERROR(ROUNDDOWN($F$50*I50/2,4),"——")</f>
        <v>——</v>
      </c>
      <c r="I50" s="3067">
        <v>0.3</v>
      </c>
      <c r="J50" s="1001" t="e">
        <f t="shared" ref="J50:J58" si="9">K50+$G50</f>
        <v>#VALUE!</v>
      </c>
      <c r="K50" s="1001" t="e">
        <f t="shared" ref="K50:K58" si="10">$L50+$G50</f>
        <v>#VALUE!</v>
      </c>
      <c r="L50" s="1001">
        <v>0</v>
      </c>
      <c r="M50" s="1001" t="e">
        <f t="shared" ref="M50:N58" si="11">L50-$G50</f>
        <v>#VALUE!</v>
      </c>
      <c r="N50" s="1001" t="e">
        <f t="shared" si="11"/>
        <v>#VALUE!</v>
      </c>
      <c r="AA50" s="1057"/>
      <c r="AB50" s="1057"/>
      <c r="AC50" s="1057"/>
      <c r="AD50" s="1057"/>
      <c r="AE50" s="1057"/>
      <c r="AF50" s="1057"/>
      <c r="AG50" s="1057"/>
      <c r="AH50" s="1057"/>
      <c r="AI50" s="1057"/>
      <c r="AJ50" s="1057"/>
      <c r="AK50" s="1057"/>
    </row>
    <row r="51" spans="1:37" s="1056" customFormat="1" ht="38.25">
      <c r="A51" s="1970" t="s">
        <v>2043</v>
      </c>
      <c r="B51" s="1262" t="str">
        <f>估价对象房地状况!C18</f>
        <v>估价对象周边道路状况、公共交通通达情况、停车便捷程度，综合评价交通便捷度较好</v>
      </c>
      <c r="C51" s="1887" t="s">
        <v>3741</v>
      </c>
      <c r="D51" s="1002" t="e">
        <f t="shared" si="7"/>
        <v>#VALUE!</v>
      </c>
      <c r="E51" s="703"/>
      <c r="F51" s="1675"/>
      <c r="G51" s="1000" t="str">
        <f t="shared" ref="G51:G58" si="12">H51</f>
        <v>——</v>
      </c>
      <c r="H51" s="1003" t="str">
        <f t="shared" si="8"/>
        <v>——</v>
      </c>
      <c r="I51" s="3067">
        <v>0.22</v>
      </c>
      <c r="J51" s="1001" t="e">
        <f t="shared" si="9"/>
        <v>#VALUE!</v>
      </c>
      <c r="K51" s="1001" t="e">
        <f t="shared" si="10"/>
        <v>#VALUE!</v>
      </c>
      <c r="L51" s="1001">
        <v>0</v>
      </c>
      <c r="M51" s="1001" t="e">
        <f t="shared" si="11"/>
        <v>#VALUE!</v>
      </c>
      <c r="N51" s="1001" t="e">
        <f t="shared" si="11"/>
        <v>#VALUE!</v>
      </c>
      <c r="AA51" s="1057"/>
      <c r="AB51" s="1057"/>
      <c r="AC51" s="1057"/>
      <c r="AD51" s="1057"/>
      <c r="AE51" s="1057"/>
      <c r="AF51" s="1057"/>
      <c r="AG51" s="1057"/>
      <c r="AH51" s="1057"/>
      <c r="AI51" s="1057"/>
      <c r="AJ51" s="1057"/>
      <c r="AK51" s="1057"/>
    </row>
    <row r="52" spans="1:37" s="1056" customFormat="1" ht="36">
      <c r="A52" s="3069" t="s">
        <v>3256</v>
      </c>
      <c r="B52" s="1262">
        <f>估价对象房地状况!C19</f>
        <v>0</v>
      </c>
      <c r="C52" s="1887" t="s">
        <v>3739</v>
      </c>
      <c r="D52" s="1002" t="e">
        <f t="shared" si="7"/>
        <v>#VALUE!</v>
      </c>
      <c r="E52" s="703"/>
      <c r="F52" s="1675"/>
      <c r="G52" s="1000" t="str">
        <f t="shared" si="12"/>
        <v>——</v>
      </c>
      <c r="H52" s="1003" t="str">
        <f t="shared" si="8"/>
        <v>——</v>
      </c>
      <c r="I52" s="3067">
        <v>0.12</v>
      </c>
      <c r="J52" s="1001" t="e">
        <f t="shared" si="9"/>
        <v>#VALUE!</v>
      </c>
      <c r="K52" s="1001" t="e">
        <f t="shared" si="10"/>
        <v>#VALUE!</v>
      </c>
      <c r="L52" s="1001">
        <v>0</v>
      </c>
      <c r="M52" s="1001" t="e">
        <f t="shared" si="11"/>
        <v>#VALUE!</v>
      </c>
      <c r="N52" s="1001" t="e">
        <f t="shared" si="11"/>
        <v>#VALUE!</v>
      </c>
      <c r="AA52" s="1057"/>
      <c r="AB52" s="1057"/>
      <c r="AC52" s="1057"/>
      <c r="AD52" s="1057"/>
      <c r="AE52" s="1057"/>
      <c r="AF52" s="1057"/>
      <c r="AG52" s="1057"/>
      <c r="AH52" s="1057"/>
      <c r="AI52" s="1057"/>
      <c r="AJ52" s="1057"/>
      <c r="AK52" s="1057"/>
    </row>
    <row r="53" spans="1:37" s="1056" customFormat="1" ht="36.75">
      <c r="A53" s="1970" t="s">
        <v>2044</v>
      </c>
      <c r="B53" s="1974" t="s">
        <v>2045</v>
      </c>
      <c r="C53" s="1887" t="s">
        <v>3739</v>
      </c>
      <c r="D53" s="1002" t="e">
        <f t="shared" si="7"/>
        <v>#VALUE!</v>
      </c>
      <c r="E53" s="703"/>
      <c r="F53" s="1675"/>
      <c r="G53" s="1000" t="str">
        <f t="shared" si="12"/>
        <v>——</v>
      </c>
      <c r="H53" s="1003" t="str">
        <f t="shared" si="8"/>
        <v>——</v>
      </c>
      <c r="I53" s="3067">
        <v>0.05</v>
      </c>
      <c r="J53" s="1001" t="e">
        <f t="shared" si="9"/>
        <v>#VALUE!</v>
      </c>
      <c r="K53" s="1001" t="e">
        <f t="shared" si="10"/>
        <v>#VALUE!</v>
      </c>
      <c r="L53" s="1001">
        <v>0</v>
      </c>
      <c r="M53" s="1001" t="e">
        <f t="shared" si="11"/>
        <v>#VALUE!</v>
      </c>
      <c r="N53" s="1001" t="e">
        <f t="shared" si="11"/>
        <v>#VALUE!</v>
      </c>
      <c r="AA53" s="1057"/>
      <c r="AB53" s="1057"/>
      <c r="AC53" s="1057"/>
      <c r="AD53" s="1057"/>
      <c r="AE53" s="1057"/>
      <c r="AF53" s="1057"/>
      <c r="AG53" s="1057"/>
      <c r="AH53" s="1057"/>
      <c r="AI53" s="1057"/>
      <c r="AJ53" s="1057"/>
      <c r="AK53" s="1057"/>
    </row>
    <row r="54" spans="1:37" s="1056" customFormat="1" ht="24">
      <c r="A54" s="1970" t="s">
        <v>2046</v>
      </c>
      <c r="B54" s="1262">
        <f>估价对象房地状况!C24</f>
        <v>0</v>
      </c>
      <c r="C54" s="1887" t="s">
        <v>3811</v>
      </c>
      <c r="D54" s="1002">
        <f t="shared" si="7"/>
        <v>0</v>
      </c>
      <c r="E54" s="703"/>
      <c r="F54" s="1675"/>
      <c r="G54" s="1000" t="str">
        <f t="shared" si="12"/>
        <v>——</v>
      </c>
      <c r="H54" s="1003" t="str">
        <f t="shared" si="8"/>
        <v>——</v>
      </c>
      <c r="I54" s="3067">
        <v>0.08</v>
      </c>
      <c r="J54" s="1001" t="e">
        <f t="shared" si="9"/>
        <v>#VALUE!</v>
      </c>
      <c r="K54" s="1001" t="e">
        <f t="shared" si="10"/>
        <v>#VALUE!</v>
      </c>
      <c r="L54" s="1001">
        <v>0</v>
      </c>
      <c r="M54" s="1001" t="e">
        <f t="shared" si="11"/>
        <v>#VALUE!</v>
      </c>
      <c r="N54" s="1001" t="e">
        <f t="shared" si="11"/>
        <v>#VALUE!</v>
      </c>
      <c r="AA54" s="1057"/>
      <c r="AB54" s="1057"/>
      <c r="AC54" s="1057"/>
      <c r="AD54" s="1057"/>
      <c r="AE54" s="1057"/>
      <c r="AF54" s="1057"/>
      <c r="AG54" s="1057"/>
      <c r="AH54" s="1057"/>
      <c r="AI54" s="1057"/>
      <c r="AJ54" s="1057"/>
      <c r="AK54" s="1057"/>
    </row>
    <row r="55" spans="1:37" s="1056" customFormat="1" ht="24">
      <c r="A55" s="1970" t="s">
        <v>2047</v>
      </c>
      <c r="B55" s="1975" t="s">
        <v>2048</v>
      </c>
      <c r="C55" s="1887" t="s">
        <v>3739</v>
      </c>
      <c r="D55" s="1002" t="e">
        <f t="shared" si="7"/>
        <v>#VALUE!</v>
      </c>
      <c r="E55" s="703"/>
      <c r="F55" s="1675"/>
      <c r="G55" s="1000" t="str">
        <f t="shared" si="12"/>
        <v>——</v>
      </c>
      <c r="H55" s="1003" t="str">
        <f t="shared" si="8"/>
        <v>——</v>
      </c>
      <c r="I55" s="3067">
        <v>0.05</v>
      </c>
      <c r="J55" s="1001" t="e">
        <f t="shared" si="9"/>
        <v>#VALUE!</v>
      </c>
      <c r="K55" s="1001" t="e">
        <f t="shared" si="10"/>
        <v>#VALUE!</v>
      </c>
      <c r="L55" s="1001">
        <v>0</v>
      </c>
      <c r="M55" s="1001" t="e">
        <f t="shared" si="11"/>
        <v>#VALUE!</v>
      </c>
      <c r="N55" s="1001" t="e">
        <f t="shared" si="11"/>
        <v>#VALUE!</v>
      </c>
      <c r="AA55" s="1057"/>
      <c r="AB55" s="1057"/>
      <c r="AC55" s="1057"/>
      <c r="AD55" s="1057"/>
      <c r="AE55" s="1057"/>
      <c r="AF55" s="1057"/>
      <c r="AG55" s="1057"/>
      <c r="AH55" s="1057"/>
      <c r="AI55" s="1057"/>
      <c r="AJ55" s="1057"/>
      <c r="AK55" s="1057"/>
    </row>
    <row r="56" spans="1:37" s="1056" customFormat="1" ht="25.5">
      <c r="A56" s="1976" t="s">
        <v>2049</v>
      </c>
      <c r="B56" s="1240" t="str">
        <f>估价对象房地状况!C21</f>
        <v>估价对象所在区域公共配套设施齐备情况</v>
      </c>
      <c r="C56" s="1887" t="s">
        <v>3741</v>
      </c>
      <c r="D56" s="1002" t="e">
        <f t="shared" si="7"/>
        <v>#VALUE!</v>
      </c>
      <c r="E56" s="703"/>
      <c r="F56" s="1675"/>
      <c r="G56" s="1000" t="str">
        <f t="shared" si="12"/>
        <v>——</v>
      </c>
      <c r="H56" s="1003" t="str">
        <f t="shared" si="8"/>
        <v>——</v>
      </c>
      <c r="I56" s="3067">
        <v>0.05</v>
      </c>
      <c r="J56" s="1001" t="e">
        <f t="shared" si="9"/>
        <v>#VALUE!</v>
      </c>
      <c r="K56" s="1001" t="e">
        <f t="shared" si="10"/>
        <v>#VALUE!</v>
      </c>
      <c r="L56" s="1001">
        <v>0</v>
      </c>
      <c r="M56" s="1001" t="e">
        <f t="shared" si="11"/>
        <v>#VALUE!</v>
      </c>
      <c r="N56" s="1001" t="e">
        <f t="shared" si="11"/>
        <v>#VALUE!</v>
      </c>
      <c r="AA56" s="1057"/>
      <c r="AB56" s="1057"/>
      <c r="AC56" s="1057"/>
      <c r="AD56" s="1057"/>
      <c r="AE56" s="1057"/>
      <c r="AF56" s="1057"/>
      <c r="AG56" s="1057"/>
      <c r="AH56" s="1057"/>
      <c r="AI56" s="1057"/>
      <c r="AJ56" s="1057"/>
      <c r="AK56" s="1057"/>
    </row>
    <row r="57" spans="1:37" s="1056" customFormat="1" ht="25.5">
      <c r="A57" s="1976" t="s">
        <v>2050</v>
      </c>
      <c r="B57" s="1262" t="str">
        <f>估价对象房地状况!C22</f>
        <v>估价对象所在区域基础设施水平</v>
      </c>
      <c r="C57" s="1887" t="s">
        <v>3739</v>
      </c>
      <c r="D57" s="1002" t="e">
        <f t="shared" si="7"/>
        <v>#VALUE!</v>
      </c>
      <c r="E57" s="703"/>
      <c r="F57" s="1675"/>
      <c r="G57" s="1000" t="str">
        <f t="shared" si="12"/>
        <v>——</v>
      </c>
      <c r="H57" s="1003" t="str">
        <f t="shared" si="8"/>
        <v>——</v>
      </c>
      <c r="I57" s="3067">
        <v>0.08</v>
      </c>
      <c r="J57" s="1001" t="e">
        <f t="shared" si="9"/>
        <v>#VALUE!</v>
      </c>
      <c r="K57" s="1001" t="e">
        <f t="shared" si="10"/>
        <v>#VALUE!</v>
      </c>
      <c r="L57" s="1001">
        <v>0</v>
      </c>
      <c r="M57" s="1001" t="e">
        <f t="shared" si="11"/>
        <v>#VALUE!</v>
      </c>
      <c r="N57" s="1001" t="e">
        <f t="shared" si="11"/>
        <v>#VALUE!</v>
      </c>
      <c r="AA57" s="1057"/>
      <c r="AB57" s="1057"/>
      <c r="AC57" s="1057"/>
      <c r="AD57" s="1057"/>
      <c r="AE57" s="1057"/>
      <c r="AF57" s="1057"/>
      <c r="AG57" s="1057"/>
      <c r="AH57" s="1057"/>
      <c r="AI57" s="1057"/>
      <c r="AJ57" s="1057"/>
      <c r="AK57" s="1057"/>
    </row>
    <row r="58" spans="1:37" s="1056" customFormat="1" ht="26.25" thickBot="1">
      <c r="A58" s="1977" t="s">
        <v>2051</v>
      </c>
      <c r="B58" s="1978" t="str">
        <f>估价对象房地状况!C20</f>
        <v>区域自然环境：；人文环境；综合评价环境状况一般</v>
      </c>
      <c r="C58" s="1887" t="s">
        <v>3741</v>
      </c>
      <c r="D58" s="1002" t="e">
        <f t="shared" si="7"/>
        <v>#VALUE!</v>
      </c>
      <c r="E58" s="704"/>
      <c r="F58" s="1675"/>
      <c r="G58" s="1000" t="str">
        <f t="shared" si="12"/>
        <v>——</v>
      </c>
      <c r="H58" s="1003" t="str">
        <f t="shared" si="8"/>
        <v>——</v>
      </c>
      <c r="I58" s="3068">
        <v>0.05</v>
      </c>
      <c r="J58" s="1001" t="e">
        <f t="shared" si="9"/>
        <v>#VALUE!</v>
      </c>
      <c r="K58" s="1001" t="e">
        <f t="shared" si="10"/>
        <v>#VALUE!</v>
      </c>
      <c r="L58" s="1001">
        <v>0</v>
      </c>
      <c r="M58" s="1001" t="e">
        <f t="shared" si="11"/>
        <v>#VALUE!</v>
      </c>
      <c r="N58" s="1001" t="e">
        <f t="shared" si="11"/>
        <v>#VALUE!</v>
      </c>
      <c r="AA58" s="1057"/>
      <c r="AB58" s="1057"/>
      <c r="AC58" s="1057"/>
      <c r="AD58" s="1057"/>
      <c r="AE58" s="1057"/>
      <c r="AF58" s="1057"/>
      <c r="AG58" s="1057"/>
      <c r="AH58" s="1057"/>
      <c r="AI58" s="1057"/>
      <c r="AJ58" s="1057"/>
      <c r="AK58" s="1057"/>
    </row>
    <row r="59" spans="1:37" s="1056" customFormat="1" ht="15">
      <c r="A59" s="1967" t="s">
        <v>2052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2034</v>
      </c>
      <c r="B60" s="1262"/>
      <c r="C60" s="1262" t="s">
        <v>2036</v>
      </c>
      <c r="D60" s="1262" t="s">
        <v>2037</v>
      </c>
      <c r="E60" s="701" t="s">
        <v>2038</v>
      </c>
      <c r="F60" s="1971" t="s">
        <v>2053</v>
      </c>
      <c r="G60" s="1262" t="s">
        <v>310</v>
      </c>
      <c r="H60" s="1972" t="s">
        <v>2040</v>
      </c>
      <c r="I60" s="1262" t="s">
        <v>2041</v>
      </c>
      <c r="J60" s="530" t="s">
        <v>1713</v>
      </c>
      <c r="K60" s="530" t="s">
        <v>1714</v>
      </c>
      <c r="L60" s="530" t="s">
        <v>1715</v>
      </c>
      <c r="M60" s="530" t="s">
        <v>1716</v>
      </c>
      <c r="N60" s="530" t="s">
        <v>1717</v>
      </c>
      <c r="AA60" s="1057"/>
      <c r="AB60" s="1057"/>
      <c r="AC60" s="1057"/>
      <c r="AD60" s="1057"/>
      <c r="AE60" s="1057"/>
      <c r="AF60" s="1057"/>
      <c r="AG60" s="1057"/>
      <c r="AH60" s="1057"/>
      <c r="AI60" s="1057"/>
      <c r="AJ60" s="1057"/>
      <c r="AK60" s="1057"/>
    </row>
    <row r="61" spans="1:37" s="1056" customFormat="1" ht="38.25">
      <c r="A61" s="1970" t="s">
        <v>2054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7">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2043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7">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69" t="s">
        <v>3256</v>
      </c>
      <c r="B63" s="1262">
        <f>估价对象房地状况!C19</f>
        <v>0</v>
      </c>
      <c r="C63" s="1887"/>
      <c r="D63" s="1002">
        <f t="shared" si="13"/>
        <v>0</v>
      </c>
      <c r="E63" s="703"/>
      <c r="F63" s="1675"/>
      <c r="G63" s="1000"/>
      <c r="H63" s="1003" t="str">
        <f t="shared" si="14"/>
        <v>——</v>
      </c>
      <c r="I63" s="3067">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2044</v>
      </c>
      <c r="B64" s="1974" t="s">
        <v>2045</v>
      </c>
      <c r="C64" s="1887"/>
      <c r="D64" s="1002">
        <f t="shared" si="13"/>
        <v>0</v>
      </c>
      <c r="E64" s="703"/>
      <c r="F64" s="1675"/>
      <c r="G64" s="1000"/>
      <c r="H64" s="1003" t="str">
        <f t="shared" si="14"/>
        <v>——</v>
      </c>
      <c r="I64" s="3067">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2046</v>
      </c>
      <c r="B65" s="1262">
        <f>估价对象房地状况!C24</f>
        <v>0</v>
      </c>
      <c r="C65" s="1887"/>
      <c r="D65" s="1002">
        <f t="shared" si="13"/>
        <v>0</v>
      </c>
      <c r="E65" s="703"/>
      <c r="F65" s="1675"/>
      <c r="G65" s="1000"/>
      <c r="H65" s="1003" t="str">
        <f t="shared" si="14"/>
        <v>——</v>
      </c>
      <c r="I65" s="3067">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2047</v>
      </c>
      <c r="B66" s="1975" t="s">
        <v>2048</v>
      </c>
      <c r="C66" s="1887"/>
      <c r="D66" s="1002">
        <f t="shared" si="13"/>
        <v>0</v>
      </c>
      <c r="E66" s="703"/>
      <c r="F66" s="1675"/>
      <c r="G66" s="1000"/>
      <c r="H66" s="1003" t="str">
        <f t="shared" si="14"/>
        <v>——</v>
      </c>
      <c r="I66" s="3067">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2049</v>
      </c>
      <c r="B67" s="1240" t="str">
        <f>估价对象房地状况!C21</f>
        <v>估价对象所在区域公共配套设施齐备情况</v>
      </c>
      <c r="C67" s="1887"/>
      <c r="D67" s="1002">
        <f t="shared" si="13"/>
        <v>0</v>
      </c>
      <c r="E67" s="703"/>
      <c r="F67" s="1675"/>
      <c r="G67" s="1000"/>
      <c r="H67" s="1003" t="str">
        <f t="shared" si="14"/>
        <v>——</v>
      </c>
      <c r="I67" s="3067">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2050</v>
      </c>
      <c r="B68" s="1240" t="str">
        <f>估价对象房地状况!C22</f>
        <v>估价对象所在区域基础设施水平</v>
      </c>
      <c r="C68" s="1887"/>
      <c r="D68" s="1002">
        <f t="shared" si="13"/>
        <v>0</v>
      </c>
      <c r="E68" s="703"/>
      <c r="F68" s="1675"/>
      <c r="G68" s="1000"/>
      <c r="H68" s="1003" t="str">
        <f t="shared" si="14"/>
        <v>——</v>
      </c>
      <c r="I68" s="3067">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2051</v>
      </c>
      <c r="B69" s="1979" t="str">
        <f>估价对象房地状况!C20</f>
        <v>区域自然环境：；人文环境；综合评价环境状况一般</v>
      </c>
      <c r="C69" s="1887"/>
      <c r="D69" s="1002">
        <f t="shared" si="13"/>
        <v>0</v>
      </c>
      <c r="E69" s="704"/>
      <c r="F69" s="1675"/>
      <c r="G69" s="1000"/>
      <c r="H69" s="1003" t="str">
        <f t="shared" si="14"/>
        <v>——</v>
      </c>
      <c r="I69" s="3068">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2055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2034</v>
      </c>
      <c r="B71" s="1262"/>
      <c r="C71" s="1262" t="s">
        <v>2036</v>
      </c>
      <c r="D71" s="1262" t="s">
        <v>2037</v>
      </c>
      <c r="E71" s="701" t="s">
        <v>2038</v>
      </c>
      <c r="F71" s="1971" t="s">
        <v>2053</v>
      </c>
      <c r="G71" s="1262" t="s">
        <v>310</v>
      </c>
      <c r="H71" s="1972" t="s">
        <v>2040</v>
      </c>
      <c r="I71" s="1262" t="s">
        <v>2041</v>
      </c>
      <c r="J71" s="530" t="s">
        <v>1713</v>
      </c>
      <c r="K71" s="530" t="s">
        <v>1714</v>
      </c>
      <c r="L71" s="530" t="s">
        <v>1715</v>
      </c>
      <c r="M71" s="530" t="s">
        <v>1716</v>
      </c>
      <c r="N71" s="530" t="s">
        <v>1717</v>
      </c>
      <c r="AA71" s="1057"/>
      <c r="AB71" s="1057"/>
      <c r="AC71" s="1057"/>
      <c r="AD71" s="1057"/>
      <c r="AE71" s="1057"/>
      <c r="AF71" s="1057"/>
      <c r="AG71" s="1057"/>
      <c r="AH71" s="1057"/>
      <c r="AI71" s="1057"/>
      <c r="AJ71" s="1057"/>
      <c r="AK71" s="1057"/>
    </row>
    <row r="72" spans="1:37" s="1056" customFormat="1" ht="51">
      <c r="A72" s="1970" t="s">
        <v>2056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2043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9" t="s">
        <v>3256</v>
      </c>
      <c r="B74" s="1262">
        <f>估价对象房地状况!C19</f>
        <v>0</v>
      </c>
      <c r="C74" s="1887"/>
      <c r="D74" s="1002">
        <f t="shared" si="18"/>
        <v>0</v>
      </c>
      <c r="E74" s="705"/>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2057</v>
      </c>
      <c r="B75" s="1262">
        <f>估价对象房地状况!C24</f>
        <v>0</v>
      </c>
      <c r="C75" s="1887"/>
      <c r="D75" s="1002">
        <f t="shared" si="18"/>
        <v>0</v>
      </c>
      <c r="E75" s="705"/>
      <c r="F75" s="1675"/>
      <c r="G75" s="1000"/>
      <c r="H75" s="1003" t="str">
        <f t="shared" si="19"/>
        <v>——</v>
      </c>
      <c r="I75" s="3067">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2049</v>
      </c>
      <c r="B76" s="1240" t="str">
        <f>估价对象房地状况!C21</f>
        <v>估价对象所在区域公共配套设施齐备情况</v>
      </c>
      <c r="C76" s="1887"/>
      <c r="D76" s="1002">
        <f t="shared" si="18"/>
        <v>0</v>
      </c>
      <c r="E76" s="705"/>
      <c r="F76" s="1675"/>
      <c r="G76" s="1000"/>
      <c r="H76" s="1003" t="str">
        <f t="shared" si="19"/>
        <v>——</v>
      </c>
      <c r="I76" s="3067">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2050</v>
      </c>
      <c r="B77" s="1240" t="str">
        <f>估价对象房地状况!C22</f>
        <v>估价对象所在区域基础设施水平</v>
      </c>
      <c r="C77" s="1887"/>
      <c r="D77" s="1002">
        <f t="shared" si="18"/>
        <v>0</v>
      </c>
      <c r="E77" s="705"/>
      <c r="F77" s="1675"/>
      <c r="G77" s="1000"/>
      <c r="H77" s="1003" t="str">
        <f t="shared" si="19"/>
        <v>——</v>
      </c>
      <c r="I77" s="3067">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2047</v>
      </c>
      <c r="B78" s="1975" t="s">
        <v>2048</v>
      </c>
      <c r="C78" s="1887"/>
      <c r="D78" s="1002">
        <f t="shared" si="18"/>
        <v>0</v>
      </c>
      <c r="E78" s="705"/>
      <c r="F78" s="1675"/>
      <c r="G78" s="1000"/>
      <c r="H78" s="1003" t="str">
        <f t="shared" si="19"/>
        <v>——</v>
      </c>
      <c r="I78" s="3067">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2051</v>
      </c>
      <c r="B79" s="1973" t="str">
        <f>估价对象房地状况!C20</f>
        <v>区域自然环境：；人文环境；综合评价环境状况一般</v>
      </c>
      <c r="C79" s="1887"/>
      <c r="D79" s="1002">
        <f t="shared" si="18"/>
        <v>0</v>
      </c>
      <c r="E79" s="705"/>
      <c r="F79" s="1675"/>
      <c r="G79" s="1000"/>
      <c r="H79" s="1003" t="str">
        <f t="shared" si="19"/>
        <v>——</v>
      </c>
      <c r="I79" s="3067">
        <v>0.12</v>
      </c>
      <c r="J79" s="1001">
        <f t="shared" si="20"/>
        <v>0</v>
      </c>
      <c r="K79" s="1001">
        <f t="shared" si="21"/>
        <v>0</v>
      </c>
      <c r="L79" s="1001">
        <v>0</v>
      </c>
      <c r="M79" s="1001">
        <f t="shared" si="22"/>
        <v>0</v>
      </c>
      <c r="N79" s="1001">
        <f t="shared" si="22"/>
        <v>0</v>
      </c>
      <c r="Z79" s="1845"/>
      <c r="AA79" s="1895"/>
      <c r="AG79" s="1058"/>
      <c r="AK79" s="1895"/>
    </row>
    <row r="80" spans="1:37" ht="24.75" thickBot="1">
      <c r="A80" s="1977" t="s">
        <v>2058</v>
      </c>
      <c r="B80" s="1981"/>
      <c r="C80" s="1887"/>
      <c r="D80" s="1002">
        <f t="shared" si="18"/>
        <v>0</v>
      </c>
      <c r="E80" s="706"/>
      <c r="F80" s="1675"/>
      <c r="G80" s="1000"/>
      <c r="H80" s="1003" t="str">
        <f t="shared" si="19"/>
        <v>——</v>
      </c>
      <c r="I80" s="3068">
        <v>0.05</v>
      </c>
      <c r="J80" s="1001">
        <f t="shared" si="20"/>
        <v>0</v>
      </c>
      <c r="K80" s="1001">
        <f t="shared" si="21"/>
        <v>0</v>
      </c>
      <c r="L80" s="1001">
        <v>0</v>
      </c>
      <c r="M80" s="1001">
        <f t="shared" si="22"/>
        <v>0</v>
      </c>
      <c r="N80" s="1001">
        <f t="shared" si="22"/>
        <v>0</v>
      </c>
      <c r="Z80" s="1845"/>
      <c r="AA80" s="1895"/>
      <c r="AG80" s="1058"/>
      <c r="AK80" s="1895"/>
    </row>
    <row r="81" spans="1:37" ht="15">
      <c r="A81" s="1967" t="s">
        <v>2059</v>
      </c>
      <c r="B81" s="1968">
        <f>1+E83</f>
        <v>1</v>
      </c>
      <c r="C81" s="699"/>
      <c r="D81" s="699"/>
      <c r="E81" s="700"/>
      <c r="F81" s="1969"/>
      <c r="G81" s="3"/>
      <c r="H81" s="3"/>
      <c r="I81" s="3"/>
      <c r="J81" s="4"/>
      <c r="K81" s="4"/>
      <c r="L81" s="4"/>
      <c r="M81" s="4"/>
      <c r="N81" s="4"/>
      <c r="Z81" s="1845"/>
      <c r="AA81" s="1895"/>
      <c r="AG81" s="1058"/>
      <c r="AK81" s="1895"/>
    </row>
    <row r="82" spans="1:37" ht="24.75">
      <c r="A82" s="1970" t="s">
        <v>2034</v>
      </c>
      <c r="B82" s="1262"/>
      <c r="C82" s="1262" t="s">
        <v>2036</v>
      </c>
      <c r="D82" s="1262" t="s">
        <v>2037</v>
      </c>
      <c r="E82" s="701" t="s">
        <v>2038</v>
      </c>
      <c r="F82" s="1971" t="s">
        <v>2053</v>
      </c>
      <c r="G82" s="1262" t="s">
        <v>310</v>
      </c>
      <c r="H82" s="1972" t="s">
        <v>2040</v>
      </c>
      <c r="I82" s="1262" t="s">
        <v>2041</v>
      </c>
      <c r="J82" s="530" t="s">
        <v>1713</v>
      </c>
      <c r="K82" s="530" t="s">
        <v>1714</v>
      </c>
      <c r="L82" s="530" t="s">
        <v>1715</v>
      </c>
      <c r="M82" s="530" t="s">
        <v>1716</v>
      </c>
      <c r="N82" s="530" t="s">
        <v>1717</v>
      </c>
      <c r="Z82" s="1845"/>
      <c r="AA82" s="1895"/>
      <c r="AG82" s="1058"/>
      <c r="AK82" s="1895"/>
    </row>
    <row r="83" spans="1:37" ht="38.25">
      <c r="A83" s="1970" t="s">
        <v>2060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2043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7">
        <v>0.3</v>
      </c>
      <c r="J84" s="1001">
        <f t="shared" si="25"/>
        <v>0</v>
      </c>
      <c r="K84" s="1001">
        <f t="shared" si="26"/>
        <v>0</v>
      </c>
      <c r="L84" s="1001">
        <v>0</v>
      </c>
      <c r="M84" s="1001">
        <f t="shared" si="27"/>
        <v>0</v>
      </c>
      <c r="N84" s="1001">
        <f t="shared" si="27"/>
        <v>0</v>
      </c>
      <c r="Z84" s="1845"/>
      <c r="AA84" s="1895"/>
      <c r="AG84" s="1058"/>
      <c r="AK84" s="1895"/>
    </row>
    <row r="85" spans="1:37" ht="36">
      <c r="A85" s="3069" t="s">
        <v>3257</v>
      </c>
      <c r="B85" s="1262">
        <f>估价对象房地状况!G17</f>
        <v>0</v>
      </c>
      <c r="C85" s="1887"/>
      <c r="D85" s="1002">
        <f t="shared" si="23"/>
        <v>0</v>
      </c>
      <c r="E85" s="705"/>
      <c r="F85" s="1675"/>
      <c r="G85" s="1000"/>
      <c r="H85" s="1003" t="str">
        <f t="shared" si="24"/>
        <v>——</v>
      </c>
      <c r="I85" s="3067">
        <v>0.1</v>
      </c>
      <c r="J85" s="1001">
        <f t="shared" si="25"/>
        <v>0</v>
      </c>
      <c r="K85" s="1001">
        <f t="shared" si="26"/>
        <v>0</v>
      </c>
      <c r="L85" s="1001">
        <v>0</v>
      </c>
      <c r="M85" s="1001">
        <f t="shared" si="27"/>
        <v>0</v>
      </c>
      <c r="N85" s="1001">
        <f t="shared" si="27"/>
        <v>0</v>
      </c>
      <c r="Z85" s="1845"/>
      <c r="AA85" s="1895"/>
      <c r="AG85" s="1058"/>
      <c r="AK85" s="1895"/>
    </row>
    <row r="86" spans="1:37" ht="14.25">
      <c r="A86" s="1970" t="s">
        <v>2057</v>
      </c>
      <c r="B86" s="1262">
        <f>估价对象房地状况!G22</f>
        <v>0</v>
      </c>
      <c r="C86" s="1887"/>
      <c r="D86" s="1002">
        <f t="shared" si="23"/>
        <v>0</v>
      </c>
      <c r="E86" s="705"/>
      <c r="F86" s="1675"/>
      <c r="G86" s="1000"/>
      <c r="H86" s="1003" t="str">
        <f t="shared" si="24"/>
        <v>——</v>
      </c>
      <c r="I86" s="3067">
        <v>0.05</v>
      </c>
      <c r="J86" s="1001">
        <f t="shared" si="25"/>
        <v>0</v>
      </c>
      <c r="K86" s="1001">
        <f t="shared" si="26"/>
        <v>0</v>
      </c>
      <c r="L86" s="1001">
        <v>0</v>
      </c>
      <c r="M86" s="1001">
        <f t="shared" si="27"/>
        <v>0</v>
      </c>
      <c r="N86" s="1001">
        <f t="shared" si="27"/>
        <v>0</v>
      </c>
      <c r="Z86" s="1845"/>
      <c r="AA86" s="1895"/>
      <c r="AG86" s="1058"/>
      <c r="AK86" s="1895"/>
    </row>
    <row r="87" spans="1:37" ht="25.5">
      <c r="A87" s="1970" t="s">
        <v>2049</v>
      </c>
      <c r="B87" s="1240" t="str">
        <f>估价对象房地状况!G19</f>
        <v>估价对象所在区域公共配套设施齐备情况</v>
      </c>
      <c r="C87" s="1887"/>
      <c r="D87" s="1002">
        <f t="shared" si="23"/>
        <v>0</v>
      </c>
      <c r="E87" s="705"/>
      <c r="F87" s="1675"/>
      <c r="G87" s="1000"/>
      <c r="H87" s="1003" t="str">
        <f t="shared" si="24"/>
        <v>——</v>
      </c>
      <c r="I87" s="3067">
        <v>0.06</v>
      </c>
      <c r="J87" s="1001">
        <f t="shared" si="25"/>
        <v>0</v>
      </c>
      <c r="K87" s="1001">
        <f t="shared" si="26"/>
        <v>0</v>
      </c>
      <c r="L87" s="1001">
        <v>0</v>
      </c>
      <c r="M87" s="1001">
        <f t="shared" si="27"/>
        <v>0</v>
      </c>
      <c r="N87" s="1001">
        <f t="shared" si="27"/>
        <v>0</v>
      </c>
    </row>
    <row r="88" spans="1:37" ht="25.5">
      <c r="A88" s="1970" t="s">
        <v>2050</v>
      </c>
      <c r="B88" s="1240" t="str">
        <f>估价对象房地状况!G20</f>
        <v>估价对象所在区域基础设施水平</v>
      </c>
      <c r="C88" s="1887"/>
      <c r="D88" s="1002">
        <f t="shared" si="23"/>
        <v>0</v>
      </c>
      <c r="E88" s="705"/>
      <c r="F88" s="1675"/>
      <c r="G88" s="1000"/>
      <c r="H88" s="1003" t="str">
        <f t="shared" si="24"/>
        <v>——</v>
      </c>
      <c r="I88" s="3067">
        <v>0.12</v>
      </c>
      <c r="J88" s="1001">
        <f t="shared" si="25"/>
        <v>0</v>
      </c>
      <c r="K88" s="1001">
        <f t="shared" si="26"/>
        <v>0</v>
      </c>
      <c r="L88" s="1001">
        <v>0</v>
      </c>
      <c r="M88" s="1001">
        <f t="shared" si="27"/>
        <v>0</v>
      </c>
      <c r="N88" s="1001">
        <f t="shared" si="27"/>
        <v>0</v>
      </c>
    </row>
    <row r="89" spans="1:37" ht="24">
      <c r="A89" s="1970" t="s">
        <v>2047</v>
      </c>
      <c r="B89" s="1975" t="s">
        <v>2061</v>
      </c>
      <c r="C89" s="1887"/>
      <c r="D89" s="1002">
        <f t="shared" si="23"/>
        <v>0</v>
      </c>
      <c r="E89" s="705"/>
      <c r="F89" s="1675"/>
      <c r="G89" s="1000"/>
      <c r="H89" s="1003" t="str">
        <f t="shared" si="24"/>
        <v>——</v>
      </c>
      <c r="I89" s="3067">
        <v>0.06</v>
      </c>
      <c r="J89" s="1001">
        <f t="shared" si="25"/>
        <v>0</v>
      </c>
      <c r="K89" s="1001">
        <f t="shared" si="26"/>
        <v>0</v>
      </c>
      <c r="L89" s="1001">
        <v>0</v>
      </c>
      <c r="M89" s="1001">
        <f t="shared" si="27"/>
        <v>0</v>
      </c>
      <c r="N89" s="1001">
        <f t="shared" si="27"/>
        <v>0</v>
      </c>
    </row>
    <row r="90" spans="1:37" ht="39" thickBot="1">
      <c r="A90" s="1977" t="s">
        <v>2062</v>
      </c>
      <c r="B90" s="1982" t="str">
        <f>估价对象房地状况!G18</f>
        <v>该园区内是否有污染型企业，绿化情况，卫生条件，整体环境状况判断</v>
      </c>
      <c r="C90" s="1887"/>
      <c r="D90" s="1002">
        <f t="shared" si="23"/>
        <v>0</v>
      </c>
      <c r="E90" s="706"/>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2600</v>
      </c>
      <c r="B91" s="3078">
        <f>1+E93</f>
        <v>0.95269999999999999</v>
      </c>
      <c r="C91" s="3071"/>
      <c r="D91" s="3072"/>
      <c r="E91" s="1675"/>
      <c r="F91" s="1675"/>
      <c r="G91" s="3073"/>
      <c r="H91" s="3074"/>
      <c r="I91" s="3075"/>
      <c r="J91" s="3076"/>
      <c r="K91" s="3076"/>
      <c r="L91" s="3076"/>
      <c r="M91" s="3076"/>
      <c r="N91" s="3076"/>
    </row>
    <row r="92" spans="1:37" ht="24.75">
      <c r="A92" s="3079" t="s">
        <v>3258</v>
      </c>
      <c r="B92" s="2309"/>
      <c r="C92" s="2309" t="s">
        <v>3267</v>
      </c>
      <c r="D92" s="2309" t="s">
        <v>3268</v>
      </c>
      <c r="E92" s="3051" t="s">
        <v>3269</v>
      </c>
      <c r="F92" s="3081" t="s">
        <v>3270</v>
      </c>
      <c r="G92" s="2309" t="s">
        <v>3271</v>
      </c>
      <c r="H92" s="3088" t="s">
        <v>3274</v>
      </c>
      <c r="I92" s="2309" t="s">
        <v>3275</v>
      </c>
      <c r="J92" s="2150" t="s">
        <v>3276</v>
      </c>
      <c r="K92" s="2150" t="s">
        <v>3277</v>
      </c>
      <c r="L92" s="2150" t="s">
        <v>3278</v>
      </c>
      <c r="M92" s="2150" t="s">
        <v>3279</v>
      </c>
      <c r="N92" s="2150" t="s">
        <v>3280</v>
      </c>
    </row>
    <row r="93" spans="1:37" ht="24">
      <c r="A93" s="3069" t="s">
        <v>3259</v>
      </c>
      <c r="B93" s="1221"/>
      <c r="C93" s="1887" t="s">
        <v>3741</v>
      </c>
      <c r="D93" s="2309">
        <f>SUMIF($J$92:$N$92,C93,J93:N93)</f>
        <v>-1.6199999999999999E-2</v>
      </c>
      <c r="E93" s="3082">
        <f>ROUND(SUM(D93:D101),4)</f>
        <v>-4.7300000000000002E-2</v>
      </c>
      <c r="F93" s="1675">
        <f>IF(E2="公共服务",SUMIF(L1:L12,G2,N1:N12),"——")</f>
        <v>0.13</v>
      </c>
      <c r="G93" s="3073">
        <f>H93</f>
        <v>1.6199999999999999E-2</v>
      </c>
      <c r="H93" s="3118">
        <f>IFERROR(ROUNDDOWN($F$93*I93/2,4),"——")</f>
        <v>1.6199999999999999E-2</v>
      </c>
      <c r="I93" s="3067">
        <v>0.25</v>
      </c>
      <c r="J93" s="1912">
        <f t="shared" ref="J93:J101" si="28">K93+$G93</f>
        <v>3.2399999999999998E-2</v>
      </c>
      <c r="K93" s="1912">
        <f t="shared" ref="K93:K101" si="29">$L93+$G93</f>
        <v>1.6199999999999999E-2</v>
      </c>
      <c r="L93" s="1912">
        <v>0</v>
      </c>
      <c r="M93" s="1912">
        <f t="shared" ref="M93:N101" si="30">L93-$G93</f>
        <v>-1.6199999999999999E-2</v>
      </c>
      <c r="N93" s="1912">
        <f t="shared" si="30"/>
        <v>-3.2399999999999998E-2</v>
      </c>
    </row>
    <row r="94" spans="1:37" ht="38.25">
      <c r="A94" s="3079" t="s">
        <v>3260</v>
      </c>
      <c r="B94" s="3070" t="str">
        <f>估价对象房地状况!C18</f>
        <v>估价对象周边道路状况、公共交通通达情况、停车便捷程度，综合评价交通便捷度较好</v>
      </c>
      <c r="C94" s="1887" t="s">
        <v>3741</v>
      </c>
      <c r="D94" s="2309">
        <f t="shared" ref="D94:D101" si="31">SUMIF($J$60:$N$60,C94,J94:N94)</f>
        <v>-1.6899999999999998E-2</v>
      </c>
      <c r="E94" s="3083"/>
      <c r="F94" s="1675"/>
      <c r="G94" s="3073">
        <f t="shared" ref="G94:G101" si="32">H94</f>
        <v>1.6899999999999998E-2</v>
      </c>
      <c r="H94" s="3118">
        <f>IFERROR(ROUNDDOWN($F$93*I94/2,4),"——")</f>
        <v>1.6899999999999998E-2</v>
      </c>
      <c r="I94" s="3067">
        <v>0.26</v>
      </c>
      <c r="J94" s="1912">
        <f t="shared" si="28"/>
        <v>3.3799999999999997E-2</v>
      </c>
      <c r="K94" s="1912">
        <f t="shared" si="29"/>
        <v>1.6899999999999998E-2</v>
      </c>
      <c r="L94" s="1912">
        <v>0</v>
      </c>
      <c r="M94" s="1912">
        <f t="shared" si="30"/>
        <v>-1.6899999999999998E-2</v>
      </c>
      <c r="N94" s="1912">
        <f t="shared" si="30"/>
        <v>-3.3799999999999997E-2</v>
      </c>
    </row>
    <row r="95" spans="1:37" ht="36">
      <c r="A95" s="3069" t="s">
        <v>3256</v>
      </c>
      <c r="B95" s="3070">
        <f>估价对象房地状况!C19</f>
        <v>0</v>
      </c>
      <c r="C95" s="1887" t="s">
        <v>3811</v>
      </c>
      <c r="D95" s="2309">
        <f t="shared" si="31"/>
        <v>0</v>
      </c>
      <c r="E95" s="3083"/>
      <c r="F95" s="1675"/>
      <c r="G95" s="3073">
        <f t="shared" si="32"/>
        <v>7.1000000000000004E-3</v>
      </c>
      <c r="H95" s="3118">
        <f t="shared" ref="H95:H101" si="33">IFERROR(ROUNDDOWN($F$93*I95/2,4),"——")</f>
        <v>7.1000000000000004E-3</v>
      </c>
      <c r="I95" s="3067">
        <v>0.11</v>
      </c>
      <c r="J95" s="1912">
        <f t="shared" si="28"/>
        <v>1.4200000000000001E-2</v>
      </c>
      <c r="K95" s="1912">
        <f t="shared" si="29"/>
        <v>7.1000000000000004E-3</v>
      </c>
      <c r="L95" s="1912">
        <v>0</v>
      </c>
      <c r="M95" s="1912">
        <f t="shared" si="30"/>
        <v>-7.1000000000000004E-3</v>
      </c>
      <c r="N95" s="1912">
        <f t="shared" si="30"/>
        <v>-1.4200000000000001E-2</v>
      </c>
    </row>
    <row r="96" spans="1:37" ht="36.75">
      <c r="A96" s="3079" t="s">
        <v>3261</v>
      </c>
      <c r="B96" s="3085" t="s">
        <v>3272</v>
      </c>
      <c r="C96" s="1887" t="s">
        <v>3739</v>
      </c>
      <c r="D96" s="2309">
        <f t="shared" si="31"/>
        <v>3.2000000000000002E-3</v>
      </c>
      <c r="E96" s="3083"/>
      <c r="F96" s="1675"/>
      <c r="G96" s="3073">
        <f t="shared" si="32"/>
        <v>3.2000000000000002E-3</v>
      </c>
      <c r="H96" s="3118">
        <f t="shared" si="33"/>
        <v>3.2000000000000002E-3</v>
      </c>
      <c r="I96" s="3067">
        <v>0.05</v>
      </c>
      <c r="J96" s="1912">
        <f t="shared" si="28"/>
        <v>6.4000000000000003E-3</v>
      </c>
      <c r="K96" s="1912">
        <f t="shared" si="29"/>
        <v>3.2000000000000002E-3</v>
      </c>
      <c r="L96" s="1912">
        <v>0</v>
      </c>
      <c r="M96" s="1912">
        <f t="shared" si="30"/>
        <v>-3.2000000000000002E-3</v>
      </c>
      <c r="N96" s="1912">
        <f t="shared" si="30"/>
        <v>-6.4000000000000003E-3</v>
      </c>
    </row>
    <row r="97" spans="1:14" ht="24">
      <c r="A97" s="3079" t="s">
        <v>3262</v>
      </c>
      <c r="B97" s="3070">
        <f>估价对象房地状况!C24</f>
        <v>0</v>
      </c>
      <c r="C97" s="1887" t="s">
        <v>3741</v>
      </c>
      <c r="D97" s="2309">
        <f t="shared" si="31"/>
        <v>-3.2000000000000002E-3</v>
      </c>
      <c r="E97" s="3083"/>
      <c r="F97" s="1675"/>
      <c r="G97" s="3073">
        <f t="shared" si="32"/>
        <v>3.2000000000000002E-3</v>
      </c>
      <c r="H97" s="3118">
        <f t="shared" si="33"/>
        <v>3.2000000000000002E-3</v>
      </c>
      <c r="I97" s="3067">
        <v>0.05</v>
      </c>
      <c r="J97" s="1912">
        <f t="shared" si="28"/>
        <v>6.4000000000000003E-3</v>
      </c>
      <c r="K97" s="1912">
        <f t="shared" si="29"/>
        <v>3.2000000000000002E-3</v>
      </c>
      <c r="L97" s="1912">
        <v>0</v>
      </c>
      <c r="M97" s="1912">
        <f t="shared" si="30"/>
        <v>-3.2000000000000002E-3</v>
      </c>
      <c r="N97" s="1912">
        <f t="shared" si="30"/>
        <v>-6.4000000000000003E-3</v>
      </c>
    </row>
    <row r="98" spans="1:14" ht="24">
      <c r="A98" s="3079" t="s">
        <v>3263</v>
      </c>
      <c r="B98" s="3086" t="s">
        <v>3273</v>
      </c>
      <c r="C98" s="1887" t="s">
        <v>3811</v>
      </c>
      <c r="D98" s="2309">
        <f t="shared" si="31"/>
        <v>0</v>
      </c>
      <c r="E98" s="3083"/>
      <c r="F98" s="1675"/>
      <c r="G98" s="3073">
        <f t="shared" si="32"/>
        <v>3.8999999999999998E-3</v>
      </c>
      <c r="H98" s="3118">
        <f t="shared" si="33"/>
        <v>3.8999999999999998E-3</v>
      </c>
      <c r="I98" s="3067">
        <v>0.06</v>
      </c>
      <c r="J98" s="1912">
        <f t="shared" si="28"/>
        <v>7.7999999999999996E-3</v>
      </c>
      <c r="K98" s="1912">
        <f t="shared" si="29"/>
        <v>3.8999999999999998E-3</v>
      </c>
      <c r="L98" s="1912">
        <v>0</v>
      </c>
      <c r="M98" s="1912">
        <f t="shared" si="30"/>
        <v>-3.8999999999999998E-3</v>
      </c>
      <c r="N98" s="1912">
        <f t="shared" si="30"/>
        <v>-7.7999999999999996E-3</v>
      </c>
    </row>
    <row r="99" spans="1:14" ht="25.5">
      <c r="A99" s="3079" t="s">
        <v>3264</v>
      </c>
      <c r="B99" s="3070" t="str">
        <f>估价对象房地状况!C21</f>
        <v>估价对象所在区域公共配套设施齐备情况</v>
      </c>
      <c r="C99" s="1887" t="s">
        <v>3741</v>
      </c>
      <c r="D99" s="2309">
        <f t="shared" si="31"/>
        <v>-3.8999999999999998E-3</v>
      </c>
      <c r="E99" s="3083"/>
      <c r="F99" s="1675"/>
      <c r="G99" s="3073">
        <f t="shared" si="32"/>
        <v>3.8999999999999998E-3</v>
      </c>
      <c r="H99" s="3118">
        <f t="shared" si="33"/>
        <v>3.8999999999999998E-3</v>
      </c>
      <c r="I99" s="3067">
        <v>0.06</v>
      </c>
      <c r="J99" s="1912">
        <f t="shared" si="28"/>
        <v>7.7999999999999996E-3</v>
      </c>
      <c r="K99" s="1912">
        <f t="shared" si="29"/>
        <v>3.8999999999999998E-3</v>
      </c>
      <c r="L99" s="1912">
        <v>0</v>
      </c>
      <c r="M99" s="1912">
        <f t="shared" si="30"/>
        <v>-3.8999999999999998E-3</v>
      </c>
      <c r="N99" s="1912">
        <f t="shared" si="30"/>
        <v>-7.7999999999999996E-3</v>
      </c>
    </row>
    <row r="100" spans="1:14" ht="25.5">
      <c r="A100" s="3079" t="s">
        <v>3265</v>
      </c>
      <c r="B100" s="3070" t="str">
        <f>估价对象房地状况!C22</f>
        <v>估价对象所在区域基础设施水平</v>
      </c>
      <c r="C100" s="1887" t="s">
        <v>3741</v>
      </c>
      <c r="D100" s="2309">
        <f t="shared" si="31"/>
        <v>-5.7999999999999996E-3</v>
      </c>
      <c r="E100" s="3083"/>
      <c r="F100" s="1675"/>
      <c r="G100" s="3073">
        <f t="shared" si="32"/>
        <v>5.7999999999999996E-3</v>
      </c>
      <c r="H100" s="3118">
        <f t="shared" si="33"/>
        <v>5.7999999999999996E-3</v>
      </c>
      <c r="I100" s="3067">
        <v>0.09</v>
      </c>
      <c r="J100" s="1912">
        <f t="shared" si="28"/>
        <v>1.1599999999999999E-2</v>
      </c>
      <c r="K100" s="1912">
        <f t="shared" si="29"/>
        <v>5.7999999999999996E-3</v>
      </c>
      <c r="L100" s="1912">
        <v>0</v>
      </c>
      <c r="M100" s="1912">
        <f t="shared" si="30"/>
        <v>-5.7999999999999996E-3</v>
      </c>
      <c r="N100" s="1912">
        <f t="shared" si="30"/>
        <v>-1.1599999999999999E-2</v>
      </c>
    </row>
    <row r="101" spans="1:14" ht="26.25" thickBot="1">
      <c r="A101" s="3080" t="s">
        <v>3266</v>
      </c>
      <c r="B101" s="3087" t="str">
        <f>估价对象房地状况!C20</f>
        <v>区域自然环境：；人文环境；综合评价环境状况一般</v>
      </c>
      <c r="C101" s="1887" t="s">
        <v>3741</v>
      </c>
      <c r="D101" s="2309">
        <f t="shared" si="31"/>
        <v>-4.4999999999999997E-3</v>
      </c>
      <c r="E101" s="3084"/>
      <c r="F101" s="1675"/>
      <c r="G101" s="3073">
        <f t="shared" si="32"/>
        <v>4.4999999999999997E-3</v>
      </c>
      <c r="H101" s="3118">
        <f t="shared" si="33"/>
        <v>4.4999999999999997E-3</v>
      </c>
      <c r="I101" s="3068">
        <v>7.0000000000000007E-2</v>
      </c>
      <c r="J101" s="1912">
        <f t="shared" si="28"/>
        <v>8.9999999999999993E-3</v>
      </c>
      <c r="K101" s="1912">
        <f t="shared" si="29"/>
        <v>4.4999999999999997E-3</v>
      </c>
      <c r="L101" s="1912">
        <v>0</v>
      </c>
      <c r="M101" s="1912">
        <f t="shared" si="30"/>
        <v>-4.4999999999999997E-3</v>
      </c>
      <c r="N101" s="1912">
        <f t="shared" si="30"/>
        <v>-8.9999999999999993E-3</v>
      </c>
    </row>
    <row r="103" spans="1:14">
      <c r="A103" s="3435" t="s">
        <v>3281</v>
      </c>
      <c r="B103" s="3435"/>
      <c r="C103" s="3435"/>
      <c r="D103" s="3435"/>
      <c r="E103" s="3435"/>
      <c r="F103" s="3435"/>
      <c r="G103" s="3435"/>
      <c r="H103" s="3435"/>
      <c r="I103" s="3435"/>
      <c r="J103" s="3435"/>
      <c r="K103" s="1667"/>
      <c r="L103" s="1667"/>
      <c r="M103" s="1667"/>
      <c r="N103" s="1667"/>
    </row>
    <row r="104" spans="1:14">
      <c r="A104" s="3436" t="s">
        <v>3282</v>
      </c>
      <c r="B104" s="3436" t="s">
        <v>3283</v>
      </c>
      <c r="C104" s="3089" t="s">
        <v>3284</v>
      </c>
      <c r="D104" s="3090"/>
      <c r="E104" s="3090"/>
      <c r="F104" s="3090"/>
      <c r="G104" s="3090"/>
      <c r="H104" s="3090"/>
      <c r="I104" s="3090"/>
      <c r="J104" s="3091"/>
      <c r="K104" s="3092"/>
      <c r="L104" s="3092"/>
      <c r="M104" s="3092"/>
      <c r="N104" s="3092"/>
    </row>
    <row r="105" spans="1:14">
      <c r="A105" s="3436"/>
      <c r="B105" s="3436"/>
      <c r="C105" s="3093" t="s">
        <v>3285</v>
      </c>
      <c r="D105" s="3093" t="s">
        <v>3286</v>
      </c>
      <c r="E105" s="3093" t="s">
        <v>3287</v>
      </c>
      <c r="F105" s="3093" t="s">
        <v>3288</v>
      </c>
      <c r="G105" s="3093" t="s">
        <v>3289</v>
      </c>
      <c r="H105" s="3093" t="s">
        <v>3290</v>
      </c>
      <c r="I105" s="3093" t="s">
        <v>3291</v>
      </c>
      <c r="J105" s="3093" t="s">
        <v>3292</v>
      </c>
      <c r="K105" s="3093" t="s">
        <v>3293</v>
      </c>
      <c r="L105" s="3093" t="s">
        <v>3294</v>
      </c>
      <c r="M105" s="3093" t="s">
        <v>3295</v>
      </c>
      <c r="N105" s="3093" t="s">
        <v>3296</v>
      </c>
    </row>
    <row r="106" spans="1:14">
      <c r="A106" s="3422" t="s">
        <v>3297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2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2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2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2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23"/>
      <c r="B111" s="3093" t="s">
        <v>3255</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24"/>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25" t="s">
        <v>3298</v>
      </c>
      <c r="B113" s="3425"/>
      <c r="C113" s="3425"/>
      <c r="D113" s="3425"/>
      <c r="E113" s="3425"/>
      <c r="F113" s="3425"/>
      <c r="G113" s="3425"/>
      <c r="H113" s="3425"/>
      <c r="I113" s="3425"/>
      <c r="J113" s="342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3299</v>
      </c>
      <c r="B116" s="3113">
        <f>G3</f>
        <v>1.5</v>
      </c>
      <c r="C116" s="3098" t="s">
        <v>3300</v>
      </c>
      <c r="D116" s="3099">
        <f>SUMPRODUCT((A118:A122=F116)*(B117:M117=H116)*B118:M122)</f>
        <v>0.73829999999999996</v>
      </c>
      <c r="E116" s="162" t="s">
        <v>3301</v>
      </c>
      <c r="F116" s="3100" t="str">
        <f>E2</f>
        <v>公共服务</v>
      </c>
      <c r="G116" s="162" t="s">
        <v>3302</v>
      </c>
      <c r="H116" s="3100" t="str">
        <f>G2</f>
        <v>十级</v>
      </c>
      <c r="I116" s="162"/>
      <c r="J116" s="3101"/>
      <c r="K116" s="3101"/>
      <c r="L116" s="3101"/>
      <c r="M116" s="3101"/>
      <c r="N116" s="3096"/>
    </row>
    <row r="117" spans="1:14">
      <c r="A117" s="3102"/>
      <c r="B117" s="3103" t="s">
        <v>3303</v>
      </c>
      <c r="C117" s="3103" t="s">
        <v>3304</v>
      </c>
      <c r="D117" s="3103" t="s">
        <v>3305</v>
      </c>
      <c r="E117" s="3104" t="s">
        <v>3306</v>
      </c>
      <c r="F117" s="3104" t="s">
        <v>3307</v>
      </c>
      <c r="G117" s="3104" t="s">
        <v>3308</v>
      </c>
      <c r="H117" s="3105" t="s">
        <v>3309</v>
      </c>
      <c r="I117" s="3105" t="s">
        <v>3310</v>
      </c>
      <c r="J117" s="3106" t="s">
        <v>3311</v>
      </c>
      <c r="K117" s="3106" t="s">
        <v>3312</v>
      </c>
      <c r="L117" s="3106" t="s">
        <v>3313</v>
      </c>
      <c r="M117" s="3107" t="s">
        <v>3314</v>
      </c>
      <c r="N117" s="3096"/>
    </row>
    <row r="118" spans="1:14">
      <c r="A118" s="3056" t="s">
        <v>3315</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7">I118</f>
        <v>0.8216</v>
      </c>
      <c r="K118" s="3088">
        <f t="shared" si="37"/>
        <v>0.8216</v>
      </c>
      <c r="L118" s="3088">
        <f t="shared" si="37"/>
        <v>0.8216</v>
      </c>
      <c r="M118" s="3108">
        <f t="shared" si="37"/>
        <v>0.8216</v>
      </c>
      <c r="N118" s="3096"/>
    </row>
    <row r="119" spans="1:14">
      <c r="A119" s="3056" t="s">
        <v>3316</v>
      </c>
      <c r="B119" s="3088">
        <f>ROUND(0.993-0.0112*B116,4)</f>
        <v>0.97619999999999996</v>
      </c>
      <c r="C119" s="3088">
        <f>B119</f>
        <v>0.97619999999999996</v>
      </c>
      <c r="D119" s="3088">
        <f>ROUND(0.9415-0.0142*B116,4)</f>
        <v>0.92020000000000002</v>
      </c>
      <c r="E119" s="3088">
        <f t="shared" ref="E119:H120" si="38">D119</f>
        <v>0.92020000000000002</v>
      </c>
      <c r="F119" s="3088">
        <f t="shared" si="38"/>
        <v>0.92020000000000002</v>
      </c>
      <c r="G119" s="3088">
        <f t="shared" si="38"/>
        <v>0.92020000000000002</v>
      </c>
      <c r="H119" s="3088">
        <f t="shared" si="38"/>
        <v>0.92020000000000002</v>
      </c>
      <c r="I119" s="3088">
        <f>ROUND(0.838-0.0182*B116,4)</f>
        <v>0.81069999999999998</v>
      </c>
      <c r="J119" s="3088">
        <f t="shared" si="37"/>
        <v>0.81069999999999998</v>
      </c>
      <c r="K119" s="3088">
        <f t="shared" si="37"/>
        <v>0.81069999999999998</v>
      </c>
      <c r="L119" s="3088">
        <f t="shared" si="37"/>
        <v>0.81069999999999998</v>
      </c>
      <c r="M119" s="3108">
        <f t="shared" si="37"/>
        <v>0.81069999999999998</v>
      </c>
      <c r="N119" s="3096"/>
    </row>
    <row r="120" spans="1:14">
      <c r="A120" s="3056" t="s">
        <v>3317</v>
      </c>
      <c r="B120" s="3088">
        <f>ROUND(0.9448-0.0115*B116,4)</f>
        <v>0.92759999999999998</v>
      </c>
      <c r="C120" s="3088">
        <f>B120</f>
        <v>0.92759999999999998</v>
      </c>
      <c r="D120" s="3088">
        <f>ROUND(0.937-0.0145*B116,4)</f>
        <v>0.9153</v>
      </c>
      <c r="E120" s="3088">
        <f t="shared" si="38"/>
        <v>0.9153</v>
      </c>
      <c r="F120" s="3088">
        <f t="shared" si="38"/>
        <v>0.9153</v>
      </c>
      <c r="G120" s="3088">
        <f t="shared" si="38"/>
        <v>0.9153</v>
      </c>
      <c r="H120" s="3088">
        <f t="shared" si="38"/>
        <v>0.9153</v>
      </c>
      <c r="I120" s="3088">
        <f>ROUND(0.7965-0.0185*B116,4)</f>
        <v>0.76880000000000004</v>
      </c>
      <c r="J120" s="3088">
        <f t="shared" si="37"/>
        <v>0.76880000000000004</v>
      </c>
      <c r="K120" s="3088">
        <f t="shared" si="37"/>
        <v>0.76880000000000004</v>
      </c>
      <c r="L120" s="3088">
        <f t="shared" si="37"/>
        <v>0.76880000000000004</v>
      </c>
      <c r="M120" s="3108">
        <f t="shared" si="37"/>
        <v>0.76880000000000004</v>
      </c>
      <c r="N120" s="3096"/>
    </row>
    <row r="121" spans="1:14" ht="13.5" thickBot="1">
      <c r="A121" s="3109" t="s">
        <v>3318</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7"/>
        <v>0.56200000000000006</v>
      </c>
      <c r="K121" s="3110">
        <f t="shared" si="37"/>
        <v>0.56200000000000006</v>
      </c>
      <c r="L121" s="3110">
        <f t="shared" si="37"/>
        <v>0.56200000000000006</v>
      </c>
      <c r="M121" s="3111">
        <f t="shared" si="37"/>
        <v>0.56200000000000006</v>
      </c>
      <c r="N121" s="3096"/>
    </row>
    <row r="122" spans="1:14">
      <c r="A122" s="3112" t="s">
        <v>2600</v>
      </c>
      <c r="B122" s="3088">
        <f>ROUND(0.9404-0.0106*B116,4)</f>
        <v>0.92449999999999999</v>
      </c>
      <c r="C122" s="3088">
        <f>B122</f>
        <v>0.92449999999999999</v>
      </c>
      <c r="D122" s="3088">
        <f>ROUND(0.8955-0.0135*B116,4)</f>
        <v>0.87529999999999997</v>
      </c>
      <c r="E122" s="3088">
        <f t="shared" ref="E122:H122" si="39">D122</f>
        <v>0.87529999999999997</v>
      </c>
      <c r="F122" s="3088">
        <f t="shared" si="39"/>
        <v>0.87529999999999997</v>
      </c>
      <c r="G122" s="3088">
        <f t="shared" si="39"/>
        <v>0.87529999999999997</v>
      </c>
      <c r="H122" s="3088">
        <f t="shared" si="39"/>
        <v>0.87529999999999997</v>
      </c>
      <c r="I122" s="3088">
        <f>ROUND(0.7632-0.0166*B116,4)</f>
        <v>0.73829999999999996</v>
      </c>
      <c r="J122" s="3088">
        <f t="shared" si="37"/>
        <v>0.73829999999999996</v>
      </c>
      <c r="K122" s="3088">
        <f t="shared" si="37"/>
        <v>0.73829999999999996</v>
      </c>
      <c r="L122" s="3088">
        <f t="shared" si="37"/>
        <v>0.73829999999999996</v>
      </c>
      <c r="M122" s="3108">
        <f t="shared" si="37"/>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6" sqref="C6"/>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1586</v>
      </c>
      <c r="B1" s="121"/>
      <c r="C1" s="1110"/>
      <c r="D1" s="1109"/>
      <c r="E1" s="2566"/>
      <c r="F1" s="2566"/>
      <c r="G1" s="2447"/>
      <c r="H1" s="2566"/>
      <c r="I1" s="2566"/>
      <c r="J1" s="2566"/>
      <c r="K1" s="2567">
        <f>MATCH(C1,'数据-取费表'!A6:A16,0)+5</f>
        <v>7</v>
      </c>
    </row>
    <row r="2" spans="1:33" ht="18" customHeight="1">
      <c r="A2" s="193" t="s">
        <v>1454</v>
      </c>
      <c r="B2" s="196" t="e">
        <f ca="1">C32</f>
        <v>#VALUE!</v>
      </c>
      <c r="C2" s="268" t="s">
        <v>1587</v>
      </c>
      <c r="D2" s="268"/>
      <c r="E2" s="2566"/>
      <c r="F2" s="2566"/>
      <c r="G2" s="2566"/>
      <c r="H2" s="2566"/>
      <c r="I2" s="2566"/>
      <c r="J2" s="2566"/>
      <c r="K2" s="2566"/>
    </row>
    <row r="3" spans="1:33" ht="18" customHeight="1" thickBot="1">
      <c r="A3" s="195" t="s">
        <v>1456</v>
      </c>
      <c r="B3" s="196" t="e">
        <f ca="1">ROUND(B2*10000/IF(C1="",'数据-汇总表'!E3,INDIRECT("'数据-取费表'!K"&amp;$K$1)),0)</f>
        <v>#VALUE!</v>
      </c>
      <c r="C3" s="268" t="s">
        <v>1588</v>
      </c>
      <c r="D3" s="268"/>
      <c r="E3" s="2566"/>
      <c r="F3" s="2566"/>
      <c r="G3" s="2566"/>
      <c r="H3" s="2566"/>
      <c r="I3" s="2566"/>
      <c r="J3" s="2566"/>
      <c r="K3" s="2566"/>
    </row>
    <row r="4" spans="1:33" s="739" customFormat="1" ht="16.5" customHeight="1">
      <c r="A4" s="736" t="s">
        <v>1589</v>
      </c>
      <c r="B4" s="737"/>
      <c r="C4" s="775" t="e">
        <f ca="1">SUM(C8:K8)</f>
        <v>#VALUE!</v>
      </c>
      <c r="D4" s="737"/>
      <c r="E4" s="737"/>
      <c r="F4" s="737"/>
      <c r="G4" s="737"/>
      <c r="H4" s="737"/>
      <c r="I4" s="737"/>
      <c r="J4" s="737"/>
      <c r="K4" s="738"/>
    </row>
    <row r="5" spans="1:33" s="743" customFormat="1" ht="15">
      <c r="A5" s="740" t="s">
        <v>1590</v>
      </c>
      <c r="B5" s="741" t="s">
        <v>1591</v>
      </c>
      <c r="C5" s="1718" t="s">
        <v>3399</v>
      </c>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1592</v>
      </c>
      <c r="C6" s="745" t="e">
        <f ca="1">'收益法-酒店模型'!B3</f>
        <v>#VALUE!</v>
      </c>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1595</v>
      </c>
      <c r="B8" s="156" t="s">
        <v>1596</v>
      </c>
      <c r="C8" s="776" t="e">
        <f ca="1">'收益法-酒店模型'!B2</f>
        <v>#VALUE!</v>
      </c>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1597</v>
      </c>
      <c r="B9" s="737"/>
      <c r="C9" s="737"/>
      <c r="D9" s="737"/>
      <c r="E9" s="737"/>
      <c r="F9" s="737"/>
      <c r="G9" s="737"/>
      <c r="H9" s="737"/>
      <c r="I9" s="737"/>
      <c r="J9" s="737"/>
      <c r="K9" s="738"/>
    </row>
    <row r="10" spans="1:33" s="751" customFormat="1" ht="13.5" customHeight="1">
      <c r="A10" s="740" t="s">
        <v>1598</v>
      </c>
      <c r="B10" s="5" t="s">
        <v>1599</v>
      </c>
      <c r="C10" s="747" t="s">
        <v>1600</v>
      </c>
      <c r="D10" s="748" t="s">
        <v>1601</v>
      </c>
      <c r="E10" s="748" t="s">
        <v>1602</v>
      </c>
      <c r="F10" s="748" t="s">
        <v>1603</v>
      </c>
      <c r="G10" s="5"/>
      <c r="H10" s="749"/>
      <c r="I10" s="749"/>
      <c r="J10" s="749"/>
      <c r="K10" s="750"/>
    </row>
    <row r="11" spans="1:33" s="755" customFormat="1" ht="13.5" customHeight="1">
      <c r="A11" s="752" t="s">
        <v>635</v>
      </c>
      <c r="B11" s="753" t="s">
        <v>1604</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1605</v>
      </c>
      <c r="C12" s="21">
        <f ca="1">ROUND(C11*F12,0)</f>
        <v>0</v>
      </c>
      <c r="D12" s="754"/>
      <c r="E12" s="138"/>
      <c r="F12" s="764">
        <f>'数据-取费表'!B33</f>
        <v>0.05</v>
      </c>
      <c r="G12" s="5" t="s">
        <v>1606</v>
      </c>
      <c r="H12" s="749"/>
      <c r="I12" s="749"/>
      <c r="J12" s="749"/>
      <c r="K12" s="750"/>
    </row>
    <row r="13" spans="1:33" s="755" customFormat="1" ht="13.5" customHeight="1">
      <c r="A13" s="752" t="s">
        <v>637</v>
      </c>
      <c r="B13" s="753" t="s">
        <v>1607</v>
      </c>
      <c r="C13" s="21">
        <f ca="1">ROUND(IF(C1="",SUMIF('数据-取费表'!C:C,"住宅",'数据-取费表'!P:P)*F13,IF(INDIRECT("'数据-取费表'!c"&amp;$K$1)="住宅",INDIRECT("'数据-取费表'!P"&amp;$K$1)*F13,0)),0)</f>
        <v>0</v>
      </c>
      <c r="D13" s="796"/>
      <c r="E13" s="138"/>
      <c r="F13" s="764">
        <f>'数据-取费表'!B34</f>
        <v>0</v>
      </c>
      <c r="G13" s="5" t="s">
        <v>1608</v>
      </c>
      <c r="H13" s="749"/>
      <c r="I13" s="749"/>
      <c r="J13" s="749"/>
      <c r="K13" s="750"/>
    </row>
    <row r="14" spans="1:33" s="757" customFormat="1" ht="13.5" customHeight="1">
      <c r="A14" s="752" t="s">
        <v>638</v>
      </c>
      <c r="B14" s="753" t="s">
        <v>1609</v>
      </c>
      <c r="C14" s="21">
        <f ca="1">ROUND(D14*E14*F11/10000,0)</f>
        <v>0</v>
      </c>
      <c r="D14" s="796">
        <f ca="1">IF(C1="",'数据-汇总表'!E3,INDIRECT("'数据-取费表'!K"&amp;$K$1)+INDIRECT("'数据-取费表'!S"&amp;$K$1))</f>
        <v>10446.719999999999</v>
      </c>
      <c r="E14" s="21">
        <f>'数据-取费表'!B35</f>
        <v>0</v>
      </c>
      <c r="F14" s="756"/>
      <c r="G14" s="5" t="s">
        <v>1610</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1611</v>
      </c>
      <c r="C15" s="763">
        <f ca="1">ROUND(C11*F15,0)</f>
        <v>0</v>
      </c>
      <c r="D15" s="758"/>
      <c r="E15" s="763"/>
      <c r="F15" s="764">
        <f>'数据-取费表'!B36</f>
        <v>0.03</v>
      </c>
      <c r="G15" s="123" t="s">
        <v>1612</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1613</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1614</v>
      </c>
      <c r="C17" s="21">
        <f ca="1">ROUND(D17*E17/10000,0)</f>
        <v>52</v>
      </c>
      <c r="D17" s="796">
        <f ca="1">D14</f>
        <v>10446.719999999999</v>
      </c>
      <c r="E17" s="21">
        <f>'数据-取费表'!B32</f>
        <v>50</v>
      </c>
      <c r="F17" s="758"/>
      <c r="G17" s="123" t="s">
        <v>1615</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1616</v>
      </c>
      <c r="C18" s="21">
        <f ca="1">C19+C20-IF(C1="",'数据-取费表'!B29,IF(G18="已全部缴纳",C19+C20,H18))</f>
        <v>0</v>
      </c>
      <c r="D18" s="796"/>
      <c r="E18" s="21"/>
      <c r="F18" s="756"/>
      <c r="G18" s="1720" t="s">
        <v>3800</v>
      </c>
      <c r="H18" s="1106"/>
      <c r="I18" s="1721" t="s">
        <v>1617</v>
      </c>
      <c r="J18" s="759"/>
      <c r="K18" s="760"/>
    </row>
    <row r="19" spans="1:33" s="755" customFormat="1" ht="13.5" customHeight="1">
      <c r="A19" s="752" t="s">
        <v>360</v>
      </c>
      <c r="B19" s="753" t="s">
        <v>1618</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1619</v>
      </c>
      <c r="C20" s="21">
        <f ca="1">ROUND(D20*E20/10000,0)</f>
        <v>209</v>
      </c>
      <c r="D20" s="796">
        <f ca="1">IF(C1="",'数据-汇总表'!E6,IF(INDIRECT("'数据-取费表'!c"&amp;$K$1)="住宅",INDIRECT("'数据-取费表'!s"&amp;$K$1),INDIRECT("'数据-取费表'!k"&amp;$K$1)+INDIRECT("'数据-取费表'!s"&amp;$K$1)))</f>
        <v>10446.719999999999</v>
      </c>
      <c r="E20" s="21">
        <f>'数据-取费表'!B28</f>
        <v>200</v>
      </c>
      <c r="F20" s="756"/>
      <c r="G20" s="12"/>
      <c r="H20" s="761"/>
      <c r="I20" s="761"/>
      <c r="J20" s="761"/>
      <c r="K20" s="762"/>
    </row>
    <row r="21" spans="1:33" s="755" customFormat="1" ht="13.5" customHeight="1">
      <c r="A21" s="744" t="s">
        <v>357</v>
      </c>
      <c r="B21" s="765" t="s">
        <v>1620</v>
      </c>
      <c r="C21" s="766">
        <f ca="1">C16+C17+C18</f>
        <v>52</v>
      </c>
      <c r="D21" s="767"/>
      <c r="E21" s="273"/>
      <c r="F21" s="273"/>
      <c r="G21" s="123" t="s">
        <v>1621</v>
      </c>
      <c r="H21" s="759"/>
      <c r="I21" s="759"/>
      <c r="J21" s="759"/>
      <c r="K21" s="760"/>
    </row>
    <row r="22" spans="1:33" s="755" customFormat="1" ht="13.5" customHeight="1">
      <c r="A22" s="744" t="s">
        <v>1593</v>
      </c>
      <c r="B22" s="765" t="s">
        <v>1622</v>
      </c>
      <c r="C22" s="766">
        <f ca="1">ROUND(C21*F22,0)</f>
        <v>2</v>
      </c>
      <c r="D22" s="273"/>
      <c r="E22" s="273"/>
      <c r="F22" s="768">
        <f>'数据-取费表'!B37</f>
        <v>0.03</v>
      </c>
      <c r="G22" s="5" t="s">
        <v>1623</v>
      </c>
      <c r="H22" s="749"/>
      <c r="I22" s="749"/>
      <c r="J22" s="749"/>
      <c r="K22" s="750"/>
    </row>
    <row r="23" spans="1:33" s="755" customFormat="1" ht="13.5" customHeight="1">
      <c r="A23" s="744" t="s">
        <v>1595</v>
      </c>
      <c r="B23" s="765" t="s">
        <v>1624</v>
      </c>
      <c r="C23" s="766" t="e">
        <f ca="1">ROUND(C4*F23*F11,0)</f>
        <v>#VALUE!</v>
      </c>
      <c r="D23" s="273"/>
      <c r="E23" s="273"/>
      <c r="F23" s="768">
        <f>'数据-取费表'!B38</f>
        <v>0.02</v>
      </c>
      <c r="G23" s="5" t="s">
        <v>1625</v>
      </c>
      <c r="H23" s="749"/>
      <c r="I23" s="749"/>
      <c r="J23" s="749"/>
      <c r="K23" s="750"/>
    </row>
    <row r="24" spans="1:33" s="755" customFormat="1" ht="13.5" customHeight="1">
      <c r="A24" s="744" t="s">
        <v>1626</v>
      </c>
      <c r="B24" s="765" t="s">
        <v>1627</v>
      </c>
      <c r="C24" s="272">
        <f>ROUND(F24/(1+'数据-取费表'!C42),4)</f>
        <v>2.9000000000000001E-2</v>
      </c>
      <c r="D24" s="273" t="s">
        <v>12</v>
      </c>
      <c r="E24" s="273"/>
      <c r="F24" s="768">
        <f>IF(项目基本情况!B8="出让",0,'数据-取费表'!B48+'数据-取费表'!B49)</f>
        <v>3.0499999999999999E-2</v>
      </c>
      <c r="G24" s="5" t="s">
        <v>1628</v>
      </c>
      <c r="H24" s="770"/>
      <c r="I24" s="770"/>
      <c r="J24" s="770"/>
      <c r="K24" s="55"/>
    </row>
    <row r="25" spans="1:33" s="755" customFormat="1" ht="13.5" customHeight="1">
      <c r="A25" s="744" t="s">
        <v>1629</v>
      </c>
      <c r="B25" s="767" t="s">
        <v>1630</v>
      </c>
      <c r="C25" s="1043" t="e">
        <f ca="1">C27</f>
        <v>#VALUE!</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1631</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1632</v>
      </c>
      <c r="C27" s="1045" t="e">
        <f ca="1">ROUND(IF('数据-取费表'!B22&lt;=1,(C21+C22+C23)*F25*'数据-取费表'!B24/2,(C21+C22+C23)*(POWER((1+F25),'数据-取费表'!B24/2)-1)),0)</f>
        <v>#VALUE!</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1633</v>
      </c>
      <c r="B28" s="1723" t="s">
        <v>1634</v>
      </c>
      <c r="C28" s="279" t="e">
        <f ca="1">C30</f>
        <v>#VALUE!</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1635</v>
      </c>
      <c r="C29" s="276">
        <f ca="1">ROUND((1+C24)*F28*'数据-取费表'!B24/'数据-取费表'!B20,4)</f>
        <v>0</v>
      </c>
      <c r="D29" s="276"/>
      <c r="E29" s="277"/>
      <c r="F29" s="282"/>
      <c r="G29" s="123" t="s">
        <v>1636</v>
      </c>
      <c r="H29" s="759"/>
      <c r="I29" s="759"/>
      <c r="J29" s="759"/>
      <c r="K29" s="760"/>
    </row>
    <row r="30" spans="1:33" s="283" customFormat="1" ht="13.5" customHeight="1">
      <c r="A30" s="752" t="s">
        <v>359</v>
      </c>
      <c r="B30" s="773" t="s">
        <v>1637</v>
      </c>
      <c r="C30" s="284" t="e">
        <f ca="1">ROUND((C21+C22+C23)*F28,0)</f>
        <v>#VALUE!</v>
      </c>
      <c r="D30" s="276"/>
      <c r="E30" s="277"/>
      <c r="F30" s="282"/>
      <c r="G30" s="123"/>
      <c r="H30" s="759"/>
      <c r="I30" s="759"/>
      <c r="J30" s="759"/>
      <c r="K30" s="760"/>
    </row>
    <row r="31" spans="1:33" s="755" customFormat="1" ht="13.5" customHeight="1" thickBot="1">
      <c r="A31" s="1724" t="s">
        <v>1638</v>
      </c>
      <c r="B31" s="783" t="s">
        <v>1639</v>
      </c>
      <c r="C31" s="784" t="e">
        <f ca="1">ROUND(C4*F31/(1+'数据-取费表'!C42),0)</f>
        <v>#VALUE!</v>
      </c>
      <c r="D31" s="785"/>
      <c r="E31" s="786"/>
      <c r="F31" s="787">
        <f>'数据-取费表'!B41</f>
        <v>5.5000000000000007E-2</v>
      </c>
      <c r="G31" s="788" t="s">
        <v>1640</v>
      </c>
      <c r="H31" s="789"/>
      <c r="I31" s="789"/>
      <c r="J31" s="789"/>
      <c r="K31" s="790"/>
    </row>
    <row r="32" spans="1:33" s="751" customFormat="1" ht="13.5" customHeight="1" thickBot="1">
      <c r="A32" s="449" t="s">
        <v>1641</v>
      </c>
      <c r="B32" s="779"/>
      <c r="C32" s="780" t="e">
        <f ca="1">ROUND((C4-C21-C22-C23-C25-C28-C31)/(1+C24+D25+D28),0)</f>
        <v>#VALUE!</v>
      </c>
      <c r="D32" s="779"/>
      <c r="E32" s="779"/>
      <c r="F32" s="779"/>
      <c r="G32" s="781" t="s">
        <v>1642</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871</v>
      </c>
      <c r="B1" s="663"/>
      <c r="C1" s="1287"/>
      <c r="D1" s="1271" t="s">
        <v>43</v>
      </c>
      <c r="E1" s="1272" t="s">
        <v>672</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872</v>
      </c>
      <c r="B2" s="3122" t="e">
        <f ca="1">ROUND(D2/10000,4)</f>
        <v>#DIV/0!</v>
      </c>
      <c r="C2" s="1289" t="s">
        <v>873</v>
      </c>
      <c r="D2" s="1375" t="e">
        <f ca="1">C40+J29+L46</f>
        <v>#DIV/0!</v>
      </c>
      <c r="E2" s="1295" t="s">
        <v>874</v>
      </c>
      <c r="F2" s="1296"/>
      <c r="G2" s="2477"/>
      <c r="H2" s="2467"/>
      <c r="I2" s="2467"/>
      <c r="J2" s="2467"/>
      <c r="K2" s="2468"/>
      <c r="L2" s="2467"/>
      <c r="M2" s="2467"/>
    </row>
    <row r="3" spans="1:37" ht="18" customHeight="1" thickBot="1">
      <c r="A3" s="1297" t="s">
        <v>875</v>
      </c>
      <c r="B3" s="1298">
        <f ca="1">IF(ISERROR(D2/F43),0,ROUND(D2/F43,0))</f>
        <v>0</v>
      </c>
      <c r="C3" s="1289" t="s">
        <v>876</v>
      </c>
      <c r="D3" s="1289"/>
      <c r="E3" s="1295"/>
      <c r="F3" s="1296"/>
      <c r="G3" s="2477"/>
      <c r="H3" s="649" t="s">
        <v>870</v>
      </c>
      <c r="I3" s="1290"/>
      <c r="J3" s="1290"/>
      <c r="K3" s="1291"/>
      <c r="L3" s="1290"/>
      <c r="M3" s="1290"/>
    </row>
    <row r="4" spans="1:37" ht="18" customHeight="1">
      <c r="A4" s="287" t="s">
        <v>877</v>
      </c>
      <c r="B4" s="288" t="s">
        <v>878</v>
      </c>
      <c r="C4" s="288" t="s">
        <v>879</v>
      </c>
      <c r="D4" s="288" t="s">
        <v>880</v>
      </c>
      <c r="E4" s="289" t="s">
        <v>881</v>
      </c>
      <c r="F4" s="290"/>
      <c r="G4" s="1292"/>
      <c r="H4" s="287" t="s">
        <v>877</v>
      </c>
      <c r="I4" s="288" t="s">
        <v>878</v>
      </c>
      <c r="J4" s="288" t="s">
        <v>879</v>
      </c>
      <c r="K4" s="288" t="s">
        <v>880</v>
      </c>
      <c r="L4" s="289" t="s">
        <v>881</v>
      </c>
      <c r="M4" s="290"/>
    </row>
    <row r="5" spans="1:37" ht="18" customHeight="1">
      <c r="A5" s="291">
        <v>1</v>
      </c>
      <c r="B5" s="292" t="s">
        <v>882</v>
      </c>
      <c r="C5" s="1007">
        <f ca="1">C6+C10+C12</f>
        <v>0</v>
      </c>
      <c r="D5" s="1273" t="s">
        <v>883</v>
      </c>
      <c r="E5" s="1008"/>
      <c r="F5" s="1009"/>
      <c r="G5" s="1292"/>
      <c r="H5" s="291">
        <v>1</v>
      </c>
      <c r="I5" s="292" t="s">
        <v>882</v>
      </c>
      <c r="J5" s="1007">
        <f ca="1">J6+J10+J12</f>
        <v>0</v>
      </c>
      <c r="K5" s="1273" t="s">
        <v>883</v>
      </c>
      <c r="L5" s="1008"/>
      <c r="M5" s="1009"/>
    </row>
    <row r="6" spans="1:37" ht="18" customHeight="1">
      <c r="A6" s="1006" t="s">
        <v>398</v>
      </c>
      <c r="B6" s="3441" t="s">
        <v>688</v>
      </c>
      <c r="C6" s="1011">
        <f ca="1">ROUND(F6*F8*F7*(1-F9),0)</f>
        <v>0</v>
      </c>
      <c r="D6" s="147" t="s">
        <v>2096</v>
      </c>
      <c r="E6" s="294" t="s">
        <v>690</v>
      </c>
      <c r="F6" s="295">
        <f ca="1">INDIRECT("'数据-取费表'!u"&amp;$G$1)</f>
        <v>0</v>
      </c>
      <c r="G6" s="1292"/>
      <c r="H6" s="1006" t="s">
        <v>398</v>
      </c>
      <c r="I6" s="3441" t="s">
        <v>688</v>
      </c>
      <c r="J6" s="293">
        <f ca="1">ROUND(M6*M8*M7*(1-M9),0)</f>
        <v>0</v>
      </c>
      <c r="K6" s="1284" t="s">
        <v>2097</v>
      </c>
      <c r="L6" s="294" t="s">
        <v>690</v>
      </c>
      <c r="M6" s="295">
        <f ca="1">INDIRECT("'数据-取费表'!z"&amp;$G$1)</f>
        <v>0</v>
      </c>
    </row>
    <row r="7" spans="1:37" ht="18" customHeight="1">
      <c r="A7" s="1010"/>
      <c r="B7" s="3442"/>
      <c r="C7" s="1012"/>
      <c r="D7" s="299"/>
      <c r="E7" s="1013" t="s">
        <v>691</v>
      </c>
      <c r="F7" s="295">
        <f ca="1">IF(INDIRECT("'数据-取费表'!ah"&amp;$G$1)="",INDIRECT("'数据-取费表'!k"&amp;$G$1),INDIRECT("'数据-取费表'!ah"&amp;$G$1))</f>
        <v>0</v>
      </c>
      <c r="G7" s="1292"/>
      <c r="H7" s="296"/>
      <c r="I7" s="3442"/>
      <c r="J7" s="298"/>
      <c r="K7" s="299"/>
      <c r="L7" s="294" t="s">
        <v>691</v>
      </c>
      <c r="M7" s="295">
        <f ca="1">F7</f>
        <v>0</v>
      </c>
    </row>
    <row r="8" spans="1:37" ht="18" customHeight="1">
      <c r="A8" s="296"/>
      <c r="B8" s="3442"/>
      <c r="C8" s="298"/>
      <c r="D8" s="299"/>
      <c r="E8" s="294" t="s">
        <v>692</v>
      </c>
      <c r="F8" s="295">
        <f ca="1">INDIRECT("'数据-取费表'!ai"&amp;$G$1)</f>
        <v>0</v>
      </c>
      <c r="G8" s="1292"/>
      <c r="H8" s="296"/>
      <c r="I8" s="3442"/>
      <c r="J8" s="298"/>
      <c r="K8" s="299"/>
      <c r="L8" s="294" t="s">
        <v>692</v>
      </c>
      <c r="M8" s="295">
        <f ca="1">INDIRECT("'数据-取费表'!ai"&amp;$G$1)</f>
        <v>0</v>
      </c>
    </row>
    <row r="9" spans="1:37" ht="18" customHeight="1">
      <c r="A9" s="296"/>
      <c r="B9" s="3443"/>
      <c r="C9" s="298"/>
      <c r="D9" s="299"/>
      <c r="E9" s="294" t="s">
        <v>693</v>
      </c>
      <c r="F9" s="304">
        <f ca="1">INDIRECT("'数据-取费表'!w"&amp;$G$1)</f>
        <v>0</v>
      </c>
      <c r="G9" s="1292"/>
      <c r="H9" s="296"/>
      <c r="I9" s="3443"/>
      <c r="J9" s="298"/>
      <c r="K9" s="299"/>
      <c r="L9" s="305" t="s">
        <v>693</v>
      </c>
      <c r="M9" s="306">
        <f ca="1">INDIRECT("'数据-取费表'!ab"&amp;$G$1)</f>
        <v>0</v>
      </c>
    </row>
    <row r="10" spans="1:37" ht="18" customHeight="1">
      <c r="A10" s="1006" t="s">
        <v>402</v>
      </c>
      <c r="B10" s="1274" t="s">
        <v>694</v>
      </c>
      <c r="C10" s="308">
        <f ca="1">ROUND(IF(F10="押一",C6/12*F11,IF(F10="押二",C6/12*2*F11,IF(F10="押三",C6/12*3*F11,C11*F11))),0)</f>
        <v>0</v>
      </c>
      <c r="D10" s="150" t="s">
        <v>2106</v>
      </c>
      <c r="E10" s="305" t="s">
        <v>695</v>
      </c>
      <c r="F10" s="1053"/>
      <c r="G10" s="1292"/>
      <c r="H10" s="1006" t="s">
        <v>402</v>
      </c>
      <c r="I10" s="1274" t="s">
        <v>694</v>
      </c>
      <c r="J10" s="293">
        <f ca="1">ROUND(IF(M10="押一",J6/12*M11,IF(M10="押二",J6/12*2*M11,IF(M10="押三",J6/12*3*M11,J11*M11))),0)</f>
        <v>0</v>
      </c>
      <c r="K10" s="1285" t="s">
        <v>2108</v>
      </c>
      <c r="L10" s="305" t="s">
        <v>695</v>
      </c>
      <c r="M10" s="1053"/>
    </row>
    <row r="11" spans="1:37" ht="18" customHeight="1">
      <c r="A11" s="300"/>
      <c r="B11" s="1275" t="s">
        <v>884</v>
      </c>
      <c r="C11" s="905"/>
      <c r="D11" s="299"/>
      <c r="E11" s="305" t="s">
        <v>696</v>
      </c>
      <c r="F11" s="306">
        <f ca="1">'数据-取费表'!B39</f>
        <v>1.4999999999999999E-2</v>
      </c>
      <c r="G11" s="1292"/>
      <c r="H11" s="1014"/>
      <c r="I11" s="1275" t="s">
        <v>885</v>
      </c>
      <c r="J11" s="905"/>
      <c r="K11" s="646"/>
      <c r="L11" s="305" t="s">
        <v>696</v>
      </c>
      <c r="M11" s="809">
        <f ca="1">'数据-取费表'!B39</f>
        <v>1.4999999999999999E-2</v>
      </c>
    </row>
    <row r="12" spans="1:37" ht="18" customHeight="1" thickBot="1">
      <c r="A12" s="1020" t="s">
        <v>437</v>
      </c>
      <c r="B12" s="1277" t="s">
        <v>697</v>
      </c>
      <c r="C12" s="1021"/>
      <c r="D12" s="1022"/>
      <c r="E12" s="1027"/>
      <c r="F12" s="1023"/>
      <c r="G12" s="1292"/>
      <c r="H12" s="1020" t="s">
        <v>437</v>
      </c>
      <c r="I12" s="1277"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2"/>
      <c r="H13" s="1016">
        <v>2</v>
      </c>
      <c r="I13" s="1017" t="s">
        <v>698</v>
      </c>
      <c r="J13" s="1005">
        <f ca="1">ROUND(J14*J15,0)</f>
        <v>0</v>
      </c>
      <c r="K13" s="1024" t="s">
        <v>699</v>
      </c>
      <c r="L13" s="1299"/>
      <c r="M13" s="1300"/>
    </row>
    <row r="14" spans="1:37" ht="18" customHeight="1">
      <c r="A14" s="928" t="s">
        <v>397</v>
      </c>
      <c r="B14" s="294" t="s">
        <v>701</v>
      </c>
      <c r="C14" s="310">
        <f ca="1">ROUND(INDIRECT("'数据-取费表'!l"&amp;$G$1)*F43+'数据-取费表'!L14*INDIRECT("'数据-取费表'!S"&amp;$G$1),0)</f>
        <v>0</v>
      </c>
      <c r="D14" s="1257" t="s">
        <v>702</v>
      </c>
      <c r="E14" s="1255"/>
      <c r="F14" s="311"/>
      <c r="G14" s="1292"/>
      <c r="H14" s="928" t="s">
        <v>398</v>
      </c>
      <c r="I14" s="294" t="s">
        <v>703</v>
      </c>
      <c r="J14" s="21">
        <f ca="1">C29</f>
        <v>0</v>
      </c>
      <c r="K14" s="12"/>
      <c r="L14" s="759"/>
      <c r="M14" s="760"/>
    </row>
    <row r="15" spans="1:37" s="1304" customFormat="1" ht="18" customHeight="1" thickBot="1">
      <c r="A15" s="928" t="s">
        <v>399</v>
      </c>
      <c r="B15" s="294" t="s">
        <v>704</v>
      </c>
      <c r="C15" s="21">
        <f ca="1">ROUND(C14*F15,0)</f>
        <v>0</v>
      </c>
      <c r="D15" s="312" t="s">
        <v>705</v>
      </c>
      <c r="E15" s="312" t="s">
        <v>706</v>
      </c>
      <c r="F15" s="313">
        <f>'数据-取费表'!B33</f>
        <v>0.05</v>
      </c>
      <c r="G15" s="1303"/>
      <c r="H15" s="1026" t="s">
        <v>402</v>
      </c>
      <c r="I15" s="1027" t="s">
        <v>700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2"/>
      <c r="H16" s="1016" t="s">
        <v>393</v>
      </c>
      <c r="I16" s="1017" t="s">
        <v>708</v>
      </c>
      <c r="J16" s="302">
        <f ca="1">ROUND(J17+J22+J23+J24,0)</f>
        <v>0</v>
      </c>
      <c r="K16" s="1024" t="s">
        <v>709</v>
      </c>
      <c r="L16" s="1025"/>
      <c r="M16" s="1009"/>
    </row>
    <row r="17" spans="1:37" s="1304" customFormat="1" ht="18" customHeight="1">
      <c r="A17" s="928" t="s">
        <v>675</v>
      </c>
      <c r="B17" s="294" t="s">
        <v>710</v>
      </c>
      <c r="C17" s="21">
        <f ca="1">ROUND(F17*(F43+INDIRECT("'数据-取费表'!S"&amp;$G$1)),0)</f>
        <v>0</v>
      </c>
      <c r="D17" s="294" t="s">
        <v>711</v>
      </c>
      <c r="E17" s="294" t="s">
        <v>712</v>
      </c>
      <c r="F17" s="23">
        <f>'数据-取费表'!B35</f>
        <v>0</v>
      </c>
      <c r="G17" s="1303"/>
      <c r="H17" s="928" t="s">
        <v>398</v>
      </c>
      <c r="I17" s="294" t="s">
        <v>713</v>
      </c>
      <c r="J17" s="2140">
        <f ca="1">ROUND(IF(AND(项目基本情况!B11="自然人",项目基本情况!B10="北京市"),J6*M17/(1+'数据-取费表'!C42),J18+J19+J20),0)</f>
        <v>0</v>
      </c>
      <c r="K17" s="1257" t="s">
        <v>714</v>
      </c>
      <c r="L17" s="1256" t="s">
        <v>715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676</v>
      </c>
      <c r="B18" s="294" t="s">
        <v>716</v>
      </c>
      <c r="C18" s="21">
        <f ca="1">ROUND(C14*F18,0)</f>
        <v>0</v>
      </c>
      <c r="D18" s="294" t="s">
        <v>705</v>
      </c>
      <c r="E18" s="294" t="s">
        <v>706</v>
      </c>
      <c r="F18" s="314">
        <f>'数据-取费表'!B36</f>
        <v>0.03</v>
      </c>
      <c r="G18" s="1303"/>
      <c r="H18" s="928" t="s">
        <v>397</v>
      </c>
      <c r="I18" s="294" t="s">
        <v>717</v>
      </c>
      <c r="J18" s="21">
        <f ca="1">ROUND(J6*M18/(1+'数据-取费表'!C42),0)</f>
        <v>0</v>
      </c>
      <c r="K18" s="1256" t="s">
        <v>718</v>
      </c>
      <c r="L18" s="294" t="s">
        <v>706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719</v>
      </c>
      <c r="C19" s="21">
        <f ca="1">SUM(C14:C18)</f>
        <v>0</v>
      </c>
      <c r="D19" s="123" t="s">
        <v>720</v>
      </c>
      <c r="E19" s="1269"/>
      <c r="F19" s="23"/>
      <c r="G19" s="1292"/>
      <c r="H19" s="928" t="s">
        <v>399</v>
      </c>
      <c r="I19" s="294" t="s">
        <v>721</v>
      </c>
      <c r="J19" s="21">
        <f ca="1">IF(K19="按租金收入计税",ROUND(J6*M19/(1+'数据-取费表'!C42),0),ROUND(C29*M19*0.7,0))</f>
        <v>0</v>
      </c>
      <c r="K19" s="1278" t="s">
        <v>3323</v>
      </c>
      <c r="L19" s="294" t="s">
        <v>706</v>
      </c>
      <c r="M19" s="314">
        <f>IF(K19="按租金收入计税",'数据-取费表'!B51,'数据-取费表'!B50)</f>
        <v>0.12</v>
      </c>
    </row>
    <row r="20" spans="1:37" s="1304" customFormat="1" ht="18" customHeight="1">
      <c r="A20" s="928" t="s">
        <v>402</v>
      </c>
      <c r="B20" s="294" t="s">
        <v>722</v>
      </c>
      <c r="C20" s="21">
        <f ca="1">ROUND(C19*F20,0)</f>
        <v>0</v>
      </c>
      <c r="D20" s="315" t="s">
        <v>723</v>
      </c>
      <c r="E20" s="294" t="s">
        <v>706</v>
      </c>
      <c r="F20" s="314">
        <f>'数据-取费表'!B37</f>
        <v>0.03</v>
      </c>
      <c r="G20" s="1303"/>
      <c r="H20" s="928" t="s">
        <v>674</v>
      </c>
      <c r="I20" s="147" t="s">
        <v>724</v>
      </c>
      <c r="J20" s="22">
        <f ca="1">ROUND(M20*M21,0)</f>
        <v>0</v>
      </c>
      <c r="K20" s="316" t="s">
        <v>725</v>
      </c>
      <c r="L20" s="294" t="s">
        <v>726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727</v>
      </c>
      <c r="C21" s="21" t="s">
        <v>0</v>
      </c>
      <c r="D21" s="315" t="s">
        <v>728</v>
      </c>
      <c r="E21" s="294" t="s">
        <v>729</v>
      </c>
      <c r="F21" s="314">
        <f>'数据-取费表'!B38</f>
        <v>0.02</v>
      </c>
      <c r="G21" s="1303"/>
      <c r="H21" s="318"/>
      <c r="I21" s="303"/>
      <c r="J21" s="26"/>
      <c r="K21" s="319"/>
      <c r="L21" s="294" t="s">
        <v>730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9"/>
      <c r="F22" s="23"/>
      <c r="G22" s="1292"/>
      <c r="H22" s="928" t="s">
        <v>402</v>
      </c>
      <c r="I22" s="294" t="s">
        <v>732</v>
      </c>
      <c r="J22" s="21">
        <f ca="1">ROUND(J14*M22,0)</f>
        <v>0</v>
      </c>
      <c r="K22" s="1256" t="s">
        <v>733</v>
      </c>
      <c r="L22" s="294" t="s">
        <v>706</v>
      </c>
      <c r="M22" s="320">
        <f ca="1">INDIRECT("'数据-取费表'!Ak"&amp;$G$1)</f>
        <v>0</v>
      </c>
    </row>
    <row r="23" spans="1:37" s="1304"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3"/>
      <c r="H23" s="928" t="s">
        <v>437</v>
      </c>
      <c r="I23" s="294" t="s">
        <v>736</v>
      </c>
      <c r="J23" s="21">
        <f ca="1">ROUND(J13*M23,0)</f>
        <v>0</v>
      </c>
      <c r="K23" s="1256" t="s">
        <v>737</v>
      </c>
      <c r="L23" s="294" t="s">
        <v>738</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739</v>
      </c>
      <c r="B24" s="294" t="s">
        <v>740</v>
      </c>
      <c r="C24" s="21">
        <f ca="1">ROUND(IF('数据-取费表'!B22&lt;=1,F21*F24*F23/2,F21*(POWER((1+F24),F23/2)-1)),4)</f>
        <v>5.9999999999999995E-4</v>
      </c>
      <c r="D24" s="138" t="str">
        <f>IF(F23&lt;=1,"销售费用×利率×(建设周期÷2)","销售费用×((1+利率)^(建设周期÷2)-1)")</f>
        <v>销售费用×((1+利率)^(建设周期÷2)-1)</v>
      </c>
      <c r="E24" s="294" t="s">
        <v>741</v>
      </c>
      <c r="F24" s="322">
        <f ca="1">'数据-取费表'!B40</f>
        <v>3.1E-2</v>
      </c>
      <c r="G24" s="1303"/>
      <c r="H24" s="1026" t="s">
        <v>678</v>
      </c>
      <c r="I24" s="1027" t="s">
        <v>722</v>
      </c>
      <c r="J24" s="1028">
        <f ca="1">ROUND(J5*M24,0)</f>
        <v>0</v>
      </c>
      <c r="K24" s="1029" t="s">
        <v>742</v>
      </c>
      <c r="L24" s="1027" t="s">
        <v>738</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743</v>
      </c>
      <c r="B25" s="294" t="s">
        <v>744</v>
      </c>
      <c r="C25" s="21"/>
      <c r="D25" s="123" t="s">
        <v>745</v>
      </c>
      <c r="E25" s="1269"/>
      <c r="F25" s="23"/>
      <c r="G25" s="1292"/>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2"/>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2"/>
      <c r="H27" s="296"/>
      <c r="I27" s="297"/>
      <c r="J27" s="298"/>
      <c r="K27" s="323" t="s">
        <v>756</v>
      </c>
      <c r="L27" s="294" t="s">
        <v>757</v>
      </c>
      <c r="M27" s="324">
        <f ca="1">INDIRECT("'数据-取费表'!ag"&amp;$G$1)</f>
        <v>0</v>
      </c>
    </row>
    <row r="28" spans="1:37" s="1304" customFormat="1" ht="18" customHeight="1">
      <c r="A28" s="928" t="s">
        <v>400</v>
      </c>
      <c r="B28" s="294" t="s">
        <v>758</v>
      </c>
      <c r="C28" s="21">
        <f>ROUND(F28/(1+'数据-取费表'!C42),4)</f>
        <v>5.2400000000000002E-2</v>
      </c>
      <c r="D28" s="315" t="s">
        <v>759</v>
      </c>
      <c r="E28" s="294" t="s">
        <v>706</v>
      </c>
      <c r="F28" s="314">
        <f>'数据-取费表'!B41</f>
        <v>5.5000000000000007E-2</v>
      </c>
      <c r="G28" s="1303"/>
      <c r="H28" s="300"/>
      <c r="I28" s="301"/>
      <c r="J28" s="302"/>
      <c r="K28" s="319"/>
      <c r="L28" s="294" t="s">
        <v>760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761</v>
      </c>
      <c r="C29" s="1028">
        <f ca="1">ROUND((C19+C20+C23+C26)/(1-F21-C24-C27-C28),0)</f>
        <v>0</v>
      </c>
      <c r="D29" s="1029"/>
      <c r="E29" s="1027"/>
      <c r="F29" s="1030"/>
      <c r="G29" s="1303"/>
      <c r="H29" s="325" t="s">
        <v>396</v>
      </c>
      <c r="I29" s="326" t="s">
        <v>762</v>
      </c>
      <c r="J29" s="327">
        <f ca="1">ROUND(J26/(1+F40)^F41,0)</f>
        <v>0</v>
      </c>
      <c r="K29" s="328" t="s">
        <v>763</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708</v>
      </c>
      <c r="C30" s="302">
        <f ca="1">ROUND(C31+C36+C37+C38,0)</f>
        <v>0</v>
      </c>
      <c r="D30" s="1024" t="s">
        <v>709</v>
      </c>
      <c r="E30" s="1025"/>
      <c r="F30" s="1009"/>
      <c r="G30" s="1292"/>
      <c r="H30" s="2469"/>
      <c r="I30" s="1305"/>
      <c r="J30" s="1306"/>
      <c r="K30" s="121"/>
      <c r="L30" s="2470"/>
      <c r="M30" s="2471"/>
    </row>
    <row r="31" spans="1:37" ht="18" customHeight="1">
      <c r="A31" s="928" t="s">
        <v>398</v>
      </c>
      <c r="B31" s="294" t="s">
        <v>713</v>
      </c>
      <c r="C31" s="2140">
        <f ca="1">ROUND(IF(AND(项目基本情况!B11="自然人",项目基本情况!B10="北京市"),C6*F31/(1+'数据-取费表'!C42),C32+C33+C34),0)</f>
        <v>0</v>
      </c>
      <c r="D31" s="1257" t="s">
        <v>714</v>
      </c>
      <c r="E31" s="1256" t="s">
        <v>764</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717</v>
      </c>
      <c r="C32" s="21">
        <f ca="1">IF(项目基本情况!B11="自然人","——",ROUND(C6*F32/(1+'数据-取费表'!C42),0))</f>
        <v>0</v>
      </c>
      <c r="D32" s="1256" t="s">
        <v>718</v>
      </c>
      <c r="E32" s="294" t="s">
        <v>706</v>
      </c>
      <c r="F32" s="322">
        <f>'数据-取费表'!B41</f>
        <v>5.5000000000000007E-2</v>
      </c>
      <c r="G32" s="1292"/>
      <c r="H32" s="2469"/>
      <c r="I32" s="1305"/>
      <c r="J32" s="1306"/>
      <c r="K32" s="121"/>
      <c r="L32" s="2470"/>
      <c r="M32" s="2471"/>
    </row>
    <row r="33" spans="1:18" ht="18" customHeight="1">
      <c r="A33" s="928" t="s">
        <v>399</v>
      </c>
      <c r="B33" s="294" t="s">
        <v>721</v>
      </c>
      <c r="C33" s="21">
        <f ca="1">IF(项目基本情况!B11="自然人","——",IF(D33="按租金收入计税",ROUND(C6*F33/(1+'数据-取费表'!C42),0),IF(D33="按房产原值计税",ROUND(C29*F33*0.7,0),INDIRECT("'数据-取费表'!Aj"&amp;$G$1))))</f>
        <v>0</v>
      </c>
      <c r="D33" s="1278" t="s">
        <v>3323</v>
      </c>
      <c r="E33" s="294" t="s">
        <v>706</v>
      </c>
      <c r="F33" s="314">
        <f>IF(D33="按票据","——",IF(D33="按租金收入计税",'数据-取费表'!B51,'数据-取费表'!B50))</f>
        <v>0.12</v>
      </c>
      <c r="G33" s="1292"/>
      <c r="H33" s="2472"/>
      <c r="I33" s="1305"/>
      <c r="J33" s="1306"/>
      <c r="K33" s="2473"/>
      <c r="L33" s="2472"/>
      <c r="M33" s="2472"/>
    </row>
    <row r="34" spans="1:18" ht="18" customHeight="1">
      <c r="A34" s="1006" t="s">
        <v>674</v>
      </c>
      <c r="B34" s="147" t="s">
        <v>724</v>
      </c>
      <c r="C34" s="22">
        <f ca="1">IF(项目基本情况!B11="自然人","——",ROUND(F34*F35,0))</f>
        <v>0</v>
      </c>
      <c r="D34" s="316" t="s">
        <v>725</v>
      </c>
      <c r="E34" s="294" t="s">
        <v>726</v>
      </c>
      <c r="F34" s="317">
        <f>'数据-取费表'!B52</f>
        <v>1.5</v>
      </c>
      <c r="G34" s="1292"/>
      <c r="H34" s="2469"/>
      <c r="I34" s="1305"/>
      <c r="J34" s="1306"/>
      <c r="K34" s="2474"/>
      <c r="L34" s="2475"/>
      <c r="M34" s="2475"/>
    </row>
    <row r="35" spans="1:18" ht="18" customHeight="1">
      <c r="A35" s="1040"/>
      <c r="B35" s="1038"/>
      <c r="C35" s="26"/>
      <c r="D35" s="319"/>
      <c r="E35" s="294" t="s">
        <v>730</v>
      </c>
      <c r="F35" s="295">
        <f ca="1">INDIRECT("'数据-取费表'!r"&amp;$G$1)</f>
        <v>0</v>
      </c>
      <c r="G35" s="1292"/>
      <c r="H35" s="2469"/>
      <c r="I35" s="1305"/>
      <c r="J35" s="1306"/>
      <c r="K35" s="2473"/>
      <c r="L35" s="2472"/>
      <c r="M35" s="2472"/>
    </row>
    <row r="36" spans="1:18" ht="18" customHeight="1">
      <c r="A36" s="1039" t="s">
        <v>402</v>
      </c>
      <c r="B36" s="294" t="s">
        <v>732</v>
      </c>
      <c r="C36" s="21">
        <f ca="1">ROUND(C29*F36,0)</f>
        <v>0</v>
      </c>
      <c r="D36" s="1256" t="s">
        <v>765</v>
      </c>
      <c r="E36" s="294" t="s">
        <v>706</v>
      </c>
      <c r="F36" s="320">
        <f ca="1">INDIRECT("'数据-取费表'!Ak"&amp;$G$1)</f>
        <v>0</v>
      </c>
      <c r="G36" s="1292"/>
      <c r="H36" s="2472"/>
      <c r="I36" s="1305"/>
      <c r="J36" s="1306"/>
      <c r="K36" s="2330"/>
      <c r="L36" s="2472"/>
      <c r="M36" s="2472"/>
    </row>
    <row r="37" spans="1:18" ht="18" customHeight="1">
      <c r="A37" s="928" t="s">
        <v>437</v>
      </c>
      <c r="B37" s="294" t="s">
        <v>736</v>
      </c>
      <c r="C37" s="21">
        <f ca="1">ROUND(C13*F37,0)</f>
        <v>0</v>
      </c>
      <c r="D37" s="1256" t="s">
        <v>737</v>
      </c>
      <c r="E37" s="294" t="s">
        <v>738</v>
      </c>
      <c r="F37" s="321">
        <f ca="1">INDIRECT("'数据-取费表'!Al"&amp;$G$1)</f>
        <v>0</v>
      </c>
      <c r="G37" s="1292"/>
      <c r="H37" s="2472"/>
      <c r="I37" s="1305"/>
      <c r="J37" s="1306"/>
      <c r="K37" s="2330"/>
      <c r="L37" s="2472"/>
      <c r="M37" s="2472"/>
    </row>
    <row r="38" spans="1:18" ht="18" customHeight="1" thickBot="1">
      <c r="A38" s="1026" t="s">
        <v>678</v>
      </c>
      <c r="B38" s="1027" t="s">
        <v>722</v>
      </c>
      <c r="C38" s="1028">
        <f ca="1">ROUND(C5*F38,0)</f>
        <v>0</v>
      </c>
      <c r="D38" s="1029" t="s">
        <v>742</v>
      </c>
      <c r="E38" s="1027" t="s">
        <v>738</v>
      </c>
      <c r="F38" s="1023">
        <f ca="1">INDIRECT("'数据-取费表'!Am"&amp;$G$1)</f>
        <v>0</v>
      </c>
      <c r="G38" s="1292"/>
      <c r="H38" s="2472"/>
      <c r="I38" s="1305"/>
      <c r="J38" s="1306"/>
      <c r="K38" s="2470"/>
      <c r="L38" s="2472"/>
      <c r="M38" s="2472"/>
    </row>
    <row r="39" spans="1:18" ht="24.6" customHeight="1" thickTop="1">
      <c r="A39" s="1016" t="s">
        <v>394</v>
      </c>
      <c r="B39" s="1031" t="s">
        <v>766</v>
      </c>
      <c r="C39" s="302">
        <f ca="1">C5-C30</f>
        <v>0</v>
      </c>
      <c r="D39" s="1032" t="s">
        <v>767</v>
      </c>
      <c r="E39" s="1033"/>
      <c r="F39" s="1034"/>
      <c r="G39" s="1292"/>
      <c r="H39" s="2472"/>
      <c r="I39" s="1305"/>
      <c r="J39" s="1306"/>
      <c r="K39" s="2470"/>
      <c r="L39" s="2472"/>
      <c r="M39" s="2472"/>
    </row>
    <row r="40" spans="1:18" ht="18" customHeight="1">
      <c r="A40" s="291" t="s">
        <v>395</v>
      </c>
      <c r="B40" s="292" t="s">
        <v>768</v>
      </c>
      <c r="C40" s="293" t="e">
        <f ca="1">ROUND(C39*(1-((1+F42)/(1+F40))^F41)/(F40-F42),0)</f>
        <v>#DIV/0!</v>
      </c>
      <c r="D40" s="316" t="s">
        <v>752</v>
      </c>
      <c r="E40" s="294" t="s">
        <v>753</v>
      </c>
      <c r="F40" s="304">
        <f ca="1">INDIRECT("'数据-取费表'!I"&amp;$G$1)</f>
        <v>0</v>
      </c>
      <c r="G40" s="1292"/>
      <c r="H40" s="1366"/>
      <c r="I40" s="1305"/>
      <c r="J40" s="1306"/>
      <c r="K40" s="2470"/>
      <c r="L40" s="1366"/>
      <c r="M40" s="1366"/>
    </row>
    <row r="41" spans="1:18" ht="18" customHeight="1">
      <c r="A41" s="296"/>
      <c r="B41" s="297"/>
      <c r="C41" s="298"/>
      <c r="D41" s="323" t="s">
        <v>769</v>
      </c>
      <c r="E41" s="294" t="s">
        <v>757</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760</v>
      </c>
      <c r="F42" s="304">
        <f ca="1">INDIRECT("'数据-取费表'!v"&amp;$G$1)</f>
        <v>0</v>
      </c>
      <c r="G42" s="1292"/>
      <c r="H42" s="121"/>
      <c r="I42" s="1305"/>
      <c r="J42" s="1306"/>
      <c r="K42" s="2330"/>
      <c r="L42" s="121"/>
      <c r="M42" s="121"/>
    </row>
    <row r="43" spans="1:18" ht="18" customHeight="1" thickBot="1">
      <c r="A43" s="325" t="s">
        <v>396</v>
      </c>
      <c r="B43" s="326" t="s">
        <v>770</v>
      </c>
      <c r="C43" s="327" t="e">
        <f ca="1">ROUND(C40/F43,0)</f>
        <v>#DIV/0!</v>
      </c>
      <c r="D43" s="328" t="s">
        <v>771</v>
      </c>
      <c r="E43" s="329" t="s">
        <v>772</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3339</v>
      </c>
      <c r="B45" s="1307"/>
      <c r="C45" s="1376" t="e">
        <f ca="1">ROUND((C68-C40)/10000,4)</f>
        <v>#DIV/0!</v>
      </c>
      <c r="D45" s="3129" t="s">
        <v>3340</v>
      </c>
      <c r="E45" s="1307"/>
      <c r="F45" s="1307"/>
      <c r="O45" s="1310" t="s">
        <v>802</v>
      </c>
      <c r="P45" s="1366"/>
      <c r="Q45" s="1366"/>
      <c r="R45" s="1366"/>
    </row>
    <row r="46" spans="1:18" s="1292" customFormat="1" ht="13.5" thickBot="1">
      <c r="A46" s="1311" t="s">
        <v>803</v>
      </c>
      <c r="C46" s="1312" t="e">
        <f ca="1">ROUND(C45,0)</f>
        <v>#DIV/0!</v>
      </c>
      <c r="D46" s="1313" t="str">
        <f>C2</f>
        <v>万元</v>
      </c>
      <c r="I46" s="1314" t="s">
        <v>804</v>
      </c>
      <c r="J46" s="1315"/>
      <c r="K46" s="1316"/>
      <c r="L46" s="1317" t="e">
        <f ca="1">IF(M47="住宅",0,IF(L48&gt;J51,L60,J60))</f>
        <v>#DIV/0!</v>
      </c>
      <c r="O46" s="1318" t="s">
        <v>805</v>
      </c>
      <c r="P46" s="1319" t="s">
        <v>806</v>
      </c>
      <c r="Q46" s="1320" t="s">
        <v>807</v>
      </c>
      <c r="R46" s="1320" t="s">
        <v>808</v>
      </c>
    </row>
    <row r="47" spans="1:18" s="1292" customFormat="1" ht="13.5" thickBot="1">
      <c r="A47" s="892" t="s">
        <v>681</v>
      </c>
      <c r="B47" s="924" t="s">
        <v>682</v>
      </c>
      <c r="C47" s="924" t="s">
        <v>683</v>
      </c>
      <c r="D47" s="924" t="s">
        <v>684</v>
      </c>
      <c r="E47" s="995" t="s">
        <v>685</v>
      </c>
      <c r="F47" s="996"/>
      <c r="G47" s="681"/>
      <c r="I47" s="1321" t="s">
        <v>809</v>
      </c>
      <c r="J47" s="1322"/>
      <c r="K47" s="1323" t="s">
        <v>810</v>
      </c>
      <c r="L47" s="1324">
        <f ca="1">INDIRECT("'数据-取费表'!d"&amp;$G$1)</f>
        <v>0</v>
      </c>
      <c r="M47" s="1288" t="str">
        <f>IF(ISNUMBER(FIND("住宅",C1)),"住宅","非住宅")</f>
        <v>非住宅</v>
      </c>
      <c r="O47" s="1325" t="s">
        <v>403</v>
      </c>
      <c r="P47" s="1326" t="s">
        <v>811</v>
      </c>
      <c r="Q47" s="1327" t="e">
        <f ca="1">C40+J29</f>
        <v>#DIV/0!</v>
      </c>
      <c r="R47" s="1327" t="s">
        <v>812</v>
      </c>
    </row>
    <row r="48" spans="1:18" s="1292" customFormat="1" ht="28.5" thickBot="1">
      <c r="A48" s="1047" t="s">
        <v>438</v>
      </c>
      <c r="B48" s="292" t="s">
        <v>686</v>
      </c>
      <c r="C48" s="1268">
        <f ca="1">C49+C53+C55</f>
        <v>0</v>
      </c>
      <c r="D48" s="1049"/>
      <c r="E48" s="1050"/>
      <c r="F48" s="908"/>
      <c r="G48" s="681"/>
      <c r="H48" s="682"/>
      <c r="I48" s="1328" t="s">
        <v>813</v>
      </c>
      <c r="J48" s="1329"/>
      <c r="K48" s="1330" t="s">
        <v>814</v>
      </c>
      <c r="L48" s="1331">
        <f ca="1">INDIRECT("'数据-取费表'!f"&amp;$G$1)</f>
        <v>0</v>
      </c>
      <c r="O48" s="1325" t="s">
        <v>404</v>
      </c>
      <c r="P48" s="1326" t="s">
        <v>815</v>
      </c>
      <c r="Q48" s="1327" t="e">
        <f ca="1">J60</f>
        <v>#DIV/0!</v>
      </c>
      <c r="R48" s="1327" t="s">
        <v>816</v>
      </c>
    </row>
    <row r="49" spans="1:18" s="1292" customFormat="1" ht="13.5" thickBot="1">
      <c r="A49" s="921" t="s">
        <v>439</v>
      </c>
      <c r="B49" s="1279" t="s">
        <v>773</v>
      </c>
      <c r="C49" s="1051">
        <f ca="1">ROUND(F49*F51*F50*(1-F52),0)</f>
        <v>0</v>
      </c>
      <c r="D49" s="992" t="s">
        <v>689</v>
      </c>
      <c r="E49" s="1280" t="s">
        <v>774</v>
      </c>
      <c r="F49" s="997"/>
      <c r="H49" s="682"/>
      <c r="I49" s="1328" t="s">
        <v>817</v>
      </c>
      <c r="J49" s="1332"/>
      <c r="K49" s="1330" t="s">
        <v>818</v>
      </c>
      <c r="L49" s="1333"/>
      <c r="O49" s="1334" t="s">
        <v>405</v>
      </c>
      <c r="P49" s="1326" t="s">
        <v>819</v>
      </c>
      <c r="Q49" s="1327">
        <f ca="1">C29</f>
        <v>0</v>
      </c>
      <c r="R49" s="1327" t="s">
        <v>812</v>
      </c>
    </row>
    <row r="50" spans="1:18" s="1292" customFormat="1" ht="13.5" thickBot="1">
      <c r="A50" s="922"/>
      <c r="B50" s="925"/>
      <c r="C50" s="926"/>
      <c r="D50" s="899"/>
      <c r="E50" s="993" t="s">
        <v>691</v>
      </c>
      <c r="F50" s="994">
        <f ca="1">F7</f>
        <v>0</v>
      </c>
      <c r="H50" s="682"/>
      <c r="I50" s="1328" t="s">
        <v>820</v>
      </c>
      <c r="J50" s="1335">
        <f>SUMPRODUCT((I63:I65=J47)*(J62:L62=J48)*(J63:L65))</f>
        <v>0</v>
      </c>
      <c r="K50" s="1330" t="s">
        <v>821</v>
      </c>
      <c r="L50" s="1333"/>
      <c r="M50" s="1336"/>
      <c r="O50" s="1334" t="s">
        <v>406</v>
      </c>
      <c r="P50" s="1326" t="s">
        <v>822</v>
      </c>
      <c r="Q50" s="1337" t="e">
        <f ca="1">J58</f>
        <v>#DIV/0!</v>
      </c>
      <c r="R50" s="1327"/>
    </row>
    <row r="51" spans="1:18" s="1292" customFormat="1" ht="13.5" thickBot="1">
      <c r="A51" s="923"/>
      <c r="B51" s="925"/>
      <c r="C51" s="926"/>
      <c r="D51" s="899"/>
      <c r="E51" s="927" t="s">
        <v>692</v>
      </c>
      <c r="F51" s="295">
        <f ca="1">F8</f>
        <v>0</v>
      </c>
      <c r="I51" s="1338" t="s">
        <v>823</v>
      </c>
      <c r="J51" s="1331">
        <f>IF(J49="",J50,J49+J50-YEAR('数据-取费表'!B2))</f>
        <v>0</v>
      </c>
      <c r="K51" s="1339" t="s">
        <v>824</v>
      </c>
      <c r="L51" s="1340">
        <f ca="1">ROUND(-PV(INDIRECT("'数据-取费表'!h"&amp;$G$1),J51,(C39-C13*C76),0),0)</f>
        <v>0</v>
      </c>
      <c r="M51" s="1341"/>
      <c r="O51" s="1334" t="s">
        <v>407</v>
      </c>
      <c r="P51" s="1326" t="s">
        <v>825</v>
      </c>
      <c r="Q51" s="1337">
        <f>J52</f>
        <v>0</v>
      </c>
      <c r="R51" s="1327"/>
    </row>
    <row r="52" spans="1:18" s="1292" customFormat="1" ht="13.5" thickBot="1">
      <c r="A52" s="923"/>
      <c r="B52" s="925"/>
      <c r="C52" s="926"/>
      <c r="D52" s="899"/>
      <c r="E52" s="927" t="s">
        <v>693</v>
      </c>
      <c r="F52" s="991"/>
      <c r="I52" s="1342" t="s">
        <v>826</v>
      </c>
      <c r="J52" s="1343"/>
      <c r="K52" s="1342" t="s">
        <v>827</v>
      </c>
      <c r="L52" s="1343"/>
      <c r="O52" s="1334" t="s">
        <v>408</v>
      </c>
      <c r="P52" s="1326" t="s">
        <v>828</v>
      </c>
      <c r="Q52" s="1327">
        <f ca="1">J53</f>
        <v>0</v>
      </c>
      <c r="R52" s="1327" t="s">
        <v>829</v>
      </c>
    </row>
    <row r="53" spans="1:18" s="1292" customFormat="1" ht="30.75" customHeight="1" thickBot="1">
      <c r="A53" s="1048" t="s">
        <v>440</v>
      </c>
      <c r="B53" s="315" t="s">
        <v>694</v>
      </c>
      <c r="C53" s="308">
        <f ca="1">ROUND(IF(F53="押一",C49/12*F11,IF(F53="押二",C49/12*2*F11,IF(F53="押三",C49/12*3*F11,C54*F11))),0)</f>
        <v>0</v>
      </c>
      <c r="D53" s="150" t="s">
        <v>2109</v>
      </c>
      <c r="E53" s="305" t="s">
        <v>695</v>
      </c>
      <c r="F53" s="1053"/>
      <c r="I53" s="1344" t="s">
        <v>830</v>
      </c>
      <c r="J53" s="2006">
        <f ca="1">IF(M47="住宅",IF(D1="——",MAX(J51,L48),MAX(J51,L48-'数据-取费表'!B24)),IF(D1="——",MIN(J51,L48),MIN(J51,L48-'数据-取费表'!B24)))</f>
        <v>0</v>
      </c>
      <c r="K53" s="3444" t="s">
        <v>831</v>
      </c>
      <c r="L53" s="3445"/>
      <c r="O53" s="1325" t="s">
        <v>409</v>
      </c>
      <c r="P53" s="1326" t="s">
        <v>832</v>
      </c>
      <c r="Q53" s="1327" t="e">
        <f ca="1">Q47+Q48</f>
        <v>#DIV/0!</v>
      </c>
      <c r="R53" s="1327" t="s">
        <v>410</v>
      </c>
    </row>
    <row r="54" spans="1:18" s="1292" customFormat="1" ht="13.5" thickBot="1">
      <c r="A54" s="921"/>
      <c r="B54" s="1377" t="s">
        <v>885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833</v>
      </c>
      <c r="P54" s="1289"/>
      <c r="Q54" s="1289"/>
      <c r="R54" s="1289"/>
    </row>
    <row r="55" spans="1:18" s="1292" customFormat="1" ht="13.5" thickBot="1">
      <c r="A55" s="1020" t="s">
        <v>437</v>
      </c>
      <c r="B55" s="1277" t="s">
        <v>697</v>
      </c>
      <c r="C55" s="1021"/>
      <c r="D55" s="150"/>
      <c r="E55" s="1282"/>
      <c r="F55" s="1345"/>
      <c r="I55" s="1348" t="s">
        <v>834</v>
      </c>
      <c r="J55" s="1349" t="e">
        <f ca="1">ROUND(IF(J47="钢混",J57/J50,1-(1-2%)*(J50-J57)/J50),3)</f>
        <v>#DIV/0!</v>
      </c>
      <c r="K55" s="1350" t="s">
        <v>835</v>
      </c>
      <c r="L55" s="1351"/>
      <c r="O55" s="1318" t="s">
        <v>805</v>
      </c>
      <c r="P55" s="1319" t="s">
        <v>806</v>
      </c>
      <c r="Q55" s="1320" t="s">
        <v>807</v>
      </c>
      <c r="R55" s="1320" t="s">
        <v>808</v>
      </c>
    </row>
    <row r="56" spans="1:18" s="1292" customFormat="1" ht="36" customHeight="1" thickTop="1" thickBot="1">
      <c r="A56" s="903">
        <v>2</v>
      </c>
      <c r="B56" s="904" t="s">
        <v>698</v>
      </c>
      <c r="C56" s="224">
        <f ca="1">C13</f>
        <v>0</v>
      </c>
      <c r="D56" s="1352"/>
      <c r="E56" s="1353"/>
      <c r="F56" s="1345"/>
      <c r="I56" s="1354" t="s">
        <v>836</v>
      </c>
      <c r="J56" s="1355"/>
      <c r="K56" s="1328" t="s">
        <v>837</v>
      </c>
      <c r="L56" s="1331">
        <f ca="1">IF(L48&lt;J51,"——",L48-J51)</f>
        <v>0</v>
      </c>
      <c r="O56" s="1325" t="s">
        <v>403</v>
      </c>
      <c r="P56" s="1326" t="s">
        <v>811</v>
      </c>
      <c r="Q56" s="1327" t="e">
        <f ca="1">C40+J29</f>
        <v>#DIV/0!</v>
      </c>
      <c r="R56" s="1327" t="s">
        <v>812</v>
      </c>
    </row>
    <row r="57" spans="1:18" s="1292" customFormat="1" ht="24.75" thickBot="1">
      <c r="A57" s="1356"/>
      <c r="B57" s="896" t="s">
        <v>761</v>
      </c>
      <c r="C57" s="230">
        <f ca="1">C29</f>
        <v>0</v>
      </c>
      <c r="D57" s="1357"/>
      <c r="E57" s="1358"/>
      <c r="F57" s="1359"/>
      <c r="I57" s="1360" t="s">
        <v>838</v>
      </c>
      <c r="J57" s="1361">
        <f ca="1">IF(OR(M47="住宅",J51&lt;L48,J56="是"),"——",J51-L48)</f>
        <v>0</v>
      </c>
      <c r="K57" s="1328" t="s">
        <v>886</v>
      </c>
      <c r="L57" s="1331">
        <f ca="1">IF(L48&lt;J51,"——",IF(L55="比较法",L49,IF(L55="基准地价",L50,L51)))</f>
        <v>0</v>
      </c>
      <c r="O57" s="1325" t="s">
        <v>404</v>
      </c>
      <c r="P57" s="1326" t="s">
        <v>887</v>
      </c>
      <c r="Q57" s="1327" t="e">
        <f ca="1">L60</f>
        <v>#DIV/0!</v>
      </c>
      <c r="R57" s="1327" t="s">
        <v>888</v>
      </c>
    </row>
    <row r="58" spans="1:18" s="1292" customFormat="1" ht="24.75" thickBot="1">
      <c r="A58" s="307" t="s">
        <v>393</v>
      </c>
      <c r="B58" s="904" t="s">
        <v>708</v>
      </c>
      <c r="C58" s="308">
        <f ca="1">ROUND(C59+C64+C65+C66,0)</f>
        <v>0</v>
      </c>
      <c r="D58" s="906" t="s">
        <v>709</v>
      </c>
      <c r="E58" s="907"/>
      <c r="F58" s="908"/>
      <c r="I58" s="1360" t="s">
        <v>842</v>
      </c>
      <c r="J58" s="1362" t="e">
        <f ca="1">IF(J55&lt;0.4,0.4,J55)</f>
        <v>#DIV/0!</v>
      </c>
      <c r="K58" s="1339" t="s">
        <v>889</v>
      </c>
      <c r="L58" s="1331" t="e">
        <f ca="1">ROUND(POWER(1+L52,L47-L48)*(POWER(1+L52,L48)-1)/(POWER(1+L52,L47)-1),4)</f>
        <v>#DIV/0!</v>
      </c>
      <c r="O58" s="1334" t="s">
        <v>405</v>
      </c>
      <c r="P58" s="1326" t="s">
        <v>844</v>
      </c>
      <c r="Q58" s="1327">
        <f>IF(L55="比较法",L49,IF(L55="基准地价",L50,0))</f>
        <v>0</v>
      </c>
      <c r="R58" s="1327" t="s">
        <v>812</v>
      </c>
    </row>
    <row r="59" spans="1:18" s="1292" customFormat="1" ht="24.75" thickBot="1">
      <c r="A59" s="928" t="s">
        <v>398</v>
      </c>
      <c r="B59" s="896" t="s">
        <v>713</v>
      </c>
      <c r="C59" s="2140">
        <f ca="1">ROUND(IF(AND(项目基本情况!B11="自然人",项目基本情况!B10="北京市"),C49*F59/(1+'数据-取费表'!C42),C60+C61+C62),0)</f>
        <v>0</v>
      </c>
      <c r="D59" s="909" t="s">
        <v>714</v>
      </c>
      <c r="E59" s="910" t="s">
        <v>715</v>
      </c>
      <c r="F59" s="2139" t="str">
        <f>IF(项目基本情况!B11="企业","——",IF('数据-取费表'!B10="住宅",IF(F49*F50*F51/12/(1+'数据-取费表'!F30)&gt;100000,4%,2.5%),IF(F49*F50*F51/12/(1+'数据-取费表'!F30)&gt;100000,12%,7%)))</f>
        <v>——</v>
      </c>
      <c r="I59" s="1360" t="s">
        <v>845</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846</v>
      </c>
      <c r="Q59" s="1337">
        <f>L52</f>
        <v>0</v>
      </c>
      <c r="R59" s="1327"/>
    </row>
    <row r="60" spans="1:18" s="1292" customFormat="1" ht="16.5" thickBot="1">
      <c r="A60" s="928" t="s">
        <v>397</v>
      </c>
      <c r="B60" s="896" t="s">
        <v>717</v>
      </c>
      <c r="C60" s="21">
        <f ca="1">IF(项目基本情况!B11="自然人","——",ROUND(C48*F60/(1+'数据-取费表'!C42),0))</f>
        <v>0</v>
      </c>
      <c r="D60" s="910" t="s">
        <v>718</v>
      </c>
      <c r="E60" s="896" t="s">
        <v>706</v>
      </c>
      <c r="F60" s="322">
        <f t="shared" ref="F60:F66" si="0">F32</f>
        <v>5.5000000000000007E-2</v>
      </c>
      <c r="I60" s="1363" t="s">
        <v>847</v>
      </c>
      <c r="J60" s="1364" t="e">
        <f ca="1">IF(OR(M47="住宅",J51&lt;L48,J56="是"),"0",ROUND(J59/(1+J52)^J53,0))</f>
        <v>#DIV/0!</v>
      </c>
      <c r="K60" s="1365" t="s">
        <v>848</v>
      </c>
      <c r="L60" s="1364" t="e">
        <f ca="1">IF(OR(M47="住宅",L48&lt;J51),0,ROUND(L57*(L58/L59-1),0))</f>
        <v>#DIV/0!</v>
      </c>
      <c r="O60" s="1334" t="s">
        <v>407</v>
      </c>
      <c r="P60" s="1326" t="s">
        <v>849</v>
      </c>
      <c r="Q60" s="1327" t="e">
        <f ca="1">L58</f>
        <v>#DIV/0!</v>
      </c>
      <c r="R60" s="1327" t="s">
        <v>850</v>
      </c>
    </row>
    <row r="61" spans="1:18" s="1292" customFormat="1" ht="13.5" thickBot="1">
      <c r="A61" s="928" t="s">
        <v>775</v>
      </c>
      <c r="B61" s="896" t="s">
        <v>776</v>
      </c>
      <c r="C61" s="21">
        <f ca="1">IF(项目基本情况!B11="自然人","——",IF(D61="按租金收入计税",ROUND(C49*F61/(1+'数据-取费表'!C42),0),IF(D61="按房产原值计税",ROUND(C57*F61*0.7,0),INDIRECT("'数据-取费表'!Aj"&amp;$G$1))))</f>
        <v>0</v>
      </c>
      <c r="D61" s="1278" t="s">
        <v>3323</v>
      </c>
      <c r="E61" s="896" t="s">
        <v>777</v>
      </c>
      <c r="F61" s="314">
        <f t="shared" si="0"/>
        <v>0.12</v>
      </c>
      <c r="I61" s="1366"/>
      <c r="J61" s="1366"/>
      <c r="K61" s="1366"/>
      <c r="L61" s="1366"/>
      <c r="O61" s="1334" t="s">
        <v>408</v>
      </c>
      <c r="P61" s="1326" t="str">
        <f>K59</f>
        <v>建筑物剩余耐用年限下的土地年期修正系数Kn</v>
      </c>
      <c r="Q61" s="1327" t="e">
        <f ca="1">L59</f>
        <v>#DIV/0!</v>
      </c>
      <c r="R61" s="1327" t="s">
        <v>851</v>
      </c>
    </row>
    <row r="62" spans="1:18" s="1292" customFormat="1" ht="13.5" thickBot="1">
      <c r="A62" s="928" t="s">
        <v>778</v>
      </c>
      <c r="B62" s="895" t="s">
        <v>779</v>
      </c>
      <c r="C62" s="22">
        <f ca="1">IF(项目基本情况!B11="自然人","——",ROUND(F62*F63,0))</f>
        <v>0</v>
      </c>
      <c r="D62" s="911" t="s">
        <v>780</v>
      </c>
      <c r="E62" s="896" t="s">
        <v>781</v>
      </c>
      <c r="F62" s="317">
        <f t="shared" si="0"/>
        <v>1.5</v>
      </c>
      <c r="I62" s="1367" t="s">
        <v>852</v>
      </c>
      <c r="J62" s="610" t="s">
        <v>853</v>
      </c>
      <c r="K62" s="610" t="s">
        <v>854</v>
      </c>
      <c r="L62" s="610" t="s">
        <v>855</v>
      </c>
      <c r="M62" s="1368" t="s">
        <v>856</v>
      </c>
      <c r="O62" s="1325" t="s">
        <v>409</v>
      </c>
      <c r="P62" s="1326" t="s">
        <v>857</v>
      </c>
      <c r="Q62" s="1327" t="e">
        <f ca="1">Q56+Q57</f>
        <v>#DIV/0!</v>
      </c>
      <c r="R62" s="1327" t="s">
        <v>410</v>
      </c>
    </row>
    <row r="63" spans="1:18" s="1292" customFormat="1" ht="13.5" thickBot="1">
      <c r="A63" s="318"/>
      <c r="B63" s="902"/>
      <c r="C63" s="26"/>
      <c r="D63" s="912"/>
      <c r="E63" s="896" t="s">
        <v>782</v>
      </c>
      <c r="F63" s="295">
        <f t="shared" ca="1" si="0"/>
        <v>0</v>
      </c>
      <c r="I63" s="1367" t="s">
        <v>858</v>
      </c>
      <c r="J63" s="610">
        <v>70</v>
      </c>
      <c r="K63" s="610">
        <v>50</v>
      </c>
      <c r="L63" s="610">
        <v>80</v>
      </c>
      <c r="M63" s="1369">
        <v>0.02</v>
      </c>
      <c r="O63" s="1310" t="s">
        <v>859</v>
      </c>
      <c r="P63" s="1289"/>
      <c r="Q63" s="1289"/>
      <c r="R63" s="1289"/>
    </row>
    <row r="64" spans="1:18" s="1292" customFormat="1" ht="13.5" thickBot="1">
      <c r="A64" s="928" t="s">
        <v>783</v>
      </c>
      <c r="B64" s="896" t="s">
        <v>784</v>
      </c>
      <c r="C64" s="21">
        <f ca="1">ROUND(C57*F64,0)</f>
        <v>0</v>
      </c>
      <c r="D64" s="910" t="s">
        <v>785</v>
      </c>
      <c r="E64" s="896" t="s">
        <v>777</v>
      </c>
      <c r="F64" s="320">
        <f t="shared" ca="1" si="0"/>
        <v>0</v>
      </c>
      <c r="I64" s="1367" t="s">
        <v>860</v>
      </c>
      <c r="J64" s="610">
        <v>50</v>
      </c>
      <c r="K64" s="610">
        <v>35</v>
      </c>
      <c r="L64" s="610">
        <v>60</v>
      </c>
      <c r="M64" s="1368">
        <v>0</v>
      </c>
      <c r="O64" s="1318" t="s">
        <v>805</v>
      </c>
      <c r="P64" s="1319" t="s">
        <v>806</v>
      </c>
      <c r="Q64" s="1320" t="s">
        <v>807</v>
      </c>
      <c r="R64" s="1320" t="s">
        <v>808</v>
      </c>
    </row>
    <row r="65" spans="1:18" s="1292" customFormat="1" ht="13.5" thickBot="1">
      <c r="A65" s="928" t="s">
        <v>786</v>
      </c>
      <c r="B65" s="896" t="s">
        <v>736</v>
      </c>
      <c r="C65" s="21">
        <f ca="1">ROUND(C56*F65,0)</f>
        <v>0</v>
      </c>
      <c r="D65" s="910" t="s">
        <v>737</v>
      </c>
      <c r="E65" s="896" t="s">
        <v>738</v>
      </c>
      <c r="F65" s="321">
        <f t="shared" ca="1" si="0"/>
        <v>0</v>
      </c>
      <c r="I65" s="1367" t="s">
        <v>861</v>
      </c>
      <c r="J65" s="610">
        <v>40</v>
      </c>
      <c r="K65" s="610">
        <v>30</v>
      </c>
      <c r="L65" s="610">
        <v>50</v>
      </c>
      <c r="M65" s="1369">
        <v>0.02</v>
      </c>
      <c r="O65" s="1325" t="s">
        <v>403</v>
      </c>
      <c r="P65" s="1326" t="s">
        <v>862</v>
      </c>
      <c r="Q65" s="1327" t="e">
        <f ca="1">C40+J29</f>
        <v>#DIV/0!</v>
      </c>
      <c r="R65" s="1327" t="s">
        <v>812</v>
      </c>
    </row>
    <row r="66" spans="1:18" s="1292" customFormat="1" ht="16.5" thickBot="1">
      <c r="A66" s="928" t="s">
        <v>787</v>
      </c>
      <c r="B66" s="896" t="s">
        <v>722</v>
      </c>
      <c r="C66" s="21">
        <f ca="1">ROUND(C48*F66,0)</f>
        <v>0</v>
      </c>
      <c r="D66" s="910" t="s">
        <v>788</v>
      </c>
      <c r="E66" s="896" t="s">
        <v>706</v>
      </c>
      <c r="F66" s="304">
        <f t="shared" ca="1" si="0"/>
        <v>0</v>
      </c>
      <c r="O66" s="1325" t="s">
        <v>404</v>
      </c>
      <c r="P66" s="1326" t="s">
        <v>840</v>
      </c>
      <c r="Q66" s="1327" t="e">
        <f ca="1">L60</f>
        <v>#DIV/0!</v>
      </c>
      <c r="R66" s="1327" t="s">
        <v>863</v>
      </c>
    </row>
    <row r="67" spans="1:18" s="1292" customFormat="1" ht="16.5" thickBot="1">
      <c r="A67" s="903" t="s">
        <v>394</v>
      </c>
      <c r="B67" s="913" t="s">
        <v>746</v>
      </c>
      <c r="C67" s="308">
        <f ca="1">C48-C58</f>
        <v>0</v>
      </c>
      <c r="D67" s="909" t="s">
        <v>747</v>
      </c>
      <c r="E67" s="914"/>
      <c r="F67" s="915"/>
      <c r="O67" s="1334" t="s">
        <v>405</v>
      </c>
      <c r="P67" s="1326" t="s">
        <v>844</v>
      </c>
      <c r="Q67" s="1370">
        <f ca="1">L51</f>
        <v>0</v>
      </c>
      <c r="R67" s="1327" t="s">
        <v>864</v>
      </c>
    </row>
    <row r="68" spans="1:18" s="1292" customFormat="1" ht="16.5" thickBot="1">
      <c r="A68" s="893" t="s">
        <v>395</v>
      </c>
      <c r="B68" s="894" t="s">
        <v>768</v>
      </c>
      <c r="C68" s="293" t="e">
        <f ca="1">ROUND(C67*(1-((1+F70)/(1+F68))^F69)/(F68-F70),0)</f>
        <v>#DIV/0!</v>
      </c>
      <c r="D68" s="911" t="s">
        <v>752</v>
      </c>
      <c r="E68" s="896" t="s">
        <v>753</v>
      </c>
      <c r="F68" s="304">
        <f ca="1">F40</f>
        <v>0</v>
      </c>
      <c r="O68" s="1334" t="s">
        <v>406</v>
      </c>
      <c r="P68" s="1371" t="s">
        <v>865</v>
      </c>
      <c r="Q68" s="1327">
        <f ca="1">ROUND(Q69-Q70*Q71,0)</f>
        <v>0</v>
      </c>
      <c r="R68" s="1327" t="s">
        <v>414</v>
      </c>
    </row>
    <row r="69" spans="1:18" s="1292" customFormat="1" ht="13.5" thickBot="1">
      <c r="A69" s="897"/>
      <c r="B69" s="898"/>
      <c r="C69" s="298"/>
      <c r="D69" s="916" t="s">
        <v>756</v>
      </c>
      <c r="E69" s="896" t="s">
        <v>757</v>
      </c>
      <c r="F69" s="324">
        <f ca="1">F41</f>
        <v>0</v>
      </c>
      <c r="O69" s="1334" t="s">
        <v>411</v>
      </c>
      <c r="P69" s="1371" t="s">
        <v>866</v>
      </c>
      <c r="Q69" s="1327">
        <f ca="1">C39</f>
        <v>0</v>
      </c>
      <c r="R69" s="1327" t="s">
        <v>812</v>
      </c>
    </row>
    <row r="70" spans="1:18" s="1292" customFormat="1" ht="13.5" thickBot="1">
      <c r="A70" s="900"/>
      <c r="B70" s="901"/>
      <c r="C70" s="302"/>
      <c r="D70" s="912"/>
      <c r="E70" s="896" t="s">
        <v>760</v>
      </c>
      <c r="F70" s="991"/>
      <c r="O70" s="1334" t="s">
        <v>412</v>
      </c>
      <c r="P70" s="1371" t="s">
        <v>867</v>
      </c>
      <c r="Q70" s="1327">
        <f ca="1">C13</f>
        <v>0</v>
      </c>
      <c r="R70" s="1327" t="s">
        <v>812</v>
      </c>
    </row>
    <row r="71" spans="1:18" s="1292" customFormat="1" ht="13.5" thickBot="1">
      <c r="A71" s="917" t="s">
        <v>396</v>
      </c>
      <c r="B71" s="918" t="s">
        <v>770</v>
      </c>
      <c r="C71" s="327" t="e">
        <f ca="1">ROUND(C68/F71,0)</f>
        <v>#DIV/0!</v>
      </c>
      <c r="D71" s="919" t="s">
        <v>771</v>
      </c>
      <c r="E71" s="920" t="s">
        <v>772</v>
      </c>
      <c r="F71" s="330">
        <f ca="1">F43</f>
        <v>0</v>
      </c>
      <c r="O71" s="1334" t="s">
        <v>413</v>
      </c>
      <c r="P71" s="1371" t="s">
        <v>868</v>
      </c>
      <c r="Q71" s="1337">
        <f ca="1">C76</f>
        <v>0</v>
      </c>
      <c r="R71" s="1327"/>
    </row>
    <row r="72" spans="1:18" s="1292" customFormat="1" ht="13.5" thickBot="1">
      <c r="B72" s="685"/>
      <c r="C72" s="685"/>
      <c r="O72" s="1334" t="s">
        <v>407</v>
      </c>
      <c r="P72" s="1326" t="s">
        <v>846</v>
      </c>
      <c r="Q72" s="1337">
        <f>L52</f>
        <v>0</v>
      </c>
      <c r="R72" s="1327"/>
    </row>
    <row r="73" spans="1:18" ht="16.5" thickBot="1">
      <c r="A73" s="1292"/>
      <c r="B73" s="685"/>
      <c r="C73" s="685"/>
      <c r="D73" s="1292"/>
      <c r="E73" s="1292"/>
      <c r="F73" s="1292"/>
      <c r="O73" s="1334" t="s">
        <v>408</v>
      </c>
      <c r="P73" s="1326" t="s">
        <v>849</v>
      </c>
      <c r="Q73" s="1327" t="e">
        <f ca="1">L58</f>
        <v>#DIV/0!</v>
      </c>
      <c r="R73" s="1327" t="s">
        <v>850</v>
      </c>
    </row>
    <row r="74" spans="1:18" ht="13.5" thickBot="1">
      <c r="A74" s="1292"/>
      <c r="B74" s="265" t="s">
        <v>869</v>
      </c>
      <c r="C74" s="1373"/>
      <c r="D74" s="1292"/>
      <c r="E74" s="1292"/>
      <c r="F74" s="1292"/>
      <c r="O74" s="1334" t="s">
        <v>415</v>
      </c>
      <c r="P74" s="1326" t="str">
        <f>K59</f>
        <v>建筑物剩余耐用年限下的土地年期修正系数Kn</v>
      </c>
      <c r="Q74" s="1327" t="e">
        <f ca="1">L59</f>
        <v>#DIV/0!</v>
      </c>
      <c r="R74" s="1327" t="s">
        <v>851</v>
      </c>
    </row>
    <row r="75" spans="1:18" ht="13.5" thickBot="1">
      <c r="A75" s="1292"/>
      <c r="B75" s="331" t="s">
        <v>789</v>
      </c>
      <c r="C75" s="332">
        <f ca="1">ROUND(C13*C76,0)</f>
        <v>0</v>
      </c>
      <c r="D75" s="1292"/>
      <c r="E75" s="1292"/>
      <c r="F75" s="1292"/>
      <c r="K75" s="1309"/>
      <c r="L75" s="1292"/>
      <c r="O75" s="1325" t="s">
        <v>409</v>
      </c>
      <c r="P75" s="1326" t="s">
        <v>832</v>
      </c>
      <c r="Q75" s="1327" t="e">
        <f ca="1">Q65+Q66</f>
        <v>#DIV/0!</v>
      </c>
      <c r="R75" s="1327" t="s">
        <v>410</v>
      </c>
    </row>
    <row r="76" spans="1:18">
      <c r="B76" s="333" t="s">
        <v>790</v>
      </c>
      <c r="C76" s="334">
        <f ca="1">INDIRECT("'数据-取费表'!j"&amp;$G$1)</f>
        <v>0</v>
      </c>
      <c r="I76" s="1292"/>
      <c r="J76" s="1292"/>
      <c r="K76" s="1309"/>
      <c r="L76" s="1292"/>
    </row>
    <row r="77" spans="1:18">
      <c r="B77" s="335" t="s">
        <v>791</v>
      </c>
      <c r="C77" s="336"/>
      <c r="I77" s="1292"/>
      <c r="J77" s="1292"/>
      <c r="K77" s="1309"/>
      <c r="L77" s="1292"/>
    </row>
    <row r="78" spans="1:18">
      <c r="B78" s="262" t="s">
        <v>792</v>
      </c>
      <c r="C78" s="337"/>
    </row>
    <row r="79" spans="1:18">
      <c r="B79" s="331" t="s">
        <v>793</v>
      </c>
      <c r="C79" s="266" t="e">
        <f ca="1">1-C80</f>
        <v>#DIV/0!</v>
      </c>
    </row>
    <row r="80" spans="1:18">
      <c r="B80" s="331" t="s">
        <v>794</v>
      </c>
      <c r="C80" s="266" t="e">
        <f ca="1">ROUND(C75/C39,3)</f>
        <v>#DIV/0!</v>
      </c>
    </row>
    <row r="81" spans="2:3">
      <c r="B81" s="262" t="s">
        <v>795</v>
      </c>
      <c r="C81" s="230"/>
    </row>
    <row r="82" spans="2:3">
      <c r="B82" s="265" t="s">
        <v>796</v>
      </c>
      <c r="C82" s="267" t="e">
        <f ca="1">1-C83</f>
        <v>#DIV/0!</v>
      </c>
    </row>
    <row r="83" spans="2:3">
      <c r="B83" s="265" t="s">
        <v>797</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0"/>
  <sheetViews>
    <sheetView topLeftCell="F56" zoomScaleNormal="100" workbookViewId="0">
      <selection activeCell="K50" sqref="K50:O80"/>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2423</v>
      </c>
      <c r="B1" s="2582"/>
      <c r="C1" s="2594"/>
      <c r="D1" s="2594"/>
      <c r="E1" s="2583"/>
      <c r="F1" s="2584"/>
      <c r="G1" s="2585"/>
      <c r="J1" s="2588" t="s">
        <v>2304</v>
      </c>
      <c r="K1" s="2589"/>
      <c r="L1" s="2589"/>
      <c r="M1" s="2589"/>
      <c r="N1" s="2589"/>
      <c r="O1" s="2589"/>
      <c r="P1" s="2589"/>
      <c r="Q1" s="2589"/>
      <c r="R1" s="2590"/>
      <c r="S1" s="2591"/>
      <c r="T1" s="2591"/>
      <c r="U1" s="2591"/>
    </row>
    <row r="2" spans="1:22" s="2603" customFormat="1" ht="13.15" customHeight="1">
      <c r="A2" s="1293" t="s">
        <v>2305</v>
      </c>
      <c r="B2" s="2593" t="e">
        <f ca="1">IF(D2="——",C40,C40+E2)</f>
        <v>#VALUE!</v>
      </c>
      <c r="C2" s="2594" t="s">
        <v>2306</v>
      </c>
      <c r="D2" s="3137" t="s">
        <v>43</v>
      </c>
      <c r="E2" s="3138"/>
      <c r="F2" s="2596"/>
      <c r="G2" s="2597"/>
      <c r="H2" s="2598"/>
      <c r="I2" s="2599"/>
      <c r="J2" s="3452" t="s">
        <v>2307</v>
      </c>
      <c r="K2" s="3453"/>
      <c r="L2" s="2600" t="s">
        <v>2308</v>
      </c>
      <c r="M2" s="2600" t="s">
        <v>2309</v>
      </c>
      <c r="N2" s="2600" t="s">
        <v>2310</v>
      </c>
      <c r="O2" s="2600" t="s">
        <v>2311</v>
      </c>
      <c r="P2" s="2600" t="s">
        <v>2312</v>
      </c>
      <c r="Q2" s="2601" t="s">
        <v>2313</v>
      </c>
      <c r="R2" s="2602" t="s">
        <v>2314</v>
      </c>
      <c r="S2" s="2591"/>
      <c r="T2" s="2591"/>
      <c r="U2" s="2591"/>
      <c r="V2" s="2599"/>
    </row>
    <row r="3" spans="1:22" s="2603" customFormat="1" ht="13.15" customHeight="1">
      <c r="A3" s="2604" t="s">
        <v>2315</v>
      </c>
      <c r="B3" s="2605" t="e">
        <f ca="1">ROUND(B2*10000/B4,0)</f>
        <v>#VALUE!</v>
      </c>
      <c r="C3" s="2594" t="s">
        <v>2316</v>
      </c>
      <c r="D3" s="2594"/>
      <c r="E3" s="2595"/>
      <c r="F3" s="2596"/>
      <c r="G3" s="2597"/>
      <c r="H3" s="2598"/>
      <c r="I3" s="2599"/>
      <c r="J3" s="3454" t="s">
        <v>2317</v>
      </c>
      <c r="K3" s="3455"/>
      <c r="L3" s="2606"/>
      <c r="M3" s="2606"/>
      <c r="N3" s="2606"/>
      <c r="O3" s="2606"/>
      <c r="P3" s="2606"/>
      <c r="Q3" s="2607"/>
      <c r="R3" s="2608">
        <f>SUM(L3:Q3)</f>
        <v>0</v>
      </c>
      <c r="S3" s="2591"/>
      <c r="T3" s="2591"/>
      <c r="U3" s="2591"/>
      <c r="V3" s="2599"/>
    </row>
    <row r="4" spans="1:22" s="2603" customFormat="1" ht="13.15" customHeight="1">
      <c r="A4" s="2609" t="s">
        <v>2318</v>
      </c>
      <c r="B4" s="2610">
        <f>'数据-汇总表'!E3</f>
        <v>10446.719999999999</v>
      </c>
      <c r="C4" s="2594"/>
      <c r="D4" s="2594"/>
      <c r="E4" s="2595"/>
      <c r="F4" s="2596"/>
      <c r="G4" s="2597"/>
      <c r="H4" s="2598"/>
      <c r="I4" s="2599"/>
      <c r="J4" s="3454" t="s">
        <v>2319</v>
      </c>
      <c r="K4" s="3455"/>
      <c r="L4" s="2611"/>
      <c r="M4" s="2611"/>
      <c r="N4" s="2611"/>
      <c r="O4" s="2611"/>
      <c r="P4" s="2611"/>
      <c r="Q4" s="2612"/>
      <c r="R4" s="2613">
        <f>SUM(L4:Q4)</f>
        <v>0</v>
      </c>
      <c r="S4" s="2591"/>
      <c r="T4" s="2591"/>
      <c r="U4" s="2591"/>
      <c r="V4" s="2599"/>
    </row>
    <row r="5" spans="1:22" s="2603" customFormat="1" ht="13.15" customHeight="1" thickBot="1">
      <c r="A5" s="2614" t="s">
        <v>2320</v>
      </c>
      <c r="B5" s="2615">
        <f>'数据-汇总表'!D3</f>
        <v>0</v>
      </c>
      <c r="C5" s="2594"/>
      <c r="D5" s="2616"/>
      <c r="E5" s="2596"/>
      <c r="F5" s="2596"/>
      <c r="G5" s="2597"/>
      <c r="H5" s="2598"/>
      <c r="I5" s="2599"/>
      <c r="J5" s="2617" t="s">
        <v>2321</v>
      </c>
      <c r="K5" s="2618"/>
      <c r="L5" s="2618"/>
      <c r="M5" s="2619"/>
      <c r="N5" s="2619"/>
      <c r="O5" s="2619"/>
      <c r="P5" s="2619"/>
      <c r="Q5" s="2619"/>
      <c r="R5" s="2602">
        <f>SUM(R14,R19,R24,R25,R27,R28)</f>
        <v>3650</v>
      </c>
      <c r="S5" s="2591"/>
      <c r="T5" s="2591" t="s">
        <v>2322</v>
      </c>
      <c r="U5" s="2591" t="e">
        <f>ROUND(R5*10000/365/R3,1)</f>
        <v>#DIV/0!</v>
      </c>
      <c r="V5" s="2599"/>
    </row>
    <row r="6" spans="1:22" s="2603" customFormat="1" ht="13.15" customHeight="1" thickBot="1">
      <c r="A6" s="3460" t="s">
        <v>2323</v>
      </c>
      <c r="B6" s="3461"/>
      <c r="C6" s="3462"/>
      <c r="D6" s="2620">
        <f>R5</f>
        <v>3650</v>
      </c>
      <c r="E6" s="2621"/>
      <c r="F6" s="2622"/>
      <c r="G6" s="2623"/>
      <c r="H6" s="2598"/>
      <c r="I6" s="2599"/>
      <c r="J6" s="3446">
        <v>1</v>
      </c>
      <c r="K6" s="3447" t="s">
        <v>2324</v>
      </c>
      <c r="L6" s="2624" t="s">
        <v>2325</v>
      </c>
      <c r="M6" s="2625" t="s">
        <v>2326</v>
      </c>
      <c r="N6" s="2625" t="s">
        <v>2327</v>
      </c>
      <c r="O6" s="2625" t="s">
        <v>2328</v>
      </c>
      <c r="P6" s="2625" t="s">
        <v>2329</v>
      </c>
      <c r="Q6" s="2625" t="s">
        <v>2330</v>
      </c>
      <c r="R6" s="2608" t="s">
        <v>2331</v>
      </c>
      <c r="S6" s="2591"/>
      <c r="T6" s="2591" t="s">
        <v>2332</v>
      </c>
      <c r="U6" s="2591"/>
      <c r="V6" s="2599"/>
    </row>
    <row r="7" spans="1:22" s="2603" customFormat="1" ht="13.15" customHeight="1">
      <c r="A7" s="2626" t="s">
        <v>2333</v>
      </c>
      <c r="B7" s="2627"/>
      <c r="C7" s="2628"/>
      <c r="D7" s="2629">
        <f ca="1">SUM(D9,D10,D11,D17,0)</f>
        <v>1710</v>
      </c>
      <c r="E7" s="2630">
        <f ca="1">E9+E10+E11+E17</f>
        <v>0.46821917808219177</v>
      </c>
      <c r="F7" s="2631"/>
      <c r="G7" s="2632"/>
      <c r="H7" s="2598"/>
      <c r="I7" s="2599"/>
      <c r="J7" s="3446"/>
      <c r="K7" s="3448"/>
      <c r="L7" s="3174" t="s">
        <v>3414</v>
      </c>
      <c r="M7" s="2634">
        <v>250</v>
      </c>
      <c r="N7" s="2610">
        <v>250</v>
      </c>
      <c r="O7" s="2635">
        <v>1</v>
      </c>
      <c r="P7" s="2635">
        <v>0.8</v>
      </c>
      <c r="Q7" s="2636">
        <v>365</v>
      </c>
      <c r="R7" s="2637">
        <f>ROUND(M7*N7*O7*P7*Q7/10000,0)</f>
        <v>1825</v>
      </c>
      <c r="S7" s="2591"/>
      <c r="T7" s="2591" t="s">
        <v>2335</v>
      </c>
      <c r="U7" s="2591"/>
      <c r="V7" s="2599"/>
    </row>
    <row r="8" spans="1:22" s="2603" customFormat="1" ht="13.15" customHeight="1">
      <c r="A8" s="2638" t="s">
        <v>2336</v>
      </c>
      <c r="B8" s="3463" t="s">
        <v>2337</v>
      </c>
      <c r="C8" s="3464"/>
      <c r="D8" s="2639" t="s">
        <v>2338</v>
      </c>
      <c r="E8" s="2640" t="s">
        <v>2339</v>
      </c>
      <c r="F8" s="2641" t="s">
        <v>2340</v>
      </c>
      <c r="G8" s="2642"/>
      <c r="H8" s="2598"/>
      <c r="I8" s="2599"/>
      <c r="J8" s="3446"/>
      <c r="K8" s="3448"/>
      <c r="L8" s="2633" t="s">
        <v>2341</v>
      </c>
      <c r="M8" s="2634"/>
      <c r="N8" s="2610"/>
      <c r="O8" s="2635"/>
      <c r="P8" s="2635"/>
      <c r="Q8" s="2636">
        <v>365</v>
      </c>
      <c r="R8" s="2637">
        <f t="shared" ref="R8:R13" si="0">ROUND(M8*N8*O8*P8*Q8/10000,0)</f>
        <v>0</v>
      </c>
      <c r="S8" s="2591"/>
      <c r="T8" s="2591" t="s">
        <v>2342</v>
      </c>
      <c r="U8" s="2591"/>
      <c r="V8" s="2599"/>
    </row>
    <row r="9" spans="1:22" s="2603" customFormat="1" ht="13.15" customHeight="1">
      <c r="A9" s="2638">
        <v>1</v>
      </c>
      <c r="B9" s="3463" t="s">
        <v>2343</v>
      </c>
      <c r="C9" s="3464"/>
      <c r="D9" s="2639">
        <f>ROUND(D6*E9,0)</f>
        <v>548</v>
      </c>
      <c r="E9" s="2643">
        <v>0.15</v>
      </c>
      <c r="F9" s="2644" t="s">
        <v>2344</v>
      </c>
      <c r="G9" s="2623"/>
      <c r="H9" s="2598"/>
      <c r="I9" s="2599"/>
      <c r="J9" s="3446"/>
      <c r="K9" s="3448"/>
      <c r="L9" s="2633" t="s">
        <v>2345</v>
      </c>
      <c r="M9" s="2634"/>
      <c r="N9" s="2610"/>
      <c r="O9" s="2635"/>
      <c r="P9" s="2635"/>
      <c r="Q9" s="2636">
        <v>365</v>
      </c>
      <c r="R9" s="2637">
        <f t="shared" si="0"/>
        <v>0</v>
      </c>
      <c r="S9" s="2591"/>
      <c r="T9" s="2591"/>
      <c r="U9" s="2591"/>
      <c r="V9" s="2599"/>
    </row>
    <row r="10" spans="1:22" s="2603" customFormat="1" ht="13.15" customHeight="1">
      <c r="A10" s="2638">
        <v>2</v>
      </c>
      <c r="B10" s="3463" t="s">
        <v>2346</v>
      </c>
      <c r="C10" s="3464"/>
      <c r="D10" s="2639">
        <f>ROUND(D6*E10,0)</f>
        <v>730</v>
      </c>
      <c r="E10" s="2643">
        <v>0.2</v>
      </c>
      <c r="F10" s="2644" t="s">
        <v>2347</v>
      </c>
      <c r="G10" s="2623"/>
      <c r="H10" s="2598"/>
      <c r="I10" s="2599"/>
      <c r="J10" s="3446"/>
      <c r="K10" s="3448"/>
      <c r="L10" s="2633" t="s">
        <v>2334</v>
      </c>
      <c r="M10" s="2634"/>
      <c r="N10" s="2610"/>
      <c r="O10" s="2635"/>
      <c r="P10" s="2635"/>
      <c r="Q10" s="2636">
        <v>365</v>
      </c>
      <c r="R10" s="2637">
        <f t="shared" si="0"/>
        <v>0</v>
      </c>
      <c r="S10" s="2591"/>
      <c r="T10" s="2591"/>
      <c r="U10" s="2591"/>
      <c r="V10" s="2599"/>
    </row>
    <row r="11" spans="1:22" s="2603" customFormat="1" ht="13.15" customHeight="1">
      <c r="A11" s="2638">
        <v>3</v>
      </c>
      <c r="B11" s="3463" t="s">
        <v>2348</v>
      </c>
      <c r="C11" s="3464"/>
      <c r="D11" s="2639">
        <f ca="1">D12+D14+D15+D16</f>
        <v>249</v>
      </c>
      <c r="E11" s="2645">
        <f ca="1">D11/D6</f>
        <v>6.8219178082191786E-2</v>
      </c>
      <c r="F11" s="2641"/>
      <c r="G11" s="2642"/>
      <c r="H11" s="2598"/>
      <c r="I11" s="2599"/>
      <c r="J11" s="3446"/>
      <c r="K11" s="3448"/>
      <c r="L11" s="2633" t="s">
        <v>2349</v>
      </c>
      <c r="M11" s="2634"/>
      <c r="N11" s="2610"/>
      <c r="O11" s="2635"/>
      <c r="P11" s="2635"/>
      <c r="Q11" s="2636">
        <v>365</v>
      </c>
      <c r="R11" s="2637">
        <f t="shared" si="0"/>
        <v>0</v>
      </c>
      <c r="S11" s="2591"/>
      <c r="T11" s="2591"/>
      <c r="U11" s="2591"/>
      <c r="V11" s="2599"/>
    </row>
    <row r="12" spans="1:22" s="2603" customFormat="1" ht="13.15" customHeight="1">
      <c r="A12" s="2646" t="s">
        <v>2350</v>
      </c>
      <c r="B12" s="3456" t="s">
        <v>2351</v>
      </c>
      <c r="C12" s="3457"/>
      <c r="D12" s="2647">
        <f ca="1">ROUND(D13*1.2%*(1-30%),0)</f>
        <v>48</v>
      </c>
      <c r="E12" s="2648">
        <v>1.2E-2</v>
      </c>
      <c r="F12" s="2641" t="s">
        <v>2352</v>
      </c>
      <c r="G12" s="2642"/>
      <c r="H12" s="2598"/>
      <c r="I12" s="2599"/>
      <c r="J12" s="3446"/>
      <c r="K12" s="3448"/>
      <c r="L12" s="2633" t="s">
        <v>2353</v>
      </c>
      <c r="M12" s="2634"/>
      <c r="N12" s="2610"/>
      <c r="O12" s="2635"/>
      <c r="P12" s="2635"/>
      <c r="Q12" s="2636">
        <v>365</v>
      </c>
      <c r="R12" s="2637">
        <f t="shared" si="0"/>
        <v>0</v>
      </c>
      <c r="S12" s="2591"/>
      <c r="T12" s="2591"/>
      <c r="U12" s="2591"/>
      <c r="V12" s="2599"/>
    </row>
    <row r="13" spans="1:22" s="2603" customFormat="1" ht="13.15" customHeight="1">
      <c r="A13" s="2646"/>
      <c r="B13" s="2649"/>
      <c r="C13" s="2650" t="s">
        <v>2354</v>
      </c>
      <c r="D13" s="2651">
        <f ca="1">收益法!C29</f>
        <v>5683</v>
      </c>
      <c r="E13" s="2652"/>
      <c r="F13" s="2641"/>
      <c r="G13" s="2642"/>
      <c r="H13" s="2598"/>
      <c r="I13" s="2599"/>
      <c r="J13" s="3446"/>
      <c r="K13" s="3448"/>
      <c r="L13" s="2633" t="s">
        <v>2355</v>
      </c>
      <c r="M13" s="2634"/>
      <c r="N13" s="2610"/>
      <c r="O13" s="2635"/>
      <c r="P13" s="2635"/>
      <c r="Q13" s="2636">
        <v>365</v>
      </c>
      <c r="R13" s="2637">
        <f t="shared" si="0"/>
        <v>0</v>
      </c>
      <c r="S13" s="2591"/>
      <c r="T13" s="2591"/>
      <c r="U13" s="2591"/>
      <c r="V13" s="2599"/>
    </row>
    <row r="14" spans="1:22" s="2603" customFormat="1" ht="13.15" customHeight="1">
      <c r="A14" s="2646" t="s">
        <v>2356</v>
      </c>
      <c r="B14" s="3456" t="s">
        <v>2357</v>
      </c>
      <c r="C14" s="3457"/>
      <c r="D14" s="2647">
        <f>ROUND(E14*B5/10000,0)</f>
        <v>0</v>
      </c>
      <c r="E14" s="2636">
        <v>1.5</v>
      </c>
      <c r="F14" s="2641" t="s">
        <v>2358</v>
      </c>
      <c r="G14" s="2642"/>
      <c r="H14" s="2598"/>
      <c r="I14" s="2599"/>
      <c r="J14" s="3446"/>
      <c r="K14" s="3449"/>
      <c r="L14" s="2653" t="s">
        <v>2359</v>
      </c>
      <c r="M14" s="2654">
        <f>SUM(M7:M13)</f>
        <v>250</v>
      </c>
      <c r="N14" s="2654">
        <f>ROUND((N7*M7+N8*M8+N9*M9+N10*M10+N11*M11+N12*M12+N13*M13)/M14,0)</f>
        <v>250</v>
      </c>
      <c r="O14" s="2655"/>
      <c r="P14" s="2655"/>
      <c r="Q14" s="2656"/>
      <c r="R14" s="2602">
        <f>SUM(R7:R13)</f>
        <v>1825</v>
      </c>
      <c r="S14" s="2591"/>
      <c r="T14" s="2591"/>
      <c r="U14" s="2591"/>
      <c r="V14" s="2599"/>
    </row>
    <row r="15" spans="1:22" s="2603" customFormat="1" ht="13.15" customHeight="1">
      <c r="A15" s="2646" t="s">
        <v>2360</v>
      </c>
      <c r="B15" s="3456" t="s">
        <v>2361</v>
      </c>
      <c r="C15" s="3457"/>
      <c r="D15" s="2647">
        <f>ROUND(D6*E15,0)</f>
        <v>201</v>
      </c>
      <c r="E15" s="2648">
        <v>5.5E-2</v>
      </c>
      <c r="F15" s="2641" t="s">
        <v>2362</v>
      </c>
      <c r="G15" s="2623"/>
      <c r="H15" s="2598"/>
      <c r="I15" s="2599"/>
      <c r="J15" s="3446">
        <v>2</v>
      </c>
      <c r="K15" s="3447" t="s">
        <v>2363</v>
      </c>
      <c r="L15" s="2633" t="s">
        <v>2364</v>
      </c>
      <c r="M15" s="2634" t="s">
        <v>2365</v>
      </c>
      <c r="N15" s="2634" t="s">
        <v>2366</v>
      </c>
      <c r="O15" s="2635" t="s">
        <v>2367</v>
      </c>
      <c r="P15" s="2635" t="s">
        <v>2330</v>
      </c>
      <c r="Q15" s="2610" t="s">
        <v>2368</v>
      </c>
      <c r="R15" s="2657" t="s">
        <v>2331</v>
      </c>
      <c r="S15" s="2591"/>
      <c r="T15" s="2591"/>
      <c r="U15" s="2591"/>
      <c r="V15" s="2599"/>
    </row>
    <row r="16" spans="1:22" s="2603" customFormat="1" ht="13.15" customHeight="1">
      <c r="A16" s="2646" t="s">
        <v>2369</v>
      </c>
      <c r="B16" s="3456" t="s">
        <v>2370</v>
      </c>
      <c r="C16" s="3457"/>
      <c r="D16" s="2658">
        <f>D6*E16</f>
        <v>0</v>
      </c>
      <c r="E16" s="2659"/>
      <c r="F16" s="2644" t="s">
        <v>2371</v>
      </c>
      <c r="G16" s="2623"/>
      <c r="H16" s="2598"/>
      <c r="I16" s="2599"/>
      <c r="J16" s="3446"/>
      <c r="K16" s="3448"/>
      <c r="L16" s="2633" t="s">
        <v>2372</v>
      </c>
      <c r="M16" s="2634"/>
      <c r="N16" s="2634"/>
      <c r="O16" s="2635"/>
      <c r="P16" s="2636">
        <v>365</v>
      </c>
      <c r="Q16" s="2610"/>
      <c r="R16" s="2657">
        <f>ROUND(M16*N16*O16*P16/10000,0)</f>
        <v>0</v>
      </c>
      <c r="S16" s="2591"/>
      <c r="T16" s="2591"/>
      <c r="U16" s="2591"/>
      <c r="V16" s="2599"/>
    </row>
    <row r="17" spans="1:22" s="2603" customFormat="1" ht="13.15" customHeight="1" thickBot="1">
      <c r="A17" s="2660">
        <v>4</v>
      </c>
      <c r="B17" s="3458" t="s">
        <v>2373</v>
      </c>
      <c r="C17" s="3459"/>
      <c r="D17" s="2661">
        <f>ROUND(D6*E17,0)</f>
        <v>183</v>
      </c>
      <c r="E17" s="2662">
        <v>0.05</v>
      </c>
      <c r="F17" s="2663" t="s">
        <v>2374</v>
      </c>
      <c r="G17" s="2623"/>
      <c r="H17" s="2598"/>
      <c r="I17" s="2599"/>
      <c r="J17" s="3446"/>
      <c r="K17" s="3448"/>
      <c r="L17" s="2633" t="s">
        <v>2375</v>
      </c>
      <c r="M17" s="2634"/>
      <c r="N17" s="2634"/>
      <c r="O17" s="2635"/>
      <c r="P17" s="2636">
        <v>365</v>
      </c>
      <c r="Q17" s="2610"/>
      <c r="R17" s="2657">
        <f>ROUND(M17*N17*O17*P17/10000,0)</f>
        <v>0</v>
      </c>
      <c r="S17" s="2591"/>
      <c r="T17" s="2591"/>
      <c r="U17" s="2591"/>
      <c r="V17" s="2599"/>
    </row>
    <row r="18" spans="1:22" s="2603" customFormat="1" ht="13.15" customHeight="1" thickBot="1">
      <c r="A18" s="2626" t="s">
        <v>2376</v>
      </c>
      <c r="B18" s="2627"/>
      <c r="C18" s="2627"/>
      <c r="D18" s="2664">
        <f>ROUND(D6*E18,0)</f>
        <v>183</v>
      </c>
      <c r="E18" s="2665">
        <v>0.05</v>
      </c>
      <c r="F18" s="2666" t="s">
        <v>2377</v>
      </c>
      <c r="G18" s="2623"/>
      <c r="H18" s="2598"/>
      <c r="I18" s="2599"/>
      <c r="J18" s="3446"/>
      <c r="K18" s="3448"/>
      <c r="L18" s="2633" t="s">
        <v>2378</v>
      </c>
      <c r="M18" s="2634"/>
      <c r="N18" s="2634"/>
      <c r="O18" s="2635"/>
      <c r="P18" s="2636">
        <v>365</v>
      </c>
      <c r="Q18" s="2610"/>
      <c r="R18" s="2657">
        <f>ROUND(M18*N18*O18*P18/10000,0)</f>
        <v>0</v>
      </c>
      <c r="S18" s="2591"/>
      <c r="T18" s="2591"/>
      <c r="U18" s="2591"/>
      <c r="V18" s="2599"/>
    </row>
    <row r="19" spans="1:22" s="2603" customFormat="1" ht="13.15" customHeight="1" thickBot="1">
      <c r="A19" s="2667" t="s">
        <v>2379</v>
      </c>
      <c r="B19" s="2621"/>
      <c r="C19" s="2621"/>
      <c r="D19" s="2621"/>
      <c r="E19" s="2621"/>
      <c r="F19" s="2622"/>
      <c r="G19" s="2642"/>
      <c r="H19" s="2598"/>
      <c r="I19" s="2599"/>
      <c r="J19" s="3446"/>
      <c r="K19" s="3449"/>
      <c r="L19" s="2653" t="s">
        <v>2359</v>
      </c>
      <c r="M19" s="2654"/>
      <c r="N19" s="2654">
        <f>SUM(N16:N18)</f>
        <v>0</v>
      </c>
      <c r="O19" s="2655"/>
      <c r="P19" s="2668" t="s">
        <v>3413</v>
      </c>
      <c r="Q19" s="2635">
        <v>0.4</v>
      </c>
      <c r="R19" s="2669">
        <f>ROUND(IF(P19="按比例",R14*Q19,SUM(R16:R18)),0)</f>
        <v>730</v>
      </c>
      <c r="S19" s="2591"/>
      <c r="T19" s="2591"/>
      <c r="U19" s="2591"/>
      <c r="V19" s="2599"/>
    </row>
    <row r="20" spans="1:22" s="2603" customFormat="1" ht="13.15" customHeight="1">
      <c r="A20" s="2626"/>
      <c r="B20" s="2627"/>
      <c r="C20" s="2627"/>
      <c r="D20" s="2627"/>
      <c r="E20" s="2627"/>
      <c r="F20" s="2670"/>
      <c r="G20" s="2642"/>
      <c r="H20" s="2598"/>
      <c r="I20" s="2599"/>
      <c r="J20" s="3446">
        <v>3</v>
      </c>
      <c r="K20" s="3447" t="s">
        <v>2380</v>
      </c>
      <c r="L20" s="2633" t="s">
        <v>2381</v>
      </c>
      <c r="M20" s="2634" t="s">
        <v>2382</v>
      </c>
      <c r="N20" s="2671" t="s">
        <v>2383</v>
      </c>
      <c r="O20" s="2635" t="s">
        <v>2384</v>
      </c>
      <c r="P20" s="2636" t="s">
        <v>2385</v>
      </c>
      <c r="Q20" s="2610" t="s">
        <v>2386</v>
      </c>
      <c r="R20" s="2657" t="s">
        <v>2387</v>
      </c>
      <c r="S20" s="2591"/>
      <c r="T20" s="2591"/>
      <c r="U20" s="2591"/>
      <c r="V20" s="2599"/>
    </row>
    <row r="21" spans="1:22" s="2603" customFormat="1" ht="13.15" customHeight="1">
      <c r="A21" s="2626"/>
      <c r="B21" s="2627"/>
      <c r="C21" s="2672" t="s">
        <v>2388</v>
      </c>
      <c r="D21" s="2673" t="s">
        <v>2389</v>
      </c>
      <c r="E21" s="2674" t="s">
        <v>2390</v>
      </c>
      <c r="F21" s="2670"/>
      <c r="G21" s="2642"/>
      <c r="H21" s="2598"/>
      <c r="I21" s="2599"/>
      <c r="J21" s="3446"/>
      <c r="K21" s="3448"/>
      <c r="L21" s="2633" t="s">
        <v>2391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2392</v>
      </c>
      <c r="D22" s="2677" t="s">
        <v>2393</v>
      </c>
      <c r="E22" s="2678" t="s">
        <v>2394</v>
      </c>
      <c r="F22" s="2670"/>
      <c r="G22" s="2591"/>
      <c r="H22" s="2598"/>
      <c r="I22" s="2599"/>
      <c r="J22" s="3446"/>
      <c r="K22" s="3448"/>
      <c r="L22" s="2633" t="s">
        <v>2395</v>
      </c>
      <c r="M22" s="2634"/>
      <c r="N22" s="2634"/>
      <c r="O22" s="2635"/>
      <c r="P22" s="2636">
        <v>365</v>
      </c>
      <c r="Q22" s="2610"/>
      <c r="R22" s="2675">
        <f>ROUND(M22*N22*O22*P22/10000,0)</f>
        <v>0</v>
      </c>
      <c r="S22" s="2591"/>
      <c r="T22" s="2591"/>
      <c r="U22" s="2591"/>
      <c r="V22" s="2599"/>
    </row>
    <row r="23" spans="1:22" s="2603" customFormat="1" ht="13.15" customHeight="1">
      <c r="A23" s="2679">
        <v>1</v>
      </c>
      <c r="B23" s="2680" t="s">
        <v>2396</v>
      </c>
      <c r="C23" s="2681">
        <f>D6</f>
        <v>3650</v>
      </c>
      <c r="D23" s="2682">
        <f>C23*(1+D24)</f>
        <v>4015.0000000000005</v>
      </c>
      <c r="E23" s="2683">
        <f>D23*(1+E24)</f>
        <v>4376.3500000000004</v>
      </c>
      <c r="F23" s="2684"/>
      <c r="G23" s="2685"/>
      <c r="H23" s="2598"/>
      <c r="I23" s="2599"/>
      <c r="J23" s="3446"/>
      <c r="K23" s="3448"/>
      <c r="L23" s="2633" t="s">
        <v>2397</v>
      </c>
      <c r="M23" s="2634"/>
      <c r="N23" s="2634"/>
      <c r="O23" s="2635"/>
      <c r="P23" s="2636">
        <v>365</v>
      </c>
      <c r="Q23" s="2610"/>
      <c r="R23" s="2675">
        <f>ROUND(M23*N23*O23*P23/10000,0)</f>
        <v>0</v>
      </c>
      <c r="S23" s="2591"/>
      <c r="T23" s="2591"/>
      <c r="U23" s="2591"/>
      <c r="V23" s="2599"/>
    </row>
    <row r="24" spans="1:22" s="2603" customFormat="1" ht="13.15" customHeight="1">
      <c r="A24" s="2686"/>
      <c r="B24" s="2687" t="s">
        <v>2398</v>
      </c>
      <c r="C24" s="2688"/>
      <c r="D24" s="2689">
        <v>0.1</v>
      </c>
      <c r="E24" s="2690">
        <v>0.09</v>
      </c>
      <c r="F24" s="2691"/>
      <c r="G24" s="2685"/>
      <c r="H24" s="2598"/>
      <c r="I24" s="2599"/>
      <c r="J24" s="3446"/>
      <c r="K24" s="3449"/>
      <c r="L24" s="2653" t="s">
        <v>2359</v>
      </c>
      <c r="M24" s="2654">
        <f>SUM(M21:M23)</f>
        <v>0</v>
      </c>
      <c r="N24" s="2654"/>
      <c r="O24" s="2655"/>
      <c r="P24" s="2668" t="s">
        <v>3413</v>
      </c>
      <c r="Q24" s="2635">
        <v>0.4</v>
      </c>
      <c r="R24" s="2669">
        <f>ROUND(IF(P24="按比例",R14*Q24,SUM(R21:R23)),0)</f>
        <v>730</v>
      </c>
      <c r="S24" s="2591"/>
      <c r="T24" s="2591"/>
      <c r="U24" s="2591"/>
      <c r="V24" s="2599"/>
    </row>
    <row r="25" spans="1:22" s="2698" customFormat="1" ht="13.15" customHeight="1">
      <c r="A25" s="2686"/>
      <c r="B25" s="2687"/>
      <c r="C25" s="2688"/>
      <c r="D25" s="2689"/>
      <c r="E25" s="2690"/>
      <c r="F25" s="2691"/>
      <c r="G25" s="2591"/>
      <c r="H25" s="2598"/>
      <c r="I25" s="2599"/>
      <c r="J25" s="2692">
        <v>4</v>
      </c>
      <c r="K25" s="2693" t="s">
        <v>2399</v>
      </c>
      <c r="L25" s="2694"/>
      <c r="M25" s="2694"/>
      <c r="N25" s="2694"/>
      <c r="O25" s="2694"/>
      <c r="P25" s="2695"/>
      <c r="Q25" s="2696">
        <v>0.2</v>
      </c>
      <c r="R25" s="2669">
        <f>ROUND(R14*Q25,0)</f>
        <v>365</v>
      </c>
      <c r="S25" s="2591"/>
      <c r="T25" s="2591"/>
      <c r="U25" s="2591"/>
      <c r="V25" s="2697"/>
    </row>
    <row r="26" spans="1:22" s="2698" customFormat="1" ht="13.15" customHeight="1">
      <c r="A26" s="2679">
        <v>2</v>
      </c>
      <c r="B26" s="2680" t="s">
        <v>2400</v>
      </c>
      <c r="C26" s="2681">
        <f ca="1">D7</f>
        <v>1710</v>
      </c>
      <c r="D26" s="2682">
        <f ca="1">D23*D27</f>
        <v>1879.9</v>
      </c>
      <c r="E26" s="2683">
        <f ca="1">E23*E27</f>
        <v>2049.0909999999999</v>
      </c>
      <c r="F26" s="2684"/>
      <c r="G26" s="2685"/>
      <c r="H26" s="2598"/>
      <c r="I26" s="2599"/>
      <c r="J26" s="3450">
        <v>5</v>
      </c>
      <c r="K26" s="2699" t="s">
        <v>2401</v>
      </c>
      <c r="L26" s="2700"/>
      <c r="M26" s="2701"/>
      <c r="N26" s="2702" t="s">
        <v>2402</v>
      </c>
      <c r="O26" s="2702" t="s">
        <v>2403</v>
      </c>
      <c r="P26" s="2703" t="s">
        <v>2404</v>
      </c>
      <c r="Q26" s="2703" t="s">
        <v>2405</v>
      </c>
      <c r="R26" s="2608" t="s">
        <v>2331</v>
      </c>
      <c r="S26" s="2642"/>
      <c r="T26" s="2642"/>
      <c r="U26" s="2642"/>
      <c r="V26" s="2697"/>
    </row>
    <row r="27" spans="1:22" s="2603" customFormat="1" ht="13.15" customHeight="1">
      <c r="A27" s="2686"/>
      <c r="B27" s="2687" t="s">
        <v>2406</v>
      </c>
      <c r="C27" s="2704">
        <f ca="1">E7</f>
        <v>0.46821917808219177</v>
      </c>
      <c r="D27" s="2689">
        <f ca="1">C27</f>
        <v>0.46821917808219177</v>
      </c>
      <c r="E27" s="2690">
        <f ca="1">C27</f>
        <v>0.46821917808219177</v>
      </c>
      <c r="F27" s="2691"/>
      <c r="G27" s="2685"/>
      <c r="H27" s="2705"/>
      <c r="I27" s="2697"/>
      <c r="J27" s="345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2407</v>
      </c>
      <c r="F28" s="2691"/>
      <c r="G28" s="2591"/>
      <c r="H28" s="2705"/>
      <c r="I28" s="2697"/>
      <c r="J28" s="2711">
        <v>6</v>
      </c>
      <c r="K28" s="2712" t="s">
        <v>2408</v>
      </c>
      <c r="L28" s="2713" t="s">
        <v>2409</v>
      </c>
      <c r="M28" s="2714"/>
      <c r="N28" s="2713" t="s">
        <v>2410</v>
      </c>
      <c r="O28" s="2715"/>
      <c r="P28" s="2713" t="s">
        <v>2411</v>
      </c>
      <c r="Q28" s="2716">
        <v>1.4999999999999999E-2</v>
      </c>
      <c r="R28" s="2717"/>
      <c r="S28" s="2591"/>
      <c r="T28" s="2591"/>
      <c r="U28" s="2591"/>
      <c r="V28" s="2697"/>
    </row>
    <row r="29" spans="1:22" s="2698" customFormat="1" ht="13.15" customHeight="1">
      <c r="A29" s="2679">
        <v>3</v>
      </c>
      <c r="B29" s="2680" t="s">
        <v>2412</v>
      </c>
      <c r="C29" s="2681">
        <f>C23*C30</f>
        <v>182.5</v>
      </c>
      <c r="D29" s="2682">
        <f>D23*C30</f>
        <v>200.75000000000003</v>
      </c>
      <c r="E29" s="2683">
        <f>E23*C30</f>
        <v>218.81750000000002</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2406</v>
      </c>
      <c r="C30" s="2704">
        <f>E18</f>
        <v>0.05</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2413</v>
      </c>
      <c r="K31" s="2589"/>
      <c r="L31" s="2589"/>
      <c r="M31" s="2589"/>
      <c r="N31" s="2589"/>
      <c r="O31" s="2589"/>
      <c r="P31" s="2589"/>
      <c r="Q31" s="2589"/>
      <c r="R31" s="2590"/>
      <c r="S31" s="2591"/>
      <c r="T31" s="2591"/>
      <c r="U31" s="2591"/>
      <c r="V31" s="2697"/>
    </row>
    <row r="32" spans="1:22" s="2698" customFormat="1" ht="13.15" customHeight="1">
      <c r="A32" s="2679">
        <v>4</v>
      </c>
      <c r="B32" s="2680" t="s">
        <v>2414</v>
      </c>
      <c r="C32" s="2681">
        <f ca="1">C23-C26-C29</f>
        <v>1757.5</v>
      </c>
      <c r="D32" s="2682">
        <f ca="1">D23-D26-D29</f>
        <v>1934.3500000000004</v>
      </c>
      <c r="E32" s="2683">
        <f ca="1">E23-E26-E29</f>
        <v>2108.4415000000004</v>
      </c>
      <c r="F32" s="2684"/>
      <c r="G32" s="2591"/>
      <c r="H32" s="2598"/>
      <c r="I32" s="2599"/>
      <c r="J32" s="3452" t="s">
        <v>2307</v>
      </c>
      <c r="K32" s="3453"/>
      <c r="L32" s="2600" t="s">
        <v>2308</v>
      </c>
      <c r="M32" s="2600" t="s">
        <v>2309</v>
      </c>
      <c r="N32" s="2600" t="s">
        <v>2310</v>
      </c>
      <c r="O32" s="2600" t="s">
        <v>2311</v>
      </c>
      <c r="P32" s="2600" t="s">
        <v>2312</v>
      </c>
      <c r="Q32" s="2601" t="s">
        <v>2313</v>
      </c>
      <c r="R32" s="2720" t="s">
        <v>2314</v>
      </c>
      <c r="S32" s="2591"/>
      <c r="T32" s="2591"/>
      <c r="U32" s="2591"/>
      <c r="V32" s="2697"/>
    </row>
    <row r="33" spans="1:23" s="2603" customFormat="1" ht="13.15" customHeight="1">
      <c r="A33" s="2679"/>
      <c r="B33" s="2680"/>
      <c r="C33" s="2681"/>
      <c r="D33" s="2721"/>
      <c r="E33" s="2722"/>
      <c r="F33" s="2684"/>
      <c r="G33" s="2591"/>
      <c r="H33" s="2705"/>
      <c r="I33" s="2697"/>
      <c r="J33" s="3454" t="s">
        <v>2317</v>
      </c>
      <c r="K33" s="3455"/>
      <c r="L33" s="2606"/>
      <c r="M33" s="2606"/>
      <c r="N33" s="2606"/>
      <c r="O33" s="2606"/>
      <c r="P33" s="2606"/>
      <c r="Q33" s="2607"/>
      <c r="R33" s="2723">
        <f>SUM(L33:Q33)</f>
        <v>0</v>
      </c>
      <c r="S33" s="2591"/>
      <c r="T33" s="2591"/>
      <c r="U33" s="2591"/>
      <c r="V33" s="2599"/>
    </row>
    <row r="34" spans="1:23" s="2603" customFormat="1" ht="13.15" customHeight="1">
      <c r="A34" s="2679">
        <v>5</v>
      </c>
      <c r="B34" s="2680" t="s">
        <v>2415</v>
      </c>
      <c r="C34" s="2724">
        <f>'数据-取费表'!I6</f>
        <v>5.5E-2</v>
      </c>
      <c r="D34" s="2725">
        <f>C34</f>
        <v>5.5E-2</v>
      </c>
      <c r="E34" s="2726">
        <f>C34</f>
        <v>5.5E-2</v>
      </c>
      <c r="F34" s="2684"/>
      <c r="G34" s="2591"/>
      <c r="H34" s="2705"/>
      <c r="I34" s="2697"/>
      <c r="J34" s="3454" t="s">
        <v>2319</v>
      </c>
      <c r="K34" s="345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2416</v>
      </c>
      <c r="C35" s="2728">
        <v>0.02</v>
      </c>
      <c r="D35" s="2729">
        <v>1.4999999999999999E-2</v>
      </c>
      <c r="E35" s="2730">
        <v>1.4999999999999999E-2</v>
      </c>
      <c r="F35" s="2684"/>
      <c r="G35" s="2731"/>
      <c r="H35" s="2598"/>
      <c r="I35" s="2697"/>
      <c r="J35" s="2617" t="s">
        <v>2321</v>
      </c>
      <c r="K35" s="2618"/>
      <c r="L35" s="2618"/>
      <c r="M35" s="2619"/>
      <c r="N35" s="2619"/>
      <c r="O35" s="2619"/>
      <c r="P35" s="2619"/>
      <c r="Q35" s="2619"/>
      <c r="R35" s="2732">
        <f>R40+R41+R43</f>
        <v>0</v>
      </c>
      <c r="S35" s="2591"/>
      <c r="T35" s="2591" t="s">
        <v>2322</v>
      </c>
      <c r="U35" s="2591"/>
      <c r="V35" s="2599"/>
    </row>
    <row r="36" spans="1:23" s="2603" customFormat="1" ht="13.15" customHeight="1" thickBot="1">
      <c r="A36" s="2679">
        <v>7</v>
      </c>
      <c r="B36" s="2733" t="s">
        <v>2417</v>
      </c>
      <c r="C36" s="2734">
        <v>5</v>
      </c>
      <c r="D36" s="2735">
        <v>5</v>
      </c>
      <c r="E36" s="2736" t="e">
        <f>项目基本情况!F15-'收益法-酒店模型'!C36-'收益法-酒店模型'!D36</f>
        <v>#VALUE!</v>
      </c>
      <c r="F36" s="2737" t="e">
        <f>C36+D36+E36</f>
        <v>#VALUE!</v>
      </c>
      <c r="G36" s="2591"/>
      <c r="H36" s="2598"/>
      <c r="I36" s="2599"/>
      <c r="J36" s="3446">
        <v>1</v>
      </c>
      <c r="K36" s="3447" t="s">
        <v>2418</v>
      </c>
      <c r="L36" s="2624"/>
      <c r="M36" s="2625"/>
      <c r="N36" s="2625"/>
      <c r="O36" s="2625"/>
      <c r="P36" s="2625"/>
      <c r="Q36" s="2625"/>
      <c r="R36" s="2608" t="s">
        <v>2331</v>
      </c>
      <c r="S36" s="2591"/>
      <c r="T36" s="2591" t="s">
        <v>2332</v>
      </c>
      <c r="U36" s="2591"/>
      <c r="V36" s="2599"/>
    </row>
    <row r="37" spans="1:23" s="2603" customFormat="1" ht="13.15" customHeight="1">
      <c r="A37" s="2679"/>
      <c r="B37" s="2680"/>
      <c r="C37" s="2680"/>
      <c r="D37" s="2680"/>
      <c r="E37" s="2680"/>
      <c r="F37" s="2684"/>
      <c r="G37" s="2591"/>
      <c r="H37" s="2598"/>
      <c r="I37" s="2599"/>
      <c r="J37" s="3446"/>
      <c r="K37" s="3448"/>
      <c r="L37" s="2633"/>
      <c r="M37" s="2634"/>
      <c r="N37" s="2610"/>
      <c r="O37" s="2635"/>
      <c r="P37" s="2635"/>
      <c r="Q37" s="2636"/>
      <c r="R37" s="2637"/>
      <c r="S37" s="2591"/>
      <c r="T37" s="2591" t="s">
        <v>2335</v>
      </c>
      <c r="U37" s="2591"/>
      <c r="V37" s="2599"/>
    </row>
    <row r="38" spans="1:23" s="2603" customFormat="1" ht="13.15" customHeight="1">
      <c r="A38" s="2679">
        <v>8</v>
      </c>
      <c r="B38" s="2680"/>
      <c r="C38" s="2639">
        <f ca="1">ROUND(C32*(1-((1+C35)/(1+C34))^C36)/(C34-C35),0)</f>
        <v>7795</v>
      </c>
      <c r="D38" s="2639">
        <f ca="1">IF(D23=0,0,ROUND(D32*(1-((1+D35)/(1+D34))^D36)/(D34-D35),0))</f>
        <v>8498</v>
      </c>
      <c r="E38" s="2639" t="e">
        <f ca="1">IF(E23=0,0,ROUND(E32*(1-((1+E35)/(1+E34))^E36)/(E34-E35),0))</f>
        <v>#VALUE!</v>
      </c>
      <c r="F38" s="2684"/>
      <c r="G38" s="2591"/>
      <c r="H38" s="2598"/>
      <c r="I38" s="2599"/>
      <c r="J38" s="3446"/>
      <c r="K38" s="3448"/>
      <c r="L38" s="2633"/>
      <c r="M38" s="2634"/>
      <c r="N38" s="2610"/>
      <c r="O38" s="2635"/>
      <c r="P38" s="2635"/>
      <c r="Q38" s="2636"/>
      <c r="R38" s="2637"/>
      <c r="S38" s="2591"/>
      <c r="T38" s="2591" t="s">
        <v>2342</v>
      </c>
      <c r="U38" s="2591"/>
      <c r="V38" s="2599"/>
    </row>
    <row r="39" spans="1:23" s="2603" customFormat="1" ht="13.15" customHeight="1">
      <c r="A39" s="2679">
        <v>9</v>
      </c>
      <c r="B39" s="2680" t="s">
        <v>2419</v>
      </c>
      <c r="C39" s="2647">
        <f ca="1">C38</f>
        <v>7795</v>
      </c>
      <c r="D39" s="2680">
        <f ca="1">D38/(1+D34)^C36</f>
        <v>6502.111738940388</v>
      </c>
      <c r="E39" s="2680" t="e">
        <f ca="1">E38/(1+E34)^(C36+D36)</f>
        <v>#VALUE!</v>
      </c>
      <c r="F39" s="2684"/>
      <c r="G39" s="2599"/>
      <c r="H39" s="2598"/>
      <c r="I39" s="2599"/>
      <c r="J39" s="3446"/>
      <c r="K39" s="3448"/>
      <c r="L39" s="2633"/>
      <c r="M39" s="2634"/>
      <c r="N39" s="2610"/>
      <c r="O39" s="2635"/>
      <c r="P39" s="2635"/>
      <c r="Q39" s="2636"/>
      <c r="R39" s="2637"/>
      <c r="S39" s="2591"/>
      <c r="T39" s="2591"/>
      <c r="U39" s="2591"/>
      <c r="V39" s="2599"/>
    </row>
    <row r="40" spans="1:23" s="2603" customFormat="1" ht="13.15" customHeight="1">
      <c r="A40" s="2738">
        <v>10</v>
      </c>
      <c r="B40" s="2680" t="s">
        <v>2420</v>
      </c>
      <c r="C40" s="2739" t="e">
        <f ca="1">C39+D39+E39</f>
        <v>#VALUE!</v>
      </c>
      <c r="D40" s="2740"/>
      <c r="E40" s="2740"/>
      <c r="F40" s="2741"/>
      <c r="G40" s="2591"/>
      <c r="H40" s="2598"/>
      <c r="I40" s="2599"/>
      <c r="J40" s="3446"/>
      <c r="K40" s="3449"/>
      <c r="L40" s="2653" t="s">
        <v>2359</v>
      </c>
      <c r="M40" s="2654"/>
      <c r="N40" s="2654"/>
      <c r="O40" s="2655"/>
      <c r="P40" s="2655"/>
      <c r="Q40" s="2656"/>
      <c r="R40" s="2602">
        <f>SUM(R37:R39)</f>
        <v>0</v>
      </c>
      <c r="S40" s="2591"/>
      <c r="T40" s="2591"/>
      <c r="U40" s="2591"/>
      <c r="V40" s="2599"/>
    </row>
    <row r="41" spans="1:23" s="2603" customFormat="1" ht="13.15" customHeight="1" thickBot="1">
      <c r="A41" s="2742">
        <v>11</v>
      </c>
      <c r="B41" s="2743" t="s">
        <v>2421</v>
      </c>
      <c r="C41" s="2743" t="e">
        <f ca="1">ROUND(C40*10000/B4,0)</f>
        <v>#VALUE!</v>
      </c>
      <c r="D41" s="2744"/>
      <c r="E41" s="2744"/>
      <c r="F41" s="2745"/>
      <c r="G41" s="2598"/>
      <c r="H41" s="2598"/>
      <c r="I41" s="2599"/>
      <c r="J41" s="2692">
        <v>2</v>
      </c>
      <c r="K41" s="2693" t="s">
        <v>2399</v>
      </c>
      <c r="L41" s="2694"/>
      <c r="M41" s="2694"/>
      <c r="N41" s="2694"/>
      <c r="O41" s="2694"/>
      <c r="P41" s="2695"/>
      <c r="Q41" s="2696"/>
      <c r="R41" s="2669">
        <f>ROUND(R40*Q41,0)</f>
        <v>0</v>
      </c>
      <c r="S41" s="2591"/>
      <c r="T41" s="2591"/>
      <c r="U41" s="2642"/>
      <c r="V41" s="2599"/>
    </row>
    <row r="42" spans="1:23" s="2603" customFormat="1" ht="13.15" customHeight="1">
      <c r="G42" s="2598"/>
      <c r="H42" s="2598"/>
      <c r="I42" s="2599"/>
      <c r="J42" s="3450">
        <v>3</v>
      </c>
      <c r="K42" s="2699" t="s">
        <v>2401</v>
      </c>
      <c r="L42" s="2700"/>
      <c r="M42" s="2701"/>
      <c r="N42" s="2702" t="s">
        <v>2402</v>
      </c>
      <c r="O42" s="2702" t="s">
        <v>2403</v>
      </c>
      <c r="P42" s="2703" t="s">
        <v>2404</v>
      </c>
      <c r="Q42" s="2703" t="s">
        <v>2405</v>
      </c>
      <c r="R42" s="2608" t="s">
        <v>2331</v>
      </c>
      <c r="S42" s="2642"/>
      <c r="T42" s="2642"/>
      <c r="U42" s="2591"/>
      <c r="V42" s="2599"/>
    </row>
    <row r="43" spans="1:23" ht="13.15" customHeight="1">
      <c r="A43" s="2603"/>
      <c r="B43" s="2603"/>
      <c r="C43" s="2603"/>
      <c r="D43" s="2603"/>
      <c r="E43" s="2603"/>
      <c r="F43" s="2603"/>
      <c r="I43" s="2586"/>
      <c r="J43" s="345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2408</v>
      </c>
      <c r="L44" s="2748" t="s">
        <v>2409</v>
      </c>
      <c r="M44" s="2714"/>
      <c r="N44" s="2748" t="s">
        <v>2410</v>
      </c>
      <c r="O44" s="2714"/>
      <c r="P44" s="2748" t="s">
        <v>2411</v>
      </c>
      <c r="Q44" s="2716">
        <v>1.4999999999999999E-2</v>
      </c>
      <c r="R44" s="2717"/>
    </row>
    <row r="50" spans="11:15" ht="13.15" customHeight="1">
      <c r="K50" s="3185" t="s">
        <v>3412</v>
      </c>
      <c r="L50" s="3185" t="s">
        <v>3785</v>
      </c>
    </row>
    <row r="51" spans="11:15" ht="13.15" customHeight="1">
      <c r="K51" s="3185" t="s">
        <v>3784</v>
      </c>
      <c r="L51" s="2746">
        <v>119</v>
      </c>
      <c r="M51" s="3185" t="s">
        <v>3786</v>
      </c>
    </row>
    <row r="52" spans="11:15" ht="13.15" customHeight="1">
      <c r="K52" s="3185" t="s">
        <v>3787</v>
      </c>
      <c r="L52" s="2746">
        <v>125</v>
      </c>
      <c r="M52" s="3185" t="s">
        <v>3786</v>
      </c>
    </row>
    <row r="53" spans="11:15" ht="13.15" customHeight="1">
      <c r="K53" s="3185" t="s">
        <v>3788</v>
      </c>
      <c r="L53" s="2746">
        <v>293</v>
      </c>
      <c r="M53" s="3185" t="s">
        <v>3786</v>
      </c>
    </row>
    <row r="54" spans="11:15" ht="13.15" customHeight="1">
      <c r="K54" s="3185" t="s">
        <v>3789</v>
      </c>
      <c r="L54" s="2746">
        <v>122</v>
      </c>
      <c r="M54" s="3185" t="s">
        <v>3786</v>
      </c>
    </row>
    <row r="55" spans="11:15" ht="13.15" customHeight="1">
      <c r="K55" s="3185" t="s">
        <v>3790</v>
      </c>
      <c r="L55" s="2746">
        <v>209</v>
      </c>
      <c r="M55" s="3185" t="s">
        <v>3786</v>
      </c>
    </row>
    <row r="56" spans="11:15" ht="13.15" customHeight="1">
      <c r="K56" s="3185" t="s">
        <v>3791</v>
      </c>
      <c r="L56" s="2746">
        <v>149</v>
      </c>
      <c r="M56" s="3185" t="s">
        <v>3786</v>
      </c>
    </row>
    <row r="57" spans="11:15" ht="13.15" customHeight="1">
      <c r="K57" s="3185" t="s">
        <v>3792</v>
      </c>
      <c r="L57" s="2746">
        <v>179</v>
      </c>
      <c r="M57" s="3185" t="s">
        <v>3793</v>
      </c>
    </row>
    <row r="59" spans="11:15" ht="13.15" customHeight="1">
      <c r="K59" s="3185" t="s">
        <v>3795</v>
      </c>
      <c r="L59" s="3185" t="s">
        <v>3378</v>
      </c>
      <c r="M59" s="3185" t="s">
        <v>3796</v>
      </c>
      <c r="N59" s="3185" t="s">
        <v>3797</v>
      </c>
    </row>
    <row r="60" spans="11:15" ht="13.15" customHeight="1">
      <c r="K60" s="3186" t="s">
        <v>3794</v>
      </c>
      <c r="L60" s="2746">
        <v>32</v>
      </c>
      <c r="M60" s="2746">
        <v>2000</v>
      </c>
      <c r="N60" s="2746">
        <f>M60/L60/30</f>
        <v>2.0833333333333335</v>
      </c>
      <c r="O60" s="3185" t="s">
        <v>3798</v>
      </c>
    </row>
    <row r="61" spans="11:15" ht="13.15" customHeight="1">
      <c r="L61" s="2746">
        <v>27</v>
      </c>
      <c r="M61" s="2746">
        <v>1500</v>
      </c>
      <c r="N61" s="2746">
        <f>M61/L61/30</f>
        <v>1.8518518518518519</v>
      </c>
    </row>
    <row r="62" spans="11:15" ht="13.15" customHeight="1">
      <c r="K62" s="3185" t="s">
        <v>3799</v>
      </c>
      <c r="L62" s="2746">
        <v>20</v>
      </c>
      <c r="M62" s="2746">
        <v>1800</v>
      </c>
      <c r="N62" s="2746">
        <f>M62/L62/30</f>
        <v>3</v>
      </c>
    </row>
    <row r="67" spans="11:14" ht="13.15" customHeight="1">
      <c r="K67" s="3185" t="s">
        <v>3801</v>
      </c>
      <c r="L67" s="3185" t="s">
        <v>3378</v>
      </c>
      <c r="M67" s="3185" t="s">
        <v>3802</v>
      </c>
      <c r="N67" s="3185" t="s">
        <v>3797</v>
      </c>
    </row>
    <row r="68" spans="11:14" ht="13.15" customHeight="1">
      <c r="K68" s="3186" t="s">
        <v>3794</v>
      </c>
      <c r="L68" s="2746">
        <v>500</v>
      </c>
      <c r="M68" s="2746">
        <v>1</v>
      </c>
      <c r="N68" s="3187" t="s">
        <v>3810</v>
      </c>
    </row>
    <row r="69" spans="11:14" ht="13.15" customHeight="1">
      <c r="M69" s="2746">
        <v>2</v>
      </c>
      <c r="N69" s="2746">
        <v>3</v>
      </c>
    </row>
    <row r="70" spans="11:14" ht="13.15" customHeight="1">
      <c r="M70" s="2746">
        <v>3</v>
      </c>
      <c r="N70" s="2746">
        <v>2</v>
      </c>
    </row>
    <row r="71" spans="11:14" ht="13.15" customHeight="1">
      <c r="K71" s="3185" t="s">
        <v>3803</v>
      </c>
      <c r="L71" s="2746">
        <v>56.91</v>
      </c>
      <c r="M71" s="2746">
        <v>2</v>
      </c>
      <c r="N71" s="2746">
        <v>3.47</v>
      </c>
    </row>
    <row r="74" spans="11:14" ht="13.15" customHeight="1">
      <c r="K74" s="3185" t="s">
        <v>2800</v>
      </c>
      <c r="L74" s="3185" t="s">
        <v>3378</v>
      </c>
      <c r="M74" s="3185" t="s">
        <v>3797</v>
      </c>
    </row>
    <row r="75" spans="11:14" ht="13.15" customHeight="1">
      <c r="K75" s="3185" t="s">
        <v>3804</v>
      </c>
      <c r="L75" s="2746">
        <v>255</v>
      </c>
      <c r="M75" s="2746">
        <v>1.8</v>
      </c>
    </row>
    <row r="76" spans="11:14" ht="13.15" customHeight="1">
      <c r="K76" s="3185" t="s">
        <v>3805</v>
      </c>
      <c r="L76" s="2746">
        <v>260</v>
      </c>
      <c r="M76" s="2746">
        <v>1.8</v>
      </c>
    </row>
    <row r="77" spans="11:14" ht="13.15" customHeight="1">
      <c r="K77" s="3185" t="s">
        <v>3806</v>
      </c>
      <c r="L77" s="2746">
        <v>2000</v>
      </c>
      <c r="M77" s="2746">
        <v>1.5</v>
      </c>
    </row>
    <row r="78" spans="11:14" ht="13.15" customHeight="1">
      <c r="K78" s="3185" t="s">
        <v>3807</v>
      </c>
      <c r="L78" s="2746">
        <v>1400</v>
      </c>
      <c r="M78" s="2746">
        <v>1.7</v>
      </c>
    </row>
    <row r="79" spans="11:14" ht="13.15" customHeight="1">
      <c r="K79" s="3185" t="s">
        <v>3808</v>
      </c>
      <c r="L79" s="2746">
        <v>30</v>
      </c>
      <c r="M79" s="2746">
        <v>1.67</v>
      </c>
    </row>
    <row r="80" spans="11:14" ht="13.15" customHeight="1">
      <c r="K80" s="3185" t="s">
        <v>3809</v>
      </c>
      <c r="L80" s="2746">
        <v>800</v>
      </c>
      <c r="M80" s="2746">
        <v>1.5</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1650</v>
      </c>
      <c r="B1" s="1726"/>
      <c r="C1" s="1726"/>
      <c r="D1" s="1726"/>
      <c r="E1" s="1727"/>
      <c r="F1" s="2478"/>
      <c r="G1" s="459"/>
      <c r="H1" s="459"/>
      <c r="I1" s="459"/>
      <c r="J1" s="459"/>
      <c r="K1" s="459"/>
      <c r="L1" s="459"/>
      <c r="M1" s="459"/>
      <c r="N1" s="459"/>
      <c r="O1" s="459"/>
      <c r="P1" s="459"/>
      <c r="Q1" s="459"/>
      <c r="R1" s="459"/>
      <c r="S1" s="459"/>
    </row>
    <row r="2" spans="1:22" ht="15.75">
      <c r="A2" s="1728" t="s">
        <v>1454</v>
      </c>
      <c r="B2" s="811">
        <f ca="1">SUMIF(B6:B13,"&lt;&gt;#ref!",B6:B13)</f>
        <v>5378</v>
      </c>
      <c r="C2" s="1729" t="s">
        <v>1643</v>
      </c>
      <c r="D2" s="1730" t="s">
        <v>1644</v>
      </c>
      <c r="E2" s="2392">
        <f>SUM(E6:E13)</f>
        <v>10446.719999999999</v>
      </c>
      <c r="F2" s="2478"/>
      <c r="G2" s="459"/>
      <c r="H2" s="459"/>
      <c r="I2" s="459"/>
      <c r="J2" s="459"/>
      <c r="K2" s="459"/>
      <c r="L2" s="459"/>
      <c r="M2" s="459"/>
      <c r="N2" s="459"/>
      <c r="O2" s="459"/>
      <c r="P2" s="459"/>
      <c r="Q2" s="459"/>
      <c r="R2" s="459"/>
      <c r="S2" s="459"/>
    </row>
    <row r="3" spans="1:22" ht="15.75">
      <c r="A3" s="1728" t="s">
        <v>680</v>
      </c>
      <c r="B3" s="2386">
        <f ca="1">ROUND(B2*10000/E2,0)</f>
        <v>5148</v>
      </c>
      <c r="C3" s="1729" t="s">
        <v>1651</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1645</v>
      </c>
      <c r="B5" s="3465" t="s">
        <v>1646</v>
      </c>
      <c r="C5" s="3466"/>
      <c r="D5" s="2479"/>
      <c r="E5" s="1731" t="s">
        <v>1647</v>
      </c>
      <c r="F5" s="129" t="s">
        <v>1648</v>
      </c>
      <c r="G5" s="459"/>
      <c r="H5" s="459"/>
      <c r="I5" s="459"/>
      <c r="J5" s="459"/>
      <c r="K5" s="459"/>
      <c r="L5" s="459"/>
      <c r="M5" s="459"/>
      <c r="N5" s="459"/>
      <c r="O5" s="459"/>
      <c r="P5" s="459"/>
      <c r="Q5" s="459"/>
      <c r="R5" s="459"/>
      <c r="S5" s="459"/>
    </row>
    <row r="6" spans="1:22">
      <c r="A6" s="2389" t="str">
        <f>'数据-取费表'!AN6</f>
        <v>收益法</v>
      </c>
      <c r="B6" s="2387">
        <f ca="1">IF(F6="是",'数据-取费表'!AO6,0)</f>
        <v>5378</v>
      </c>
      <c r="C6" s="1729" t="s">
        <v>1643</v>
      </c>
      <c r="D6" s="2478"/>
      <c r="E6" s="2391">
        <f>IF(OR(A6=0,F6="否"),0,'数据-取费表'!K6+'数据-取费表'!S6)</f>
        <v>10446.719999999999</v>
      </c>
      <c r="F6" s="1732" t="s">
        <v>1649</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1643</v>
      </c>
      <c r="D7" s="2478"/>
      <c r="E7" s="2391">
        <f>IF(OR(A7=0,F7="否"),0,'数据-取费表'!K7+'数据-取费表'!S7)</f>
        <v>0</v>
      </c>
      <c r="F7" s="1732" t="s">
        <v>1649</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1643</v>
      </c>
      <c r="D8" s="2478"/>
      <c r="E8" s="2391">
        <f>IF(OR(A8=0,F8="否"),0,'数据-取费表'!K8+'数据-取费表'!S8)</f>
        <v>0</v>
      </c>
      <c r="F8" s="1732" t="s">
        <v>1649</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1643</v>
      </c>
      <c r="D9" s="2478"/>
      <c r="E9" s="2391">
        <f>IF(OR(A9=0,F9="否"),0,'数据-取费表'!K9+'数据-取费表'!S9)</f>
        <v>0</v>
      </c>
      <c r="F9" s="1732" t="s">
        <v>1649</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1643</v>
      </c>
      <c r="D10" s="2478"/>
      <c r="E10" s="2391">
        <f>IF(OR(A10=0,F10="否"),0,'数据-取费表'!K10+'数据-取费表'!S10)</f>
        <v>0</v>
      </c>
      <c r="F10" s="1732" t="s">
        <v>1649</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1643</v>
      </c>
      <c r="D11" s="2478"/>
      <c r="E11" s="2391">
        <f>IF(OR(A11=0,F11="否"),0,'数据-取费表'!K11+'数据-取费表'!S11)</f>
        <v>0</v>
      </c>
      <c r="F11" s="1732" t="s">
        <v>1649</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1643</v>
      </c>
      <c r="D12" s="2478"/>
      <c r="E12" s="2391">
        <f>IF(OR(A12=0,F12="否"),0,'数据-取费表'!K12+'数据-取费表'!S12)</f>
        <v>0</v>
      </c>
      <c r="F12" s="1732" t="s">
        <v>1649</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1643</v>
      </c>
      <c r="D13" s="2480"/>
      <c r="E13" s="2391">
        <f>IF(OR(A13=0,F13="否"),0,'数据-取费表'!K13+'数据-取费表'!S13)</f>
        <v>0</v>
      </c>
      <c r="F13" s="1732"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734" t="s">
        <v>1653</v>
      </c>
      <c r="C1" s="1155" t="s">
        <v>1654</v>
      </c>
      <c r="D1" s="1142"/>
      <c r="E1" s="3123"/>
      <c r="F1" s="1735"/>
      <c r="G1" s="1152" t="s">
        <v>1655</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679</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1656</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680</v>
      </c>
      <c r="B3" s="343">
        <f>IF(C2="——",C49,ROUND(B2*10000/D3,0))</f>
        <v>0</v>
      </c>
      <c r="C3" s="344" t="s">
        <v>1657</v>
      </c>
      <c r="D3" s="343">
        <f>IF(D1="",'数据-汇总表'!E3,SUMIF('数据-汇总表'!$C19:$C33,D1,'数据-汇总表'!$E19:$E33))</f>
        <v>10446.719999999999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1658</v>
      </c>
      <c r="B4" s="346"/>
      <c r="C4" s="3383" t="s">
        <v>1659</v>
      </c>
      <c r="D4" s="3395"/>
      <c r="E4" s="3396" t="s">
        <v>1660</v>
      </c>
      <c r="F4" s="3397"/>
      <c r="G4" s="3383" t="s">
        <v>1661</v>
      </c>
      <c r="H4" s="3395"/>
      <c r="I4" s="3383" t="s">
        <v>1662</v>
      </c>
      <c r="J4" s="3395"/>
      <c r="K4" s="1744" t="s">
        <v>1663</v>
      </c>
      <c r="L4" s="2485"/>
      <c r="M4" s="2486"/>
      <c r="N4" s="2486"/>
      <c r="O4" s="2486"/>
      <c r="P4" s="3398" t="s">
        <v>1664</v>
      </c>
      <c r="Q4" s="3399"/>
      <c r="R4" s="3404" t="s">
        <v>1660</v>
      </c>
      <c r="S4" s="3405"/>
      <c r="T4" s="3404" t="s">
        <v>1661</v>
      </c>
      <c r="U4" s="3405"/>
      <c r="V4" s="3391" t="s">
        <v>1662</v>
      </c>
      <c r="W4" s="3391"/>
      <c r="X4" s="1265"/>
      <c r="Y4" s="3404" t="s">
        <v>1664</v>
      </c>
      <c r="Z4" s="3405"/>
      <c r="AA4" s="3392" t="s">
        <v>1660</v>
      </c>
      <c r="AB4" s="3392" t="s">
        <v>1661</v>
      </c>
      <c r="AC4" s="3392" t="s">
        <v>1662</v>
      </c>
    </row>
    <row r="5" spans="1:29" ht="15">
      <c r="A5" s="348"/>
      <c r="B5" s="349"/>
      <c r="C5" s="3412" t="s">
        <v>1665</v>
      </c>
      <c r="D5" s="3413"/>
      <c r="E5" s="3419" t="s">
        <v>1666</v>
      </c>
      <c r="F5" s="3420"/>
      <c r="G5" s="3412" t="s">
        <v>1667</v>
      </c>
      <c r="H5" s="3413"/>
      <c r="I5" s="3412" t="s">
        <v>1668</v>
      </c>
      <c r="J5" s="3413"/>
      <c r="K5" s="1745"/>
      <c r="L5" s="2485"/>
      <c r="M5" s="2486"/>
      <c r="N5" s="2486"/>
      <c r="O5" s="2486"/>
      <c r="P5" s="3400"/>
      <c r="Q5" s="3401"/>
      <c r="R5" s="3406"/>
      <c r="S5" s="3407"/>
      <c r="T5" s="3406"/>
      <c r="U5" s="3407"/>
      <c r="V5" s="3391"/>
      <c r="W5" s="3391"/>
      <c r="X5" s="1265"/>
      <c r="Y5" s="3406"/>
      <c r="Z5" s="3407"/>
      <c r="AA5" s="3393"/>
      <c r="AB5" s="3393"/>
      <c r="AC5" s="3393"/>
    </row>
    <row r="6" spans="1:29" ht="15.75" thickBot="1">
      <c r="A6" s="350"/>
      <c r="B6" s="351"/>
      <c r="C6" s="3410" t="s">
        <v>1669</v>
      </c>
      <c r="D6" s="3411"/>
      <c r="E6" s="3417" t="s">
        <v>1669</v>
      </c>
      <c r="F6" s="3418"/>
      <c r="G6" s="3410" t="s">
        <v>1669</v>
      </c>
      <c r="H6" s="3411"/>
      <c r="I6" s="3410" t="s">
        <v>1669</v>
      </c>
      <c r="J6" s="3411"/>
      <c r="K6" s="1745" t="s">
        <v>1670</v>
      </c>
      <c r="L6" s="2485"/>
      <c r="M6" s="2486"/>
      <c r="N6" s="2486"/>
      <c r="O6" s="2486"/>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4" t="s">
        <v>1672</v>
      </c>
      <c r="Q7" s="3416"/>
      <c r="R7" s="664" t="s">
        <v>20</v>
      </c>
      <c r="S7" s="665">
        <f t="shared" ref="S7:S15" si="0">F7</f>
        <v>0</v>
      </c>
      <c r="T7" s="664" t="s">
        <v>20</v>
      </c>
      <c r="U7" s="665">
        <f t="shared" ref="U7:U15" si="1">H7</f>
        <v>0</v>
      </c>
      <c r="V7" s="664" t="s">
        <v>20</v>
      </c>
      <c r="W7" s="665">
        <f t="shared" ref="W7:W15" si="2">J7</f>
        <v>0</v>
      </c>
      <c r="X7" s="666"/>
      <c r="Y7" s="3414" t="s">
        <v>1672</v>
      </c>
      <c r="Z7" s="3415"/>
      <c r="AA7" s="50" t="e">
        <f>D7/F7</f>
        <v>#DIV/0!</v>
      </c>
      <c r="AB7" s="50" t="e">
        <f>D7/H7</f>
        <v>#DIV/0!</v>
      </c>
      <c r="AC7" s="50" t="e">
        <f>D7/J7</f>
        <v>#DIV/0!</v>
      </c>
    </row>
    <row r="8" spans="1:29" s="102" customFormat="1" ht="15.75" thickBot="1">
      <c r="A8" s="352" t="s">
        <v>1673</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4" t="s">
        <v>1675</v>
      </c>
      <c r="Q8" s="3415"/>
      <c r="R8" s="664" t="s">
        <v>20</v>
      </c>
      <c r="S8" s="665">
        <f t="shared" si="0"/>
        <v>100</v>
      </c>
      <c r="T8" s="664" t="s">
        <v>20</v>
      </c>
      <c r="U8" s="665">
        <f t="shared" si="1"/>
        <v>100</v>
      </c>
      <c r="V8" s="664" t="s">
        <v>20</v>
      </c>
      <c r="W8" s="665">
        <f t="shared" si="2"/>
        <v>100</v>
      </c>
      <c r="X8" s="666"/>
      <c r="Y8" s="3414" t="s">
        <v>1675</v>
      </c>
      <c r="Z8" s="3415"/>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5" t="s">
        <v>1678</v>
      </c>
      <c r="Q9" s="530" t="str">
        <f t="shared" ref="Q9:Q15" si="6">B9</f>
        <v>用途</v>
      </c>
      <c r="R9" s="664" t="s">
        <v>14</v>
      </c>
      <c r="S9" s="665">
        <f t="shared" si="0"/>
        <v>100</v>
      </c>
      <c r="T9" s="664" t="s">
        <v>14</v>
      </c>
      <c r="U9" s="665">
        <f t="shared" si="1"/>
        <v>100</v>
      </c>
      <c r="V9" s="664" t="s">
        <v>14</v>
      </c>
      <c r="W9" s="665">
        <f t="shared" si="2"/>
        <v>100</v>
      </c>
      <c r="X9" s="666"/>
      <c r="Y9" s="3283"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5"/>
      <c r="Q11" s="530" t="str">
        <f t="shared" si="6"/>
        <v>容积率</v>
      </c>
      <c r="R11" s="664" t="s">
        <v>18</v>
      </c>
      <c r="S11" s="665" t="e">
        <f t="shared" si="0"/>
        <v>#N/A</v>
      </c>
      <c r="T11" s="664" t="s">
        <v>18</v>
      </c>
      <c r="U11" s="665" t="e">
        <f t="shared" si="1"/>
        <v>#N/A</v>
      </c>
      <c r="V11" s="664" t="s">
        <v>18</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5"/>
      <c r="Q12" s="530">
        <f t="shared" si="6"/>
        <v>111</v>
      </c>
      <c r="R12" s="664" t="s">
        <v>18</v>
      </c>
      <c r="S12" s="665">
        <f t="shared" si="0"/>
        <v>100</v>
      </c>
      <c r="T12" s="664" t="s">
        <v>18</v>
      </c>
      <c r="U12" s="665">
        <f t="shared" si="1"/>
        <v>100</v>
      </c>
      <c r="V12" s="664" t="s">
        <v>18</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283"/>
      <c r="Z14" s="50">
        <f t="shared" si="7"/>
        <v>111</v>
      </c>
      <c r="AA14" s="50">
        <f t="shared" si="3"/>
        <v>1</v>
      </c>
      <c r="AB14" s="50">
        <f t="shared" si="4"/>
        <v>1</v>
      </c>
      <c r="AC14" s="50">
        <f t="shared" si="5"/>
        <v>1</v>
      </c>
    </row>
    <row r="15" spans="1:29" ht="85.5">
      <c r="A15" s="379" t="s">
        <v>1682</v>
      </c>
      <c r="B15" s="58" t="s">
        <v>1251</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72" t="s">
        <v>1683</v>
      </c>
      <c r="Q15" s="1263" t="str">
        <f t="shared" si="6"/>
        <v>居住社区成熟度</v>
      </c>
      <c r="R15" s="667" t="s">
        <v>18</v>
      </c>
      <c r="S15" s="668">
        <f t="shared" si="0"/>
        <v>100</v>
      </c>
      <c r="T15" s="667" t="s">
        <v>18</v>
      </c>
      <c r="U15" s="668">
        <f t="shared" si="1"/>
        <v>100</v>
      </c>
      <c r="V15" s="667" t="s">
        <v>18</v>
      </c>
      <c r="W15" s="668">
        <f t="shared" si="2"/>
        <v>100</v>
      </c>
      <c r="X15" s="1265"/>
      <c r="Y15" s="3387" t="s">
        <v>1683</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73"/>
      <c r="Q16" s="1263"/>
      <c r="R16" s="667"/>
      <c r="S16" s="668"/>
      <c r="T16" s="667"/>
      <c r="U16" s="668"/>
      <c r="V16" s="667"/>
      <c r="W16" s="668"/>
      <c r="X16" s="1265"/>
      <c r="Y16" s="3388"/>
      <c r="Z16" s="1264"/>
      <c r="AA16" s="1264">
        <v>1</v>
      </c>
      <c r="AB16" s="1264">
        <v>1</v>
      </c>
      <c r="AC16" s="1264">
        <v>1</v>
      </c>
    </row>
    <row r="17" spans="1:29" ht="71.25">
      <c r="A17" s="367"/>
      <c r="B17" s="390" t="s">
        <v>1253</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73"/>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73"/>
      <c r="Q18" s="1263"/>
      <c r="R18" s="667"/>
      <c r="S18" s="668"/>
      <c r="T18" s="667"/>
      <c r="U18" s="668"/>
      <c r="V18" s="667"/>
      <c r="W18" s="668"/>
      <c r="X18" s="1265"/>
      <c r="Y18" s="3388"/>
      <c r="Z18" s="1264"/>
      <c r="AA18" s="1264">
        <v>1</v>
      </c>
      <c r="AB18" s="1264">
        <v>1</v>
      </c>
      <c r="AC18" s="1264">
        <v>1</v>
      </c>
    </row>
    <row r="19" spans="1:29" ht="42.75">
      <c r="A19" s="367"/>
      <c r="B19" s="390" t="s">
        <v>1252</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73"/>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73"/>
      <c r="Q20" s="1263"/>
      <c r="R20" s="667"/>
      <c r="S20" s="668"/>
      <c r="T20" s="667"/>
      <c r="U20" s="668"/>
      <c r="V20" s="667"/>
      <c r="W20" s="668"/>
      <c r="X20" s="1265"/>
      <c r="Y20" s="3388"/>
      <c r="Z20" s="1264"/>
      <c r="AA20" s="1264">
        <v>1</v>
      </c>
      <c r="AB20" s="1264">
        <v>1</v>
      </c>
      <c r="AC20" s="1264">
        <v>1</v>
      </c>
    </row>
    <row r="21" spans="1:29" ht="28.5">
      <c r="A21" s="367"/>
      <c r="B21" s="586" t="s">
        <v>1254</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73"/>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73"/>
      <c r="Q22" s="1263"/>
      <c r="R22" s="667"/>
      <c r="S22" s="668"/>
      <c r="T22" s="667"/>
      <c r="U22" s="668"/>
      <c r="V22" s="667"/>
      <c r="W22" s="668"/>
      <c r="X22" s="1265"/>
      <c r="Y22" s="3388"/>
      <c r="Z22" s="1264"/>
      <c r="AA22" s="1264">
        <v>1</v>
      </c>
      <c r="AB22" s="1264">
        <v>1</v>
      </c>
      <c r="AC22" s="1264">
        <v>1</v>
      </c>
    </row>
    <row r="23" spans="1:29" ht="42.75">
      <c r="A23" s="367"/>
      <c r="B23" s="390" t="s">
        <v>1255</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73"/>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73"/>
      <c r="Q24" s="1263"/>
      <c r="R24" s="667"/>
      <c r="S24" s="668"/>
      <c r="T24" s="667"/>
      <c r="U24" s="668"/>
      <c r="V24" s="667"/>
      <c r="W24" s="668"/>
      <c r="X24" s="1265"/>
      <c r="Y24" s="3388"/>
      <c r="Z24" s="1264"/>
      <c r="AA24" s="1264">
        <v>1</v>
      </c>
      <c r="AB24" s="1264">
        <v>1</v>
      </c>
      <c r="AC24" s="1264">
        <v>1</v>
      </c>
    </row>
    <row r="25" spans="1:29" ht="15">
      <c r="A25" s="367"/>
      <c r="B25" s="364" t="s">
        <v>1684</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1685</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73"/>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73"/>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73"/>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73"/>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73"/>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73"/>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1686</v>
      </c>
      <c r="B32" s="60" t="s">
        <v>1687</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68" t="s">
        <v>1688</v>
      </c>
      <c r="Q32" s="1263" t="str">
        <f t="shared" si="11"/>
        <v>建筑类型</v>
      </c>
      <c r="R32" s="667" t="s">
        <v>18</v>
      </c>
      <c r="S32" s="668">
        <f t="shared" si="12"/>
        <v>100</v>
      </c>
      <c r="T32" s="667" t="s">
        <v>18</v>
      </c>
      <c r="U32" s="668">
        <f t="shared" si="13"/>
        <v>100</v>
      </c>
      <c r="V32" s="667" t="s">
        <v>18</v>
      </c>
      <c r="W32" s="668">
        <f t="shared" si="14"/>
        <v>100</v>
      </c>
      <c r="X32" s="1265"/>
      <c r="Y32" s="3390" t="s">
        <v>1688</v>
      </c>
      <c r="Z32" s="1264" t="str">
        <f t="shared" si="18"/>
        <v>建筑类型</v>
      </c>
      <c r="AA32" s="1264">
        <f t="shared" si="15"/>
        <v>1</v>
      </c>
      <c r="AB32" s="1264">
        <f t="shared" si="16"/>
        <v>1</v>
      </c>
      <c r="AC32" s="1264">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69"/>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1690</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69"/>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1691</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69"/>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1692</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69"/>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69"/>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1694</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69" t="s">
        <v>1688</v>
      </c>
      <c r="Q38" s="1263" t="str">
        <f t="shared" si="11"/>
        <v>物业管理</v>
      </c>
      <c r="R38" s="667" t="s">
        <v>18</v>
      </c>
      <c r="S38" s="668">
        <f t="shared" si="12"/>
        <v>100</v>
      </c>
      <c r="T38" s="667" t="s">
        <v>18</v>
      </c>
      <c r="U38" s="668">
        <f t="shared" si="13"/>
        <v>100</v>
      </c>
      <c r="V38" s="667" t="s">
        <v>18</v>
      </c>
      <c r="W38" s="668">
        <f t="shared" si="14"/>
        <v>100</v>
      </c>
      <c r="X38" s="1265"/>
      <c r="Y38" s="3390" t="s">
        <v>1688</v>
      </c>
      <c r="Z38" s="1264" t="str">
        <f t="shared" si="18"/>
        <v>物业管理</v>
      </c>
      <c r="AA38" s="1264">
        <f t="shared" si="15"/>
        <v>1</v>
      </c>
      <c r="AB38" s="1264">
        <f t="shared" si="16"/>
        <v>1</v>
      </c>
      <c r="AC38" s="1264">
        <f t="shared" si="17"/>
        <v>1</v>
      </c>
    </row>
    <row r="39" spans="1:29" ht="15">
      <c r="A39" s="409"/>
      <c r="B39" s="364" t="s">
        <v>1695</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69"/>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1696</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69"/>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69"/>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1698</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69"/>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15">
      <c r="A43" s="409"/>
      <c r="B43" s="364" t="s">
        <v>1699</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69"/>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69"/>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69"/>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70"/>
      <c r="Q46" s="1263">
        <f t="shared" si="11"/>
        <v>111</v>
      </c>
      <c r="R46" s="667" t="s">
        <v>17</v>
      </c>
      <c r="S46" s="668">
        <f t="shared" si="12"/>
        <v>100</v>
      </c>
      <c r="T46" s="667" t="s">
        <v>17</v>
      </c>
      <c r="U46" s="668">
        <f t="shared" si="13"/>
        <v>100</v>
      </c>
      <c r="V46" s="667" t="s">
        <v>17</v>
      </c>
      <c r="W46" s="668">
        <f t="shared" si="14"/>
        <v>100</v>
      </c>
      <c r="X46" s="1265"/>
      <c r="Y46" s="3471"/>
      <c r="Z46" s="1264">
        <f t="shared" si="18"/>
        <v>111</v>
      </c>
      <c r="AA46" s="1264">
        <f t="shared" si="15"/>
        <v>1</v>
      </c>
      <c r="AB46" s="1264">
        <f t="shared" si="16"/>
        <v>1</v>
      </c>
      <c r="AC46" s="1264">
        <f t="shared" si="17"/>
        <v>1</v>
      </c>
    </row>
    <row r="47" spans="1:29" ht="15">
      <c r="A47" s="416" t="s">
        <v>1700</v>
      </c>
      <c r="B47" s="417"/>
      <c r="C47" s="1081" t="s">
        <v>16</v>
      </c>
      <c r="D47" s="418"/>
      <c r="E47" s="419"/>
      <c r="F47" s="420"/>
      <c r="G47" s="421"/>
      <c r="H47" s="422"/>
      <c r="I47" s="419"/>
      <c r="J47" s="422"/>
      <c r="K47" s="1767"/>
      <c r="L47" s="2493"/>
      <c r="M47" s="2486"/>
      <c r="N47" s="2486"/>
      <c r="O47" s="2486"/>
      <c r="P47" s="3386" t="str">
        <f>A47</f>
        <v>成交单价（元/平方米）</v>
      </c>
      <c r="Q47" s="3386"/>
      <c r="R47" s="3391">
        <f>E47</f>
        <v>0</v>
      </c>
      <c r="S47" s="3391"/>
      <c r="T47" s="3391">
        <f>G47</f>
        <v>0</v>
      </c>
      <c r="U47" s="3391"/>
      <c r="V47" s="3391">
        <f>I47</f>
        <v>0</v>
      </c>
      <c r="W47" s="3391"/>
      <c r="X47" s="385"/>
      <c r="Y47" s="673"/>
      <c r="Z47" s="385"/>
      <c r="AA47" s="385"/>
      <c r="AB47" s="385"/>
      <c r="AC47" s="385"/>
    </row>
    <row r="48" spans="1:29" ht="15.75" thickBot="1">
      <c r="A48" s="423" t="s">
        <v>1701</v>
      </c>
      <c r="B48" s="424"/>
      <c r="C48" s="1082" t="e">
        <f>R49</f>
        <v>#DIV/0!</v>
      </c>
      <c r="D48" s="2141" t="s">
        <v>2128</v>
      </c>
      <c r="E48" s="1083" t="e">
        <f>R48</f>
        <v>#DIV/0!</v>
      </c>
      <c r="F48" s="2142"/>
      <c r="G48" s="1082" t="e">
        <f>T48</f>
        <v>#DIV/0!</v>
      </c>
      <c r="H48" s="2142"/>
      <c r="I48" s="1083" t="e">
        <f>V48</f>
        <v>#DIV/0!</v>
      </c>
      <c r="J48" s="2142"/>
      <c r="K48" s="2143">
        <f>F48+H48+J48</f>
        <v>0</v>
      </c>
      <c r="L48" s="2493"/>
      <c r="M48" s="2486"/>
      <c r="N48" s="2486"/>
      <c r="O48" s="2486"/>
      <c r="P48" s="3386" t="str">
        <f>A48</f>
        <v>比较价值（元/平方米）</v>
      </c>
      <c r="Q48" s="338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1702</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1706</v>
      </c>
      <c r="B57" s="385"/>
      <c r="C57" s="659"/>
      <c r="D57" s="659"/>
      <c r="E57" s="659"/>
      <c r="F57" s="660"/>
      <c r="G57" s="660"/>
      <c r="H57" s="659"/>
      <c r="I57" s="659"/>
      <c r="J57" s="659"/>
      <c r="K57" s="887"/>
      <c r="L57" s="888"/>
      <c r="M57" s="886"/>
      <c r="N57" s="886"/>
      <c r="O57" s="886"/>
      <c r="P57" s="1771"/>
      <c r="Q57" s="439"/>
    </row>
    <row r="58" spans="1:29" s="442" customFormat="1" ht="15">
      <c r="A58" s="440" t="s">
        <v>1707</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1708</v>
      </c>
      <c r="B60" s="450"/>
      <c r="C60" s="451"/>
      <c r="D60" s="452"/>
      <c r="E60" s="452"/>
      <c r="F60" s="452"/>
      <c r="G60" s="452"/>
      <c r="H60" s="452"/>
      <c r="I60" s="452"/>
      <c r="J60" s="452"/>
      <c r="K60" s="452"/>
      <c r="L60" s="452"/>
      <c r="M60" s="453"/>
      <c r="N60" s="452"/>
      <c r="O60" s="453"/>
      <c r="P60" s="1773"/>
      <c r="Q60" s="439"/>
    </row>
    <row r="61" spans="1:29" s="102" customFormat="1" ht="15">
      <c r="A61" s="455" t="s">
        <v>1709</v>
      </c>
      <c r="B61" s="444"/>
      <c r="C61" s="456" t="s">
        <v>1710</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1711</v>
      </c>
      <c r="B63" s="460" t="s">
        <v>1677</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1680</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1254</v>
      </c>
      <c r="C82" s="470" t="s">
        <v>1720</v>
      </c>
      <c r="D82" s="470" t="s">
        <v>1721</v>
      </c>
      <c r="E82" s="470" t="s">
        <v>1722</v>
      </c>
      <c r="F82" s="470" t="s">
        <v>1723</v>
      </c>
      <c r="G82" s="470" t="s">
        <v>1724</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1726</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1727</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1686</v>
      </c>
      <c r="B100" s="460" t="s">
        <v>1728</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1730</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1731</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1732</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1733</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1734</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1735</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1697</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1736</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1738</v>
      </c>
    </row>
    <row r="137" spans="1:17" ht="15">
      <c r="B137" s="1782" t="s">
        <v>1739</v>
      </c>
      <c r="C137" s="1783"/>
      <c r="D137" s="1783"/>
      <c r="E137" s="1783"/>
      <c r="F137" s="1783"/>
      <c r="G137" s="1784"/>
      <c r="H137" s="1785"/>
      <c r="I137" s="1786" t="s">
        <v>1740</v>
      </c>
      <c r="J137" s="1783"/>
      <c r="K137" s="1787"/>
    </row>
    <row r="138" spans="1:17" ht="15">
      <c r="B138" s="1788"/>
      <c r="C138" s="129" t="s">
        <v>1741</v>
      </c>
      <c r="D138" s="129" t="s">
        <v>1742</v>
      </c>
      <c r="E138" s="1789" t="s">
        <v>1743</v>
      </c>
      <c r="F138" s="1790" t="s">
        <v>1744</v>
      </c>
      <c r="G138" s="129" t="s">
        <v>1742</v>
      </c>
      <c r="H138" s="130" t="s">
        <v>1743</v>
      </c>
      <c r="I138" s="1791"/>
      <c r="J138" s="129" t="s">
        <v>1745</v>
      </c>
      <c r="K138" s="130" t="s">
        <v>1746</v>
      </c>
    </row>
    <row r="139" spans="1:17" ht="15">
      <c r="B139" s="814">
        <v>6</v>
      </c>
      <c r="C139" s="815">
        <v>96</v>
      </c>
      <c r="D139" s="1792" t="s">
        <v>1747</v>
      </c>
      <c r="E139" s="816">
        <v>100</v>
      </c>
      <c r="F139" s="817">
        <v>102.5</v>
      </c>
      <c r="G139" s="1792" t="s">
        <v>1747</v>
      </c>
      <c r="H139" s="818">
        <v>105</v>
      </c>
      <c r="I139" s="1793" t="s">
        <v>1748</v>
      </c>
      <c r="J139" s="815">
        <v>20</v>
      </c>
      <c r="K139" s="819">
        <f>C145/(J139-2)</f>
        <v>4.0555555555555553E-3</v>
      </c>
    </row>
    <row r="140" spans="1:17" ht="15">
      <c r="B140" s="820">
        <v>5</v>
      </c>
      <c r="C140" s="821">
        <v>100</v>
      </c>
      <c r="D140" s="821"/>
      <c r="E140" s="822"/>
      <c r="F140" s="823">
        <v>102</v>
      </c>
      <c r="G140" s="821"/>
      <c r="H140" s="824"/>
      <c r="I140" s="1794" t="s">
        <v>1749</v>
      </c>
      <c r="J140" s="263">
        <f>ROUNDUP((J139-1)/2,0)</f>
        <v>10</v>
      </c>
      <c r="K140" s="825">
        <v>100</v>
      </c>
    </row>
    <row r="141" spans="1:17" ht="15">
      <c r="B141" s="820">
        <v>4</v>
      </c>
      <c r="C141" s="821">
        <v>102</v>
      </c>
      <c r="D141" s="821"/>
      <c r="E141" s="822"/>
      <c r="F141" s="823">
        <v>101.5</v>
      </c>
      <c r="G141" s="821"/>
      <c r="H141" s="824"/>
      <c r="I141" s="1794" t="s">
        <v>1750</v>
      </c>
      <c r="J141" s="263">
        <v>1</v>
      </c>
      <c r="K141" s="826">
        <f>ROUND(100+(J141-J140)*K139*100,1)</f>
        <v>96.4</v>
      </c>
    </row>
    <row r="142" spans="1:17" ht="15">
      <c r="B142" s="820">
        <v>3</v>
      </c>
      <c r="C142" s="821">
        <v>103</v>
      </c>
      <c r="D142" s="821"/>
      <c r="E142" s="822"/>
      <c r="F142" s="823">
        <v>101</v>
      </c>
      <c r="G142" s="821"/>
      <c r="H142" s="824"/>
      <c r="I142" s="1794" t="s">
        <v>1751</v>
      </c>
      <c r="J142" s="263">
        <f>J139</f>
        <v>20</v>
      </c>
      <c r="K142" s="827">
        <v>95</v>
      </c>
    </row>
    <row r="143" spans="1:17" ht="15">
      <c r="B143" s="820">
        <v>2</v>
      </c>
      <c r="C143" s="821">
        <v>100</v>
      </c>
      <c r="D143" s="821"/>
      <c r="E143" s="822"/>
      <c r="F143" s="823">
        <v>100.5</v>
      </c>
      <c r="G143" s="821"/>
      <c r="H143" s="824"/>
      <c r="I143" s="1794" t="s">
        <v>1752</v>
      </c>
      <c r="J143" s="821">
        <v>15</v>
      </c>
      <c r="K143" s="826">
        <f>ROUND(100+(J143-J140)*K139*100,1)</f>
        <v>102</v>
      </c>
    </row>
    <row r="144" spans="1:17" ht="15">
      <c r="B144" s="820">
        <v>1</v>
      </c>
      <c r="C144" s="821">
        <v>98</v>
      </c>
      <c r="D144" s="1795" t="s">
        <v>1753</v>
      </c>
      <c r="E144" s="822">
        <v>102</v>
      </c>
      <c r="F144" s="828">
        <v>100</v>
      </c>
      <c r="G144" s="1795" t="s">
        <v>1753</v>
      </c>
      <c r="H144" s="824">
        <v>105</v>
      </c>
      <c r="I144" s="1794" t="s">
        <v>1752</v>
      </c>
      <c r="J144" s="821">
        <v>18</v>
      </c>
      <c r="K144" s="826">
        <f>ROUND(100+(J144-J140)*K139*100,1)</f>
        <v>103.2</v>
      </c>
    </row>
    <row r="145" spans="2:11" ht="15.75" thickBot="1">
      <c r="B145" s="1796" t="s">
        <v>1754</v>
      </c>
      <c r="C145" s="829">
        <f>ROUND(MAX(C139:C144)/MIN(C139:C144)-1,3)</f>
        <v>7.2999999999999995E-2</v>
      </c>
      <c r="D145" s="830"/>
      <c r="E145" s="830"/>
      <c r="F145" s="1797" t="s">
        <v>1755</v>
      </c>
      <c r="G145" s="1798"/>
      <c r="H145" s="1799"/>
      <c r="I145" s="1800" t="s">
        <v>1752</v>
      </c>
      <c r="J145" s="831">
        <v>8</v>
      </c>
      <c r="K145" s="832">
        <f>ROUND(100+(J145-J140)*K139*100,1)</f>
        <v>99.2</v>
      </c>
    </row>
    <row r="147" spans="2:11">
      <c r="B147" s="1781" t="s">
        <v>1756</v>
      </c>
    </row>
    <row r="148" spans="2:11">
      <c r="B148" s="1781"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734" t="s">
        <v>1758</v>
      </c>
      <c r="C1" s="1155" t="s">
        <v>1654</v>
      </c>
      <c r="D1" s="1142"/>
      <c r="E1" s="3123"/>
      <c r="F1" s="1735"/>
      <c r="G1" s="1152" t="s">
        <v>1759</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1454</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1455</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1456</v>
      </c>
      <c r="B3" s="536">
        <f>IF(C2="——",C49,ROUND(B2*10000/D3,0))</f>
        <v>0</v>
      </c>
      <c r="C3" s="344" t="s">
        <v>1760</v>
      </c>
      <c r="D3" s="343">
        <f>IF(D1="",'数据-汇总表'!E3,SUMIF('数据-汇总表'!$C19:$C33,D1,'数据-汇总表'!$E19:$E33))</f>
        <v>10446.719999999999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398" t="s">
        <v>1767</v>
      </c>
      <c r="Q4" s="3399"/>
      <c r="R4" s="3404" t="s">
        <v>1763</v>
      </c>
      <c r="S4" s="3405"/>
      <c r="T4" s="3404" t="s">
        <v>1764</v>
      </c>
      <c r="U4" s="3405"/>
      <c r="V4" s="3391" t="s">
        <v>1765</v>
      </c>
      <c r="W4" s="3391"/>
      <c r="X4" s="1265"/>
      <c r="Y4" s="3404" t="s">
        <v>1767</v>
      </c>
      <c r="Z4" s="3405"/>
      <c r="AA4" s="3392" t="s">
        <v>1763</v>
      </c>
      <c r="AB4" s="3391" t="s">
        <v>1764</v>
      </c>
      <c r="AC4" s="3392" t="s">
        <v>1765</v>
      </c>
    </row>
    <row r="5" spans="1:29" ht="15">
      <c r="A5" s="348"/>
      <c r="B5" s="349"/>
      <c r="C5" s="3412" t="s">
        <v>1665</v>
      </c>
      <c r="D5" s="3413"/>
      <c r="E5" s="3419" t="s">
        <v>1666</v>
      </c>
      <c r="F5" s="3420"/>
      <c r="G5" s="3412" t="s">
        <v>1667</v>
      </c>
      <c r="H5" s="3413"/>
      <c r="I5" s="3412" t="s">
        <v>1668</v>
      </c>
      <c r="J5" s="3413"/>
      <c r="K5" s="537"/>
      <c r="L5" s="2485"/>
      <c r="M5" s="2486"/>
      <c r="N5" s="2486"/>
      <c r="O5" s="2486"/>
      <c r="P5" s="3400"/>
      <c r="Q5" s="3401"/>
      <c r="R5" s="3406"/>
      <c r="S5" s="3407"/>
      <c r="T5" s="3406"/>
      <c r="U5" s="3407"/>
      <c r="V5" s="3391"/>
      <c r="W5" s="3391"/>
      <c r="X5" s="1265"/>
      <c r="Y5" s="3406"/>
      <c r="Z5" s="3407"/>
      <c r="AA5" s="3393"/>
      <c r="AB5" s="3391"/>
      <c r="AC5" s="3393"/>
    </row>
    <row r="6" spans="1:29" ht="15.75" thickBot="1">
      <c r="A6" s="350"/>
      <c r="B6" s="351"/>
      <c r="C6" s="3410" t="s">
        <v>1669</v>
      </c>
      <c r="D6" s="3411"/>
      <c r="E6" s="3417" t="s">
        <v>1669</v>
      </c>
      <c r="F6" s="3418"/>
      <c r="G6" s="3410" t="s">
        <v>1669</v>
      </c>
      <c r="H6" s="3411"/>
      <c r="I6" s="3410" t="s">
        <v>1669</v>
      </c>
      <c r="J6" s="3411"/>
      <c r="K6" s="537" t="s">
        <v>1670</v>
      </c>
      <c r="L6" s="2485"/>
      <c r="M6" s="2486"/>
      <c r="N6" s="2486"/>
      <c r="O6" s="2486"/>
      <c r="P6" s="3402"/>
      <c r="Q6" s="3403"/>
      <c r="R6" s="3406"/>
      <c r="S6" s="3407"/>
      <c r="T6" s="3408"/>
      <c r="U6" s="3409"/>
      <c r="V6" s="3391"/>
      <c r="W6" s="3391"/>
      <c r="X6" s="1265"/>
      <c r="Y6" s="3408"/>
      <c r="Z6" s="3409"/>
      <c r="AA6" s="3394"/>
      <c r="AB6" s="3391"/>
      <c r="AC6" s="3394"/>
    </row>
    <row r="7" spans="1:29" s="102" customFormat="1" ht="15.75" thickBot="1">
      <c r="A7" s="352" t="s">
        <v>1671</v>
      </c>
      <c r="B7" s="353"/>
      <c r="C7" s="354">
        <f>'数据-取费表'!B2</f>
        <v>45719</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4" t="s">
        <v>1672</v>
      </c>
      <c r="Q7" s="3416"/>
      <c r="R7" s="664" t="s">
        <v>14</v>
      </c>
      <c r="S7" s="665">
        <f t="shared" ref="S7:S15" si="0">F7</f>
        <v>0</v>
      </c>
      <c r="T7" s="664" t="s">
        <v>14</v>
      </c>
      <c r="U7" s="665">
        <f t="shared" ref="U7:U15" si="1">H7</f>
        <v>0</v>
      </c>
      <c r="V7" s="664" t="s">
        <v>14</v>
      </c>
      <c r="W7" s="665">
        <f t="shared" ref="W7:W15" si="2">J7</f>
        <v>0</v>
      </c>
      <c r="X7" s="666"/>
      <c r="Y7" s="3414" t="s">
        <v>1672</v>
      </c>
      <c r="Z7" s="3415"/>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4" t="s">
        <v>1675</v>
      </c>
      <c r="Q8" s="3415"/>
      <c r="R8" s="664" t="s">
        <v>14</v>
      </c>
      <c r="S8" s="665">
        <f t="shared" si="0"/>
        <v>100</v>
      </c>
      <c r="T8" s="664" t="s">
        <v>14</v>
      </c>
      <c r="U8" s="665">
        <f t="shared" si="1"/>
        <v>100</v>
      </c>
      <c r="V8" s="664" t="s">
        <v>14</v>
      </c>
      <c r="W8" s="665">
        <f t="shared" si="2"/>
        <v>100</v>
      </c>
      <c r="X8" s="666"/>
      <c r="Y8" s="3414" t="s">
        <v>1675</v>
      </c>
      <c r="Z8" s="3415"/>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5" t="s">
        <v>1678</v>
      </c>
      <c r="Q9" s="530" t="str">
        <f t="shared" ref="Q9:Q15" si="6">B9</f>
        <v>用途</v>
      </c>
      <c r="R9" s="664" t="s">
        <v>14</v>
      </c>
      <c r="S9" s="665">
        <f t="shared" si="0"/>
        <v>100</v>
      </c>
      <c r="T9" s="664" t="s">
        <v>14</v>
      </c>
      <c r="U9" s="665">
        <f t="shared" si="1"/>
        <v>100</v>
      </c>
      <c r="V9" s="664" t="s">
        <v>14</v>
      </c>
      <c r="W9" s="665">
        <f t="shared" si="2"/>
        <v>100</v>
      </c>
      <c r="X9" s="666"/>
      <c r="Y9" s="3283"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5"/>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71.25">
      <c r="A15" s="379" t="s">
        <v>1682</v>
      </c>
      <c r="B15" s="58" t="s">
        <v>1769</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72" t="s">
        <v>1683</v>
      </c>
      <c r="Q15" s="1263" t="str">
        <f t="shared" si="6"/>
        <v>商业繁华度</v>
      </c>
      <c r="R15" s="667" t="s">
        <v>14</v>
      </c>
      <c r="S15" s="668">
        <f t="shared" si="0"/>
        <v>100</v>
      </c>
      <c r="T15" s="667" t="s">
        <v>14</v>
      </c>
      <c r="U15" s="668">
        <f t="shared" si="1"/>
        <v>100</v>
      </c>
      <c r="V15" s="667" t="s">
        <v>14</v>
      </c>
      <c r="W15" s="668">
        <f t="shared" si="2"/>
        <v>100</v>
      </c>
      <c r="X15" s="1265"/>
      <c r="Y15" s="3387" t="s">
        <v>1683</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73"/>
      <c r="Q16" s="1263"/>
      <c r="R16" s="667"/>
      <c r="S16" s="668"/>
      <c r="T16" s="667"/>
      <c r="U16" s="668"/>
      <c r="V16" s="667"/>
      <c r="W16" s="668"/>
      <c r="X16" s="1265"/>
      <c r="Y16" s="3388"/>
      <c r="Z16" s="1264"/>
      <c r="AA16" s="1264">
        <v>1</v>
      </c>
      <c r="AB16" s="1264">
        <v>1</v>
      </c>
      <c r="AC16" s="1264">
        <v>1</v>
      </c>
    </row>
    <row r="17" spans="1:29" ht="85.5">
      <c r="A17" s="367"/>
      <c r="B17" s="390" t="s">
        <v>1253</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73"/>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73"/>
      <c r="Q18" s="1263"/>
      <c r="R18" s="667"/>
      <c r="S18" s="668"/>
      <c r="T18" s="667"/>
      <c r="U18" s="668"/>
      <c r="V18" s="667"/>
      <c r="W18" s="668"/>
      <c r="X18" s="1265"/>
      <c r="Y18" s="3388"/>
      <c r="Z18" s="1264"/>
      <c r="AA18" s="1264">
        <v>1</v>
      </c>
      <c r="AB18" s="1264">
        <v>1</v>
      </c>
      <c r="AC18" s="1264">
        <v>1</v>
      </c>
    </row>
    <row r="19" spans="1:29" ht="42.75">
      <c r="A19" s="367"/>
      <c r="B19" s="390" t="s">
        <v>1770</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73"/>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73"/>
      <c r="Q20" s="1263"/>
      <c r="R20" s="667"/>
      <c r="S20" s="668"/>
      <c r="T20" s="667"/>
      <c r="U20" s="668"/>
      <c r="V20" s="667"/>
      <c r="W20" s="668"/>
      <c r="X20" s="1265"/>
      <c r="Y20" s="3388"/>
      <c r="Z20" s="1264"/>
      <c r="AA20" s="1264">
        <v>1</v>
      </c>
      <c r="AB20" s="1264">
        <v>1</v>
      </c>
      <c r="AC20" s="1264">
        <v>1</v>
      </c>
    </row>
    <row r="21" spans="1:29" ht="28.5">
      <c r="A21" s="367"/>
      <c r="B21" s="586" t="s">
        <v>1771</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73"/>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73"/>
      <c r="Q22" s="1263"/>
      <c r="R22" s="667"/>
      <c r="S22" s="668"/>
      <c r="T22" s="667"/>
      <c r="U22" s="668"/>
      <c r="V22" s="667"/>
      <c r="W22" s="668"/>
      <c r="X22" s="1265"/>
      <c r="Y22" s="3388"/>
      <c r="Z22" s="1264"/>
      <c r="AA22" s="1264">
        <v>1</v>
      </c>
      <c r="AB22" s="1264">
        <v>1</v>
      </c>
      <c r="AC22" s="1264">
        <v>1</v>
      </c>
    </row>
    <row r="23" spans="1:29" ht="57">
      <c r="A23" s="367"/>
      <c r="B23" s="390" t="s">
        <v>1255</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73"/>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73"/>
      <c r="Q24" s="1263"/>
      <c r="R24" s="667"/>
      <c r="S24" s="668"/>
      <c r="T24" s="667"/>
      <c r="U24" s="668"/>
      <c r="V24" s="667"/>
      <c r="W24" s="668"/>
      <c r="X24" s="1265"/>
      <c r="Y24" s="3388"/>
      <c r="Z24" s="1264"/>
      <c r="AA24" s="1264">
        <v>1</v>
      </c>
      <c r="AB24" s="1264">
        <v>1</v>
      </c>
      <c r="AC24" s="1264">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73"/>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1773</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73"/>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1774</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73"/>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7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73"/>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73"/>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73"/>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1686</v>
      </c>
      <c r="B32" s="60" t="s">
        <v>1776</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68" t="s">
        <v>1688</v>
      </c>
      <c r="Q32" s="1263" t="str">
        <f t="shared" si="11"/>
        <v>商业类型</v>
      </c>
      <c r="R32" s="667" t="s">
        <v>14</v>
      </c>
      <c r="S32" s="668">
        <f t="shared" si="12"/>
        <v>100</v>
      </c>
      <c r="T32" s="667" t="s">
        <v>14</v>
      </c>
      <c r="U32" s="668">
        <f t="shared" si="13"/>
        <v>100</v>
      </c>
      <c r="V32" s="667" t="s">
        <v>14</v>
      </c>
      <c r="W32" s="668">
        <f t="shared" si="14"/>
        <v>100</v>
      </c>
      <c r="X32" s="1265"/>
      <c r="Y32" s="3390" t="s">
        <v>1688</v>
      </c>
      <c r="Z32" s="1264" t="str">
        <f t="shared" si="15"/>
        <v>商业类型</v>
      </c>
      <c r="AA32" s="1264">
        <f t="shared" si="3"/>
        <v>1</v>
      </c>
      <c r="AB32" s="1264">
        <f t="shared" si="4"/>
        <v>1</v>
      </c>
      <c r="AC32" s="1264">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69"/>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4" t="e">
        <f t="shared" si="3"/>
        <v>#N/A</v>
      </c>
      <c r="AB33" s="1264" t="e">
        <f t="shared" si="4"/>
        <v>#N/A</v>
      </c>
      <c r="AC33" s="1264"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69"/>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1777</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69"/>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69"/>
      <c r="Q36" s="1263" t="str">
        <f t="shared" si="11"/>
        <v>成新度</v>
      </c>
      <c r="R36" s="667" t="s">
        <v>14</v>
      </c>
      <c r="S36" s="668" t="e">
        <f t="shared" si="12"/>
        <v>#N/A</v>
      </c>
      <c r="T36" s="667" t="s">
        <v>14</v>
      </c>
      <c r="U36" s="668" t="e">
        <f t="shared" si="13"/>
        <v>#N/A</v>
      </c>
      <c r="V36" s="667" t="s">
        <v>14</v>
      </c>
      <c r="W36" s="668" t="e">
        <f t="shared" si="14"/>
        <v>#N/A</v>
      </c>
      <c r="X36" s="1265"/>
      <c r="Y36" s="3390"/>
      <c r="Z36" s="1264" t="str">
        <f t="shared" si="15"/>
        <v>成新度</v>
      </c>
      <c r="AA36" s="1264" t="e">
        <f t="shared" si="3"/>
        <v>#N/A</v>
      </c>
      <c r="AB36" s="1264" t="e">
        <f t="shared" si="4"/>
        <v>#N/A</v>
      </c>
      <c r="AC36" s="1264" t="e">
        <f t="shared" si="5"/>
        <v>#N/A</v>
      </c>
    </row>
    <row r="37" spans="1:29" s="102" customFormat="1" ht="15">
      <c r="A37" s="410"/>
      <c r="B37" s="364" t="s">
        <v>1779</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69"/>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1780</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69" t="s">
        <v>1688</v>
      </c>
      <c r="Q38" s="1263" t="str">
        <f t="shared" si="11"/>
        <v>业态</v>
      </c>
      <c r="R38" s="667" t="s">
        <v>14</v>
      </c>
      <c r="S38" s="668">
        <f t="shared" si="12"/>
        <v>100</v>
      </c>
      <c r="T38" s="667" t="s">
        <v>14</v>
      </c>
      <c r="U38" s="668">
        <f t="shared" si="13"/>
        <v>100</v>
      </c>
      <c r="V38" s="667" t="s">
        <v>14</v>
      </c>
      <c r="W38" s="668">
        <f t="shared" si="14"/>
        <v>100</v>
      </c>
      <c r="X38" s="1265"/>
      <c r="Y38" s="3390" t="s">
        <v>1688</v>
      </c>
      <c r="Z38" s="1264" t="str">
        <f t="shared" si="15"/>
        <v>业态</v>
      </c>
      <c r="AA38" s="1264">
        <f t="shared" si="3"/>
        <v>1</v>
      </c>
      <c r="AB38" s="1264">
        <f t="shared" si="4"/>
        <v>1</v>
      </c>
      <c r="AC38" s="1264">
        <f t="shared" si="5"/>
        <v>1</v>
      </c>
    </row>
    <row r="39" spans="1:29" ht="15">
      <c r="A39" s="409"/>
      <c r="B39" s="364" t="s">
        <v>1781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69"/>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69"/>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69"/>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1784</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69"/>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15">
      <c r="A43" s="409"/>
      <c r="B43" s="364" t="s">
        <v>1699</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69"/>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69"/>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69"/>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70"/>
      <c r="Q46" s="1263">
        <f t="shared" si="11"/>
        <v>111</v>
      </c>
      <c r="R46" s="667" t="s">
        <v>14</v>
      </c>
      <c r="S46" s="668">
        <f t="shared" si="12"/>
        <v>100</v>
      </c>
      <c r="T46" s="667" t="s">
        <v>14</v>
      </c>
      <c r="U46" s="668">
        <f t="shared" si="13"/>
        <v>100</v>
      </c>
      <c r="V46" s="667" t="s">
        <v>14</v>
      </c>
      <c r="W46" s="668">
        <f t="shared" si="14"/>
        <v>100</v>
      </c>
      <c r="X46" s="1265"/>
      <c r="Y46" s="3471"/>
      <c r="Z46" s="1264">
        <f t="shared" si="15"/>
        <v>111</v>
      </c>
      <c r="AA46" s="1264">
        <f t="shared" si="3"/>
        <v>1</v>
      </c>
      <c r="AB46" s="1264">
        <f t="shared" si="4"/>
        <v>1</v>
      </c>
      <c r="AC46" s="1264">
        <f t="shared" si="5"/>
        <v>1</v>
      </c>
    </row>
    <row r="47" spans="1:29" ht="15">
      <c r="A47" s="416" t="s">
        <v>1700</v>
      </c>
      <c r="B47" s="417"/>
      <c r="C47" s="1081" t="s">
        <v>0</v>
      </c>
      <c r="D47" s="418"/>
      <c r="E47" s="419"/>
      <c r="F47" s="420"/>
      <c r="G47" s="421"/>
      <c r="H47" s="422"/>
      <c r="I47" s="419"/>
      <c r="J47" s="422"/>
      <c r="K47" s="674"/>
      <c r="L47" s="2493"/>
      <c r="M47" s="2486"/>
      <c r="N47" s="2486"/>
      <c r="O47" s="2486"/>
      <c r="P47" s="3386" t="str">
        <f>A47</f>
        <v>成交单价（元/平方米）</v>
      </c>
      <c r="Q47" s="3386"/>
      <c r="R47" s="3391">
        <f>E47</f>
        <v>0</v>
      </c>
      <c r="S47" s="3391"/>
      <c r="T47" s="3391">
        <f>G47</f>
        <v>0</v>
      </c>
      <c r="U47" s="3391"/>
      <c r="V47" s="3391">
        <f>I47</f>
        <v>0</v>
      </c>
      <c r="W47" s="3391"/>
      <c r="X47" s="385"/>
      <c r="Y47" s="673"/>
      <c r="Z47" s="385"/>
      <c r="AA47" s="385"/>
      <c r="AB47" s="385"/>
      <c r="AC47" s="385"/>
    </row>
    <row r="48" spans="1:29" ht="15.75" thickBot="1">
      <c r="A48" s="423" t="s">
        <v>1785</v>
      </c>
      <c r="B48" s="424"/>
      <c r="C48" s="1082" t="e">
        <f>R49</f>
        <v>#DIV/0!</v>
      </c>
      <c r="D48" s="2141" t="s">
        <v>2128</v>
      </c>
      <c r="E48" s="1083" t="e">
        <f>R48</f>
        <v>#DIV/0!</v>
      </c>
      <c r="F48" s="2142"/>
      <c r="G48" s="1082" t="e">
        <f>T48</f>
        <v>#DIV/0!</v>
      </c>
      <c r="H48" s="2142"/>
      <c r="I48" s="1083" t="e">
        <f>V48</f>
        <v>#DIV/0!</v>
      </c>
      <c r="J48" s="2142"/>
      <c r="K48" s="2144">
        <f>F48+H48+J48</f>
        <v>0</v>
      </c>
      <c r="L48" s="2493"/>
      <c r="M48" s="2486"/>
      <c r="N48" s="2486"/>
      <c r="O48" s="2486"/>
      <c r="P48" s="3386" t="str">
        <f>A48</f>
        <v>比较价值（元/平方米）</v>
      </c>
      <c r="Q48" s="338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3"/>
      <c r="M49" s="2486"/>
      <c r="N49" s="2486"/>
      <c r="O49" s="2486"/>
      <c r="P49" s="3380" t="str">
        <f>A49</f>
        <v>估价对象XX用房的比较价值（楼面单价，元/平方米）</v>
      </c>
      <c r="Q49" s="3381"/>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1790</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1671</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1708</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1673</v>
      </c>
      <c r="B61" s="444"/>
      <c r="C61" s="456" t="s">
        <v>1768</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1711</v>
      </c>
      <c r="B63" s="460" t="s">
        <v>1677</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1680</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1682</v>
      </c>
      <c r="B76" s="460" t="s">
        <v>1712</v>
      </c>
      <c r="C76" s="504" t="s">
        <v>1713</v>
      </c>
      <c r="D76" s="504" t="s">
        <v>1714</v>
      </c>
      <c r="E76" s="504" t="s">
        <v>1715</v>
      </c>
      <c r="F76" s="504" t="s">
        <v>1716</v>
      </c>
      <c r="G76" s="504" t="s">
        <v>1717</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1718</v>
      </c>
      <c r="C78" s="509" t="s">
        <v>1713</v>
      </c>
      <c r="D78" s="509" t="s">
        <v>1714</v>
      </c>
      <c r="E78" s="509" t="s">
        <v>1715</v>
      </c>
      <c r="F78" s="509" t="s">
        <v>1716</v>
      </c>
      <c r="G78" s="509" t="s">
        <v>1717</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1719</v>
      </c>
      <c r="C80" s="509" t="s">
        <v>1713</v>
      </c>
      <c r="D80" s="509" t="s">
        <v>1714</v>
      </c>
      <c r="E80" s="509" t="s">
        <v>1715</v>
      </c>
      <c r="F80" s="509" t="s">
        <v>1716</v>
      </c>
      <c r="G80" s="509" t="s">
        <v>1717</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1771</v>
      </c>
      <c r="C82" s="581" t="s">
        <v>1791</v>
      </c>
      <c r="D82" s="581" t="s">
        <v>1792</v>
      </c>
      <c r="E82" s="581" t="s">
        <v>1793</v>
      </c>
      <c r="F82" s="581" t="s">
        <v>1794</v>
      </c>
      <c r="G82" s="581" t="s">
        <v>1795</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1725</v>
      </c>
      <c r="C84" s="509" t="s">
        <v>1713</v>
      </c>
      <c r="D84" s="509" t="s">
        <v>1714</v>
      </c>
      <c r="E84" s="509" t="s">
        <v>1715</v>
      </c>
      <c r="F84" s="509" t="s">
        <v>1716</v>
      </c>
      <c r="G84" s="509" t="s">
        <v>1717</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1796</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1686</v>
      </c>
      <c r="B100" s="460" t="s">
        <v>1797</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1730</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1732</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1734</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1798</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1799</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1800</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1801</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1736</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892</v>
      </c>
    </row>
    <row r="3" spans="1:1" ht="18">
      <c r="A3" s="1381" t="str">
        <f>项目基本情况!B5&amp;"："</f>
        <v>：</v>
      </c>
    </row>
    <row r="4" spans="1:1" ht="36">
      <c r="A4" s="1382" t="str">
        <f>"受贵公司委托，我公司对"&amp;项目基本情况!S1&amp;"进行了预评估。"</f>
        <v>受贵公司委托，我公司对北京市大兴区半壁店绿茵度假公寓1幢1-7层全部其他用房房地产抵押价值进行了预评估。</v>
      </c>
    </row>
    <row r="5" spans="1:1" ht="18.75">
      <c r="A5" s="1383" t="s">
        <v>893</v>
      </c>
    </row>
    <row r="6" spans="1:1" ht="18.75">
      <c r="A6" s="1384" t="s">
        <v>894</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估价对象为北京市大兴区半壁店绿茵度假公寓1幢1-7层全部其他用房房地产，为所有。根据《国有土地使用证》[]，估价对象（分摊）出让国有建设用地使用权面积为0平方米，建筑面积为10446.72平方米。</v>
      </c>
    </row>
    <row r="8" spans="1:1" ht="57.75">
      <c r="A8" s="1385" t="s">
        <v>895</v>
      </c>
    </row>
    <row r="9" spans="1:1" ht="18.75">
      <c r="A9" s="1384" t="s">
        <v>896</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半壁店绿茵度假公寓1幢1-7层全部其他用房房地产,属开发建设的综合项目（商业、办公），该项目尚在开发建设中。根据《国有土地使用证》[]，估价对象（分摊）出让国有建设用地使用权面积为0平方米，规划建筑面积为10446.72平方米。</v>
      </c>
    </row>
    <row r="11" spans="1:1" ht="76.5">
      <c r="A11" s="1385" t="s">
        <v>897</v>
      </c>
    </row>
    <row r="12" spans="1:1" ht="18.75">
      <c r="A12" s="1383" t="s">
        <v>898</v>
      </c>
    </row>
    <row r="13" spans="1:1" ht="38.25" customHeight="1">
      <c r="A13" s="1382" t="str">
        <f>IF(项目基本情况!B8="抵押",IF(项目基本情况!B5=项目基本情况!B6,定义!C51,定义!B51),定义!D51)</f>
        <v>拟使用北京市大兴区半壁店绿茵度假公寓1幢1-7层全部其他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899</v>
      </c>
    </row>
    <row r="15" spans="1:1" ht="18">
      <c r="A15" s="1386" t="str">
        <f>TEXT(项目基本情况!D3,"yyyy年m月d日;;")&amp;IF(项目基本情况!D3=项目基本情况!B3,"（评估专业人员实地查勘之日）","")</f>
        <v>2025年3月3日（评估专业人员实地查勘之日）</v>
      </c>
    </row>
    <row r="16" spans="1:1" ht="18.75">
      <c r="A16" s="1381" t="s">
        <v>900</v>
      </c>
    </row>
    <row r="17" spans="1:1" ht="75">
      <c r="A17" s="1382" t="s">
        <v>901</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890</v>
      </c>
    </row>
    <row r="24" spans="1:1" ht="18">
      <c r="A24" s="1387" t="str">
        <f>"本次评估采用的主估价方法为"&amp;结果表!K4&amp;"和"&amp;结果表!L4&amp;"。"</f>
        <v>本次评估采用的主估价方法为成本法和收益法。</v>
      </c>
    </row>
    <row r="25" spans="1:1" ht="18">
      <c r="A25" s="1387"/>
    </row>
    <row r="26" spans="1:1" ht="18.75">
      <c r="A26" s="1388"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808" t="s">
        <v>1802</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1455</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0</v>
      </c>
      <c r="C3" s="344" t="s">
        <v>1760</v>
      </c>
      <c r="D3" s="343">
        <f>IF(D1="",'数据-汇总表'!E3,SUMIF('数据-汇总表'!$C19:$C33,D1,'数据-汇总表'!$E19:$E33))</f>
        <v>10446.719999999999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480" t="s">
        <v>1767</v>
      </c>
      <c r="Q4" s="3481"/>
      <c r="R4" s="3484" t="s">
        <v>1763</v>
      </c>
      <c r="S4" s="3485"/>
      <c r="T4" s="3484" t="s">
        <v>1764</v>
      </c>
      <c r="U4" s="3485"/>
      <c r="V4" s="3486" t="s">
        <v>1765</v>
      </c>
      <c r="W4" s="3486"/>
      <c r="X4" s="1809"/>
      <c r="Y4" s="3484" t="s">
        <v>1767</v>
      </c>
      <c r="Z4" s="3485"/>
      <c r="AA4" s="3488" t="s">
        <v>1763</v>
      </c>
      <c r="AB4" s="3488" t="s">
        <v>1764</v>
      </c>
      <c r="AC4" s="3477" t="s">
        <v>1765</v>
      </c>
    </row>
    <row r="5" spans="1:29" ht="15">
      <c r="A5" s="348"/>
      <c r="B5" s="349"/>
      <c r="C5" s="3412" t="s">
        <v>1665</v>
      </c>
      <c r="D5" s="3413"/>
      <c r="E5" s="3419" t="s">
        <v>1666</v>
      </c>
      <c r="F5" s="3420"/>
      <c r="G5" s="3412" t="s">
        <v>1667</v>
      </c>
      <c r="H5" s="3413"/>
      <c r="I5" s="3412" t="s">
        <v>1668</v>
      </c>
      <c r="J5" s="3413"/>
      <c r="K5" s="537"/>
      <c r="L5" s="2485"/>
      <c r="M5" s="2486"/>
      <c r="N5" s="2486"/>
      <c r="O5" s="2486"/>
      <c r="P5" s="3482"/>
      <c r="Q5" s="3401"/>
      <c r="R5" s="3406"/>
      <c r="S5" s="3407"/>
      <c r="T5" s="3406"/>
      <c r="U5" s="3407"/>
      <c r="V5" s="3391"/>
      <c r="W5" s="3391"/>
      <c r="X5" s="1265"/>
      <c r="Y5" s="3406"/>
      <c r="Z5" s="3407"/>
      <c r="AA5" s="3393"/>
      <c r="AB5" s="3393"/>
      <c r="AC5" s="3478"/>
    </row>
    <row r="6" spans="1:29" ht="15.75" thickBot="1">
      <c r="A6" s="350"/>
      <c r="B6" s="351"/>
      <c r="C6" s="3410" t="s">
        <v>1669</v>
      </c>
      <c r="D6" s="3411"/>
      <c r="E6" s="3417" t="s">
        <v>1669</v>
      </c>
      <c r="F6" s="3418"/>
      <c r="G6" s="3410" t="s">
        <v>1669</v>
      </c>
      <c r="H6" s="3411"/>
      <c r="I6" s="3410" t="s">
        <v>1669</v>
      </c>
      <c r="J6" s="3411"/>
      <c r="K6" s="537" t="s">
        <v>1670</v>
      </c>
      <c r="L6" s="2485"/>
      <c r="M6" s="2486"/>
      <c r="N6" s="2486"/>
      <c r="O6" s="2486"/>
      <c r="P6" s="3483"/>
      <c r="Q6" s="3403"/>
      <c r="R6" s="3406"/>
      <c r="S6" s="3407"/>
      <c r="T6" s="3408"/>
      <c r="U6" s="3409"/>
      <c r="V6" s="3391"/>
      <c r="W6" s="3391"/>
      <c r="X6" s="1265"/>
      <c r="Y6" s="3408"/>
      <c r="Z6" s="3409"/>
      <c r="AA6" s="3394"/>
      <c r="AB6" s="3394"/>
      <c r="AC6" s="3479"/>
    </row>
    <row r="7" spans="1:29" s="102" customFormat="1" ht="15.75" thickBot="1">
      <c r="A7" s="352" t="s">
        <v>1671</v>
      </c>
      <c r="B7" s="353"/>
      <c r="C7" s="354">
        <f>'数据-取费表'!B2</f>
        <v>45719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87" t="s">
        <v>1672</v>
      </c>
      <c r="Q7" s="3416"/>
      <c r="R7" s="664" t="s">
        <v>14</v>
      </c>
      <c r="S7" s="665">
        <f t="shared" ref="S7:S15" si="0">F7</f>
        <v>0</v>
      </c>
      <c r="T7" s="664" t="s">
        <v>14</v>
      </c>
      <c r="U7" s="665">
        <f t="shared" ref="U7:U15" si="1">H7</f>
        <v>0</v>
      </c>
      <c r="V7" s="664" t="s">
        <v>14</v>
      </c>
      <c r="W7" s="665">
        <f t="shared" ref="W7:W15" si="2">J7</f>
        <v>0</v>
      </c>
      <c r="X7" s="666"/>
      <c r="Y7" s="3414" t="s">
        <v>1672</v>
      </c>
      <c r="Z7" s="3415"/>
      <c r="AA7" s="50" t="e">
        <f>D7/F7</f>
        <v>#DIV/0!</v>
      </c>
      <c r="AB7" s="50" t="e">
        <f>D7/H7</f>
        <v>#DIV/0!</v>
      </c>
      <c r="AC7" s="802" t="e">
        <f>D7/J7</f>
        <v>#DIV/0!</v>
      </c>
    </row>
    <row r="8" spans="1:29" s="102" customFormat="1" ht="15.75" thickBot="1">
      <c r="A8" s="352" t="s">
        <v>1673</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87" t="s">
        <v>1675</v>
      </c>
      <c r="Q8" s="3415"/>
      <c r="R8" s="664" t="s">
        <v>14</v>
      </c>
      <c r="S8" s="665">
        <f t="shared" si="0"/>
        <v>100</v>
      </c>
      <c r="T8" s="664" t="s">
        <v>14</v>
      </c>
      <c r="U8" s="665">
        <f t="shared" si="1"/>
        <v>100</v>
      </c>
      <c r="V8" s="664" t="s">
        <v>14</v>
      </c>
      <c r="W8" s="665">
        <f t="shared" si="2"/>
        <v>100</v>
      </c>
      <c r="X8" s="666"/>
      <c r="Y8" s="3414" t="s">
        <v>1675</v>
      </c>
      <c r="Z8" s="3415"/>
      <c r="AA8" s="50">
        <f t="shared" ref="AA8:AA47" si="3">D8/F8</f>
        <v>1</v>
      </c>
      <c r="AB8" s="50">
        <f t="shared" ref="AB8:AB47" si="4">D8/H8</f>
        <v>1</v>
      </c>
      <c r="AC8" s="802">
        <f t="shared" ref="AC8:AC47" si="5">D8/J8</f>
        <v>1</v>
      </c>
    </row>
    <row r="9" spans="1:29" s="102" customFormat="1">
      <c r="A9" s="359" t="s">
        <v>1676</v>
      </c>
      <c r="B9" s="60" t="s">
        <v>1677</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5" t="s">
        <v>1678</v>
      </c>
      <c r="Q9" s="530" t="str">
        <f t="shared" ref="Q9:Q15" si="6">B9</f>
        <v>用途</v>
      </c>
      <c r="R9" s="664" t="s">
        <v>14</v>
      </c>
      <c r="S9" s="665">
        <f t="shared" si="0"/>
        <v>100</v>
      </c>
      <c r="T9" s="664" t="s">
        <v>14</v>
      </c>
      <c r="U9" s="665">
        <f t="shared" si="1"/>
        <v>100</v>
      </c>
      <c r="V9" s="664" t="s">
        <v>14</v>
      </c>
      <c r="W9" s="665">
        <f t="shared" si="2"/>
        <v>100</v>
      </c>
      <c r="X9" s="666"/>
      <c r="Y9" s="3283" t="s">
        <v>1679</v>
      </c>
      <c r="Z9" s="50" t="str">
        <f t="shared" ref="Z9:Z15" si="7">Q9</f>
        <v>用途</v>
      </c>
      <c r="AA9" s="50">
        <f t="shared" si="3"/>
        <v>1</v>
      </c>
      <c r="AB9" s="50">
        <f t="shared" si="4"/>
        <v>1</v>
      </c>
      <c r="AC9" s="802">
        <f t="shared" si="5"/>
        <v>1</v>
      </c>
    </row>
    <row r="10" spans="1:29" s="366" customFormat="1" ht="27">
      <c r="A10" s="363"/>
      <c r="B10" s="364" t="s">
        <v>1680</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802">
        <f t="shared" si="5"/>
        <v>1</v>
      </c>
    </row>
    <row r="11" spans="1:29" ht="15">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802">
        <f t="shared" si="5"/>
        <v>1</v>
      </c>
    </row>
    <row r="15" spans="1:29" ht="71.25">
      <c r="A15" s="379" t="s">
        <v>1682</v>
      </c>
      <c r="B15" s="554" t="s">
        <v>1803</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72" t="s">
        <v>1683</v>
      </c>
      <c r="Q15" s="1263" t="str">
        <f t="shared" si="6"/>
        <v>办公集聚程度</v>
      </c>
      <c r="R15" s="667" t="s">
        <v>14</v>
      </c>
      <c r="S15" s="668">
        <f t="shared" si="0"/>
        <v>100</v>
      </c>
      <c r="T15" s="667" t="s">
        <v>14</v>
      </c>
      <c r="U15" s="668">
        <f t="shared" si="1"/>
        <v>100</v>
      </c>
      <c r="V15" s="667" t="s">
        <v>14</v>
      </c>
      <c r="W15" s="668">
        <f t="shared" si="2"/>
        <v>100</v>
      </c>
      <c r="X15" s="1265"/>
      <c r="Y15" s="3387" t="s">
        <v>1683</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73"/>
      <c r="Q16" s="1263"/>
      <c r="R16" s="667"/>
      <c r="S16" s="668"/>
      <c r="T16" s="667"/>
      <c r="U16" s="668"/>
      <c r="V16" s="667"/>
      <c r="W16" s="668"/>
      <c r="X16" s="1265"/>
      <c r="Y16" s="3388"/>
      <c r="Z16" s="1264"/>
      <c r="AA16" s="1264">
        <v>1</v>
      </c>
      <c r="AB16" s="1264">
        <v>1</v>
      </c>
      <c r="AC16" s="1812">
        <v>1</v>
      </c>
    </row>
    <row r="17" spans="1:29" ht="71.25">
      <c r="A17" s="367"/>
      <c r="B17" s="556" t="s">
        <v>1253</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73"/>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73"/>
      <c r="Q18" s="1263"/>
      <c r="R18" s="667"/>
      <c r="S18" s="668"/>
      <c r="T18" s="667"/>
      <c r="U18" s="668"/>
      <c r="V18" s="667"/>
      <c r="W18" s="668"/>
      <c r="X18" s="1265"/>
      <c r="Y18" s="3388"/>
      <c r="Z18" s="1264"/>
      <c r="AA18" s="1264">
        <v>1</v>
      </c>
      <c r="AB18" s="1264">
        <v>1</v>
      </c>
      <c r="AC18" s="1812">
        <v>1</v>
      </c>
    </row>
    <row r="19" spans="1:29" ht="42.75">
      <c r="A19" s="367"/>
      <c r="B19" s="556" t="s">
        <v>1804</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73"/>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73"/>
      <c r="Q20" s="1263"/>
      <c r="R20" s="667"/>
      <c r="S20" s="668"/>
      <c r="T20" s="667"/>
      <c r="U20" s="668"/>
      <c r="V20" s="667"/>
      <c r="W20" s="668"/>
      <c r="X20" s="1265"/>
      <c r="Y20" s="3388"/>
      <c r="Z20" s="1264"/>
      <c r="AA20" s="1264">
        <v>1</v>
      </c>
      <c r="AB20" s="1264">
        <v>1</v>
      </c>
      <c r="AC20" s="1812">
        <v>1</v>
      </c>
    </row>
    <row r="21" spans="1:29" ht="28.5">
      <c r="A21" s="367"/>
      <c r="B21" s="557" t="s">
        <v>1805</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73"/>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73"/>
      <c r="Q22" s="1263"/>
      <c r="R22" s="667"/>
      <c r="S22" s="668"/>
      <c r="T22" s="667"/>
      <c r="U22" s="668"/>
      <c r="V22" s="667"/>
      <c r="W22" s="668"/>
      <c r="X22" s="1265"/>
      <c r="Y22" s="3388"/>
      <c r="Z22" s="1264"/>
      <c r="AA22" s="1264">
        <v>1</v>
      </c>
      <c r="AB22" s="1264">
        <v>1</v>
      </c>
      <c r="AC22" s="1812">
        <v>1</v>
      </c>
    </row>
    <row r="23" spans="1:29" ht="42.75">
      <c r="A23" s="367"/>
      <c r="B23" s="556" t="s">
        <v>1806</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73"/>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73"/>
      <c r="Q24" s="1263"/>
      <c r="R24" s="667"/>
      <c r="S24" s="668"/>
      <c r="T24" s="667"/>
      <c r="U24" s="668"/>
      <c r="V24" s="667"/>
      <c r="W24" s="668"/>
      <c r="X24" s="1265"/>
      <c r="Y24" s="3388"/>
      <c r="Z24" s="1264"/>
      <c r="AA24" s="1264">
        <v>1</v>
      </c>
      <c r="AB24" s="1264">
        <v>1</v>
      </c>
      <c r="AC24" s="1812">
        <v>1</v>
      </c>
    </row>
    <row r="25" spans="1:29" ht="27">
      <c r="A25" s="348"/>
      <c r="B25" s="556" t="s">
        <v>1807</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73"/>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73"/>
      <c r="Q26" s="1263"/>
      <c r="R26" s="667"/>
      <c r="S26" s="668"/>
      <c r="T26" s="667"/>
      <c r="U26" s="668"/>
      <c r="V26" s="667"/>
      <c r="W26" s="668"/>
      <c r="X26" s="1265"/>
      <c r="Y26" s="3388"/>
      <c r="Z26" s="1264"/>
      <c r="AA26" s="1264">
        <v>1</v>
      </c>
      <c r="AB26" s="1264">
        <v>1</v>
      </c>
      <c r="AC26" s="1812">
        <v>1</v>
      </c>
    </row>
    <row r="27" spans="1:29" ht="15">
      <c r="A27" s="367"/>
      <c r="B27" s="401" t="s">
        <v>1775</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73"/>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1808</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73"/>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73"/>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73"/>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73"/>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73"/>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1686</v>
      </c>
      <c r="B33" s="60" t="s">
        <v>1809</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68" t="s">
        <v>1688</v>
      </c>
      <c r="Q33" s="1263" t="str">
        <f t="shared" si="11"/>
        <v>建筑类型</v>
      </c>
      <c r="R33" s="667" t="s">
        <v>14</v>
      </c>
      <c r="S33" s="668">
        <f t="shared" si="12"/>
        <v>100</v>
      </c>
      <c r="T33" s="667" t="s">
        <v>14</v>
      </c>
      <c r="U33" s="668">
        <f t="shared" si="13"/>
        <v>100</v>
      </c>
      <c r="V33" s="667" t="s">
        <v>14</v>
      </c>
      <c r="W33" s="668">
        <f t="shared" si="14"/>
        <v>100</v>
      </c>
      <c r="X33" s="1265"/>
      <c r="Y33" s="3390" t="s">
        <v>1688</v>
      </c>
      <c r="Z33" s="1264" t="str">
        <f t="shared" si="15"/>
        <v>建筑类型</v>
      </c>
      <c r="AA33" s="1264">
        <f t="shared" si="3"/>
        <v>1</v>
      </c>
      <c r="AB33" s="1264">
        <f t="shared" si="4"/>
        <v>1</v>
      </c>
      <c r="AC33" s="1812">
        <f t="shared" si="5"/>
        <v>1</v>
      </c>
    </row>
    <row r="34" spans="1:29" s="408" customFormat="1" ht="15">
      <c r="A34" s="406"/>
      <c r="B34" s="364" t="s">
        <v>1689</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69"/>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1690</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69"/>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1777</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69"/>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1778</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69"/>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69"/>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1811</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69" t="s">
        <v>1688</v>
      </c>
      <c r="Q39" s="1263" t="str">
        <f t="shared" si="11"/>
        <v>物业管理</v>
      </c>
      <c r="R39" s="667" t="s">
        <v>14</v>
      </c>
      <c r="S39" s="668">
        <f t="shared" si="12"/>
        <v>100</v>
      </c>
      <c r="T39" s="667" t="s">
        <v>14</v>
      </c>
      <c r="U39" s="668">
        <f t="shared" si="13"/>
        <v>100</v>
      </c>
      <c r="V39" s="667" t="s">
        <v>14</v>
      </c>
      <c r="W39" s="668">
        <f t="shared" si="14"/>
        <v>100</v>
      </c>
      <c r="X39" s="1265"/>
      <c r="Y39" s="3390" t="s">
        <v>1688</v>
      </c>
      <c r="Z39" s="1264" t="str">
        <f t="shared" si="15"/>
        <v>物业管理</v>
      </c>
      <c r="AA39" s="1264">
        <f t="shared" si="3"/>
        <v>1</v>
      </c>
      <c r="AB39" s="1264">
        <f t="shared" si="4"/>
        <v>1</v>
      </c>
      <c r="AC39" s="1812">
        <f t="shared" si="5"/>
        <v>1</v>
      </c>
    </row>
    <row r="40" spans="1:29" ht="15">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69"/>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1781</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69"/>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69"/>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1784</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69"/>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15">
      <c r="A44" s="409"/>
      <c r="B44" s="364" t="s">
        <v>1699</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69"/>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69"/>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69"/>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70"/>
      <c r="Q47" s="1263">
        <f t="shared" si="11"/>
        <v>111</v>
      </c>
      <c r="R47" s="667" t="s">
        <v>14</v>
      </c>
      <c r="S47" s="668">
        <f t="shared" si="12"/>
        <v>100</v>
      </c>
      <c r="T47" s="667" t="s">
        <v>14</v>
      </c>
      <c r="U47" s="668">
        <f t="shared" si="13"/>
        <v>100</v>
      </c>
      <c r="V47" s="667" t="s">
        <v>14</v>
      </c>
      <c r="W47" s="668">
        <f t="shared" si="14"/>
        <v>100</v>
      </c>
      <c r="X47" s="1265"/>
      <c r="Y47" s="3471"/>
      <c r="Z47" s="1264">
        <f t="shared" si="15"/>
        <v>111</v>
      </c>
      <c r="AA47" s="1264">
        <f t="shared" si="3"/>
        <v>1</v>
      </c>
      <c r="AB47" s="1264">
        <f t="shared" si="4"/>
        <v>1</v>
      </c>
      <c r="AC47" s="1812">
        <f t="shared" si="5"/>
        <v>1</v>
      </c>
    </row>
    <row r="48" spans="1:29" ht="15">
      <c r="A48" s="416" t="s">
        <v>1700</v>
      </c>
      <c r="B48" s="417"/>
      <c r="C48" s="1081" t="s">
        <v>0</v>
      </c>
      <c r="D48" s="418"/>
      <c r="E48" s="419"/>
      <c r="F48" s="420"/>
      <c r="G48" s="421"/>
      <c r="H48" s="422"/>
      <c r="I48" s="419"/>
      <c r="J48" s="422"/>
      <c r="K48" s="674"/>
      <c r="L48" s="2493"/>
      <c r="M48" s="2486"/>
      <c r="N48" s="2486"/>
      <c r="O48" s="2486"/>
      <c r="P48" s="3385" t="str">
        <f>A48</f>
        <v>成交单价（元/平方米）</v>
      </c>
      <c r="Q48" s="3386"/>
      <c r="R48" s="3391">
        <f>E48</f>
        <v>0</v>
      </c>
      <c r="S48" s="3391"/>
      <c r="T48" s="3391">
        <f>G48</f>
        <v>0</v>
      </c>
      <c r="U48" s="3391"/>
      <c r="V48" s="3391">
        <f>I48</f>
        <v>0</v>
      </c>
      <c r="W48" s="3391"/>
      <c r="X48" s="385"/>
      <c r="Y48" s="673"/>
      <c r="Z48" s="385"/>
      <c r="AA48" s="385"/>
      <c r="AB48" s="385"/>
      <c r="AC48" s="555"/>
    </row>
    <row r="49" spans="1:29" ht="15.75" thickBot="1">
      <c r="A49" s="423" t="s">
        <v>1785</v>
      </c>
      <c r="B49" s="424"/>
      <c r="C49" s="1082" t="e">
        <f>R50</f>
        <v>#DIV/0!</v>
      </c>
      <c r="D49" s="2141" t="s">
        <v>2128</v>
      </c>
      <c r="E49" s="1083" t="e">
        <f>R49</f>
        <v>#DIV/0!</v>
      </c>
      <c r="F49" s="2142"/>
      <c r="G49" s="1082" t="e">
        <f>T49</f>
        <v>#DIV/0!</v>
      </c>
      <c r="H49" s="2142"/>
      <c r="I49" s="1083" t="e">
        <f>V49</f>
        <v>#DIV/0!</v>
      </c>
      <c r="J49" s="2142"/>
      <c r="K49" s="2144">
        <f>F49+H49+J49</f>
        <v>0</v>
      </c>
      <c r="L49" s="2493"/>
      <c r="M49" s="2486"/>
      <c r="N49" s="2486"/>
      <c r="O49" s="2486"/>
      <c r="P49" s="3385" t="str">
        <f>A49</f>
        <v>比较价值（元/平方米）</v>
      </c>
      <c r="Q49" s="338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75" thickBot="1">
      <c r="A50" s="427" t="s">
        <v>1786</v>
      </c>
      <c r="B50" s="428"/>
      <c r="C50" s="351" t="e">
        <f>R50</f>
        <v>#DIV/0!</v>
      </c>
      <c r="D50" s="351"/>
      <c r="E50" s="351"/>
      <c r="F50" s="351"/>
      <c r="G50" s="351"/>
      <c r="H50" s="351"/>
      <c r="I50" s="351"/>
      <c r="J50" s="429"/>
      <c r="K50" s="675"/>
      <c r="L50" s="2493"/>
      <c r="M50" s="2486"/>
      <c r="N50" s="2486"/>
      <c r="O50" s="2486"/>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1787</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1788</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1789</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1790</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1671</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1708</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1673</v>
      </c>
      <c r="B62" s="444"/>
      <c r="C62" s="456" t="s">
        <v>1768</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1711</v>
      </c>
      <c r="B64" s="460" t="s">
        <v>1677</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1680</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1682</v>
      </c>
      <c r="B77" s="460" t="s">
        <v>1813</v>
      </c>
      <c r="C77" s="504" t="s">
        <v>1713</v>
      </c>
      <c r="D77" s="504" t="s">
        <v>1714</v>
      </c>
      <c r="E77" s="504" t="s">
        <v>1715</v>
      </c>
      <c r="F77" s="504" t="s">
        <v>1716</v>
      </c>
      <c r="G77" s="504" t="s">
        <v>1717</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1718</v>
      </c>
      <c r="C79" s="509" t="s">
        <v>1713</v>
      </c>
      <c r="D79" s="509" t="s">
        <v>1714</v>
      </c>
      <c r="E79" s="509" t="s">
        <v>1715</v>
      </c>
      <c r="F79" s="509" t="s">
        <v>1716</v>
      </c>
      <c r="G79" s="509" t="s">
        <v>1717</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1719</v>
      </c>
      <c r="C81" s="509" t="s">
        <v>1713</v>
      </c>
      <c r="D81" s="509" t="s">
        <v>1714</v>
      </c>
      <c r="E81" s="509" t="s">
        <v>1715</v>
      </c>
      <c r="F81" s="509" t="s">
        <v>1716</v>
      </c>
      <c r="G81" s="509" t="s">
        <v>1717</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1805</v>
      </c>
      <c r="C83" s="581" t="s">
        <v>1791</v>
      </c>
      <c r="D83" s="581" t="s">
        <v>1792</v>
      </c>
      <c r="E83" s="581" t="s">
        <v>1793</v>
      </c>
      <c r="F83" s="581" t="s">
        <v>1794</v>
      </c>
      <c r="G83" s="581" t="s">
        <v>1795</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1814</v>
      </c>
      <c r="C85" s="509" t="s">
        <v>1713</v>
      </c>
      <c r="D85" s="509" t="s">
        <v>1714</v>
      </c>
      <c r="E85" s="509" t="s">
        <v>1715</v>
      </c>
      <c r="F85" s="509" t="s">
        <v>1716</v>
      </c>
      <c r="G85" s="509" t="s">
        <v>1717</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1815</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1686</v>
      </c>
      <c r="B101" s="460" t="s">
        <v>1728</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1729</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1730</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1732</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1816</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1733</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1734</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1817</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1800</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1736</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1652</v>
      </c>
      <c r="B1" s="1808" t="s">
        <v>1818</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10446.719999999999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1761</v>
      </c>
      <c r="B4" s="346"/>
      <c r="C4" s="3383" t="s">
        <v>1762</v>
      </c>
      <c r="D4" s="3395"/>
      <c r="E4" s="3396" t="s">
        <v>1763</v>
      </c>
      <c r="F4" s="3397"/>
      <c r="G4" s="3383" t="s">
        <v>1764</v>
      </c>
      <c r="H4" s="3395"/>
      <c r="I4" s="3383" t="s">
        <v>1765</v>
      </c>
      <c r="J4" s="3395"/>
      <c r="K4" s="537" t="s">
        <v>1766</v>
      </c>
      <c r="L4" s="860"/>
      <c r="M4" s="861"/>
      <c r="N4" s="861"/>
      <c r="O4" s="861"/>
      <c r="P4" s="3398" t="s">
        <v>1767</v>
      </c>
      <c r="Q4" s="3399"/>
      <c r="R4" s="3404" t="s">
        <v>1763</v>
      </c>
      <c r="S4" s="3405"/>
      <c r="T4" s="3404" t="s">
        <v>1764</v>
      </c>
      <c r="U4" s="3405"/>
      <c r="V4" s="3391" t="s">
        <v>1765</v>
      </c>
      <c r="W4" s="3391"/>
      <c r="X4" s="1265"/>
      <c r="Y4" s="3404" t="s">
        <v>1767</v>
      </c>
      <c r="Z4" s="3405"/>
      <c r="AA4" s="3392" t="s">
        <v>1763</v>
      </c>
      <c r="AB4" s="3393" t="s">
        <v>1764</v>
      </c>
      <c r="AC4" s="3392" t="s">
        <v>1765</v>
      </c>
    </row>
    <row r="5" spans="1:29" ht="15">
      <c r="A5" s="348"/>
      <c r="B5" s="349"/>
      <c r="C5" s="3412" t="s">
        <v>1665</v>
      </c>
      <c r="D5" s="3413"/>
      <c r="E5" s="3419" t="s">
        <v>1666</v>
      </c>
      <c r="F5" s="3420"/>
      <c r="G5" s="3412" t="s">
        <v>1667</v>
      </c>
      <c r="H5" s="3413"/>
      <c r="I5" s="3412" t="s">
        <v>1668</v>
      </c>
      <c r="J5" s="3413"/>
      <c r="K5" s="537"/>
      <c r="L5" s="860"/>
      <c r="M5" s="861"/>
      <c r="N5" s="861"/>
      <c r="O5" s="861"/>
      <c r="P5" s="3400"/>
      <c r="Q5" s="3401"/>
      <c r="R5" s="3406"/>
      <c r="S5" s="3407"/>
      <c r="T5" s="3406"/>
      <c r="U5" s="3407"/>
      <c r="V5" s="3391"/>
      <c r="W5" s="3391"/>
      <c r="X5" s="1265"/>
      <c r="Y5" s="3406"/>
      <c r="Z5" s="3407"/>
      <c r="AA5" s="3393"/>
      <c r="AB5" s="3393"/>
      <c r="AC5" s="3393"/>
    </row>
    <row r="6" spans="1:29" ht="15.75" thickBot="1">
      <c r="A6" s="350"/>
      <c r="B6" s="351"/>
      <c r="C6" s="3410" t="s">
        <v>1669</v>
      </c>
      <c r="D6" s="3411"/>
      <c r="E6" s="3417" t="s">
        <v>1669</v>
      </c>
      <c r="F6" s="3418"/>
      <c r="G6" s="3410" t="s">
        <v>1669</v>
      </c>
      <c r="H6" s="3411"/>
      <c r="I6" s="3410" t="s">
        <v>1669</v>
      </c>
      <c r="J6" s="3411"/>
      <c r="K6" s="537" t="s">
        <v>1670</v>
      </c>
      <c r="L6" s="860"/>
      <c r="M6" s="861"/>
      <c r="N6" s="861"/>
      <c r="O6" s="861"/>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1672</v>
      </c>
      <c r="Q7" s="3416"/>
      <c r="R7" s="664" t="s">
        <v>14</v>
      </c>
      <c r="S7" s="665">
        <f t="shared" ref="S7:S15" si="0">F7</f>
        <v>0</v>
      </c>
      <c r="T7" s="664" t="s">
        <v>14</v>
      </c>
      <c r="U7" s="665">
        <f t="shared" ref="U7:U15" si="1">H7</f>
        <v>0</v>
      </c>
      <c r="V7" s="664" t="s">
        <v>14</v>
      </c>
      <c r="W7" s="665">
        <f t="shared" ref="W7:W15" si="2">J7</f>
        <v>0</v>
      </c>
      <c r="X7" s="666"/>
      <c r="Y7" s="3414" t="s">
        <v>1672</v>
      </c>
      <c r="Z7" s="3415"/>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1675</v>
      </c>
      <c r="Q8" s="3415"/>
      <c r="R8" s="664" t="s">
        <v>14</v>
      </c>
      <c r="S8" s="665">
        <f t="shared" si="0"/>
        <v>100</v>
      </c>
      <c r="T8" s="664" t="s">
        <v>14</v>
      </c>
      <c r="U8" s="665">
        <f t="shared" si="1"/>
        <v>100</v>
      </c>
      <c r="V8" s="664" t="s">
        <v>14</v>
      </c>
      <c r="W8" s="665">
        <f t="shared" si="2"/>
        <v>100</v>
      </c>
      <c r="X8" s="666"/>
      <c r="Y8" s="3414" t="s">
        <v>1675</v>
      </c>
      <c r="Z8" s="3415"/>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1678</v>
      </c>
      <c r="Q9" s="530" t="str">
        <f t="shared" ref="Q9:Q15" si="6">B9</f>
        <v>用途</v>
      </c>
      <c r="R9" s="664" t="s">
        <v>14</v>
      </c>
      <c r="S9" s="665">
        <f t="shared" si="0"/>
        <v>100</v>
      </c>
      <c r="T9" s="664" t="s">
        <v>14</v>
      </c>
      <c r="U9" s="665">
        <f t="shared" si="1"/>
        <v>100</v>
      </c>
      <c r="V9" s="664" t="s">
        <v>14</v>
      </c>
      <c r="W9" s="665">
        <f t="shared" si="2"/>
        <v>100</v>
      </c>
      <c r="X9" s="666"/>
      <c r="Y9" s="3283" t="s">
        <v>1679</v>
      </c>
      <c r="Z9" s="50" t="str">
        <f t="shared" ref="Z9:Z15" si="7">Q9</f>
        <v>用途</v>
      </c>
      <c r="AA9" s="50">
        <f t="shared" si="3"/>
        <v>1</v>
      </c>
      <c r="AB9" s="50">
        <f t="shared" si="4"/>
        <v>1</v>
      </c>
      <c r="AC9" s="50">
        <f t="shared" si="5"/>
        <v>1</v>
      </c>
    </row>
    <row r="10" spans="1:29" s="366" customFormat="1" ht="27">
      <c r="A10" s="363"/>
      <c r="B10" s="364" t="s">
        <v>1680</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57">
      <c r="A15" s="379" t="s">
        <v>1682</v>
      </c>
      <c r="B15" s="58" t="s">
        <v>1819</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1683</v>
      </c>
      <c r="Q15" s="1263" t="str">
        <f t="shared" si="6"/>
        <v>产业集聚程度</v>
      </c>
      <c r="R15" s="667" t="s">
        <v>14</v>
      </c>
      <c r="S15" s="668">
        <f t="shared" si="0"/>
        <v>100</v>
      </c>
      <c r="T15" s="667" t="s">
        <v>14</v>
      </c>
      <c r="U15" s="668">
        <f t="shared" si="1"/>
        <v>100</v>
      </c>
      <c r="V15" s="667" t="s">
        <v>14</v>
      </c>
      <c r="W15" s="668">
        <f t="shared" si="2"/>
        <v>100</v>
      </c>
      <c r="X15" s="1265"/>
      <c r="Y15" s="3387" t="s">
        <v>1683</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85.5">
      <c r="A17" s="367"/>
      <c r="B17" s="390" t="s">
        <v>1253</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2.75">
      <c r="A19" s="367"/>
      <c r="B19" s="390" t="s">
        <v>1804</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28.5">
      <c r="A21" s="367"/>
      <c r="B21" s="586" t="s">
        <v>1805</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71.25">
      <c r="A23" s="367"/>
      <c r="B23" s="390" t="s">
        <v>1806</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8.5">
      <c r="A29" s="404" t="s">
        <v>1686</v>
      </c>
      <c r="B29" s="60" t="s">
        <v>1809</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89" t="s">
        <v>1688</v>
      </c>
      <c r="Q29" s="1263" t="str">
        <f t="shared" si="11"/>
        <v>建筑类型</v>
      </c>
      <c r="R29" s="667" t="s">
        <v>14</v>
      </c>
      <c r="S29" s="668">
        <f t="shared" si="12"/>
        <v>100</v>
      </c>
      <c r="T29" s="667" t="s">
        <v>14</v>
      </c>
      <c r="U29" s="668">
        <f t="shared" si="13"/>
        <v>100</v>
      </c>
      <c r="V29" s="667" t="s">
        <v>14</v>
      </c>
      <c r="W29" s="668">
        <f t="shared" si="14"/>
        <v>100</v>
      </c>
      <c r="X29" s="1265"/>
      <c r="Y29" s="3390" t="s">
        <v>1688</v>
      </c>
      <c r="Z29" s="1264" t="str">
        <f t="shared" si="15"/>
        <v>建筑类型</v>
      </c>
      <c r="AA29" s="1264">
        <f t="shared" si="3"/>
        <v>1</v>
      </c>
      <c r="AB29" s="1264">
        <f t="shared" si="4"/>
        <v>1</v>
      </c>
      <c r="AC29" s="1264">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1688</v>
      </c>
      <c r="Q35" s="1263" t="str">
        <f t="shared" si="11"/>
        <v>市政基础设施</v>
      </c>
      <c r="R35" s="667" t="s">
        <v>14</v>
      </c>
      <c r="S35" s="668">
        <f t="shared" si="12"/>
        <v>100</v>
      </c>
      <c r="T35" s="667" t="s">
        <v>14</v>
      </c>
      <c r="U35" s="668">
        <f t="shared" si="13"/>
        <v>100</v>
      </c>
      <c r="V35" s="667" t="s">
        <v>14</v>
      </c>
      <c r="W35" s="668">
        <f t="shared" si="14"/>
        <v>100</v>
      </c>
      <c r="X35" s="1265"/>
      <c r="Y35" s="3390" t="s">
        <v>1688</v>
      </c>
      <c r="Z35" s="1264" t="str">
        <f t="shared" si="15"/>
        <v>市政基础设施</v>
      </c>
      <c r="AA35" s="1264">
        <f t="shared" si="3"/>
        <v>1</v>
      </c>
      <c r="AB35" s="1264">
        <f t="shared" si="4"/>
        <v>1</v>
      </c>
      <c r="AC35" s="1264">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1"/>
      <c r="Q40" s="1263">
        <f t="shared" si="11"/>
        <v>111</v>
      </c>
      <c r="R40" s="667" t="s">
        <v>14</v>
      </c>
      <c r="S40" s="668">
        <f t="shared" si="12"/>
        <v>100</v>
      </c>
      <c r="T40" s="667" t="s">
        <v>14</v>
      </c>
      <c r="U40" s="668">
        <f t="shared" si="13"/>
        <v>100</v>
      </c>
      <c r="V40" s="667" t="s">
        <v>14</v>
      </c>
      <c r="W40" s="668">
        <f t="shared" si="14"/>
        <v>100</v>
      </c>
      <c r="X40" s="1265"/>
      <c r="Y40" s="3471"/>
      <c r="Z40" s="1264">
        <f t="shared" si="15"/>
        <v>111</v>
      </c>
      <c r="AA40" s="1264">
        <f t="shared" si="3"/>
        <v>1</v>
      </c>
      <c r="AB40" s="1264">
        <f t="shared" si="4"/>
        <v>1</v>
      </c>
      <c r="AC40" s="1264">
        <f t="shared" si="5"/>
        <v>1</v>
      </c>
    </row>
    <row r="41" spans="1:29" ht="15">
      <c r="A41" s="416" t="s">
        <v>1700</v>
      </c>
      <c r="B41" s="417"/>
      <c r="C41" s="1081" t="s">
        <v>0</v>
      </c>
      <c r="D41" s="418"/>
      <c r="E41" s="419"/>
      <c r="F41" s="420"/>
      <c r="G41" s="421"/>
      <c r="H41" s="422"/>
      <c r="I41" s="419"/>
      <c r="J41" s="422"/>
      <c r="K41" s="674"/>
      <c r="L41" s="873"/>
      <c r="M41" s="861"/>
      <c r="N41" s="861"/>
      <c r="O41" s="861"/>
      <c r="P41" s="3386" t="str">
        <f>A41</f>
        <v>成交单价（元/平方米）</v>
      </c>
      <c r="Q41" s="3386"/>
      <c r="R41" s="3391">
        <f>E41</f>
        <v>0</v>
      </c>
      <c r="S41" s="3391"/>
      <c r="T41" s="3391">
        <f>G41</f>
        <v>0</v>
      </c>
      <c r="U41" s="3391"/>
      <c r="V41" s="3391">
        <f>I41</f>
        <v>0</v>
      </c>
      <c r="W41" s="3391"/>
      <c r="X41" s="385"/>
      <c r="Y41" s="673"/>
      <c r="Z41" s="385"/>
      <c r="AA41" s="385"/>
      <c r="AB41" s="385"/>
      <c r="AC41" s="385"/>
    </row>
    <row r="42" spans="1:29" ht="15.75" thickBot="1">
      <c r="A42" s="423" t="s">
        <v>1785</v>
      </c>
      <c r="B42" s="424"/>
      <c r="C42" s="1082" t="e">
        <f>R43</f>
        <v>#DIV/0!</v>
      </c>
      <c r="D42" s="2141" t="s">
        <v>2128</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1790</v>
      </c>
      <c r="B51" s="385"/>
      <c r="C51" s="659"/>
      <c r="D51" s="659"/>
      <c r="E51" s="659"/>
      <c r="F51" s="660"/>
      <c r="G51" s="660"/>
      <c r="H51" s="659"/>
      <c r="I51" s="659"/>
      <c r="J51" s="659"/>
      <c r="K51" s="887"/>
      <c r="L51" s="888"/>
      <c r="M51" s="886"/>
      <c r="N51" s="886"/>
      <c r="O51" s="886"/>
      <c r="P51" s="438"/>
      <c r="Q51" s="439"/>
    </row>
    <row r="52" spans="1:17" s="442" customFormat="1" ht="15">
      <c r="A52" s="440" t="s">
        <v>1671</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7"/>
      <c r="O54" s="2538"/>
      <c r="P54" s="439"/>
      <c r="Q54" s="439"/>
    </row>
    <row r="55" spans="1:17" s="102" customFormat="1" ht="15">
      <c r="A55" s="455" t="s">
        <v>1673</v>
      </c>
      <c r="B55" s="444"/>
      <c r="C55" s="456" t="s">
        <v>1768</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1711</v>
      </c>
      <c r="B57" s="460" t="s">
        <v>1677</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1680</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1686</v>
      </c>
      <c r="B88" s="460" t="s">
        <v>1728</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1730</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1732</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1733</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1734</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1736</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1823</v>
      </c>
      <c r="B1" s="1140" t="s">
        <v>3320</v>
      </c>
      <c r="C1" s="1141" t="s">
        <v>1654</v>
      </c>
      <c r="D1" s="1142"/>
      <c r="E1" s="3130"/>
      <c r="F1" s="1735"/>
      <c r="G1" s="1144" t="s">
        <v>1759</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1456</v>
      </c>
      <c r="B3" s="536" t="e">
        <f>IF(AND(C2="——",B37="元/平方米"),C39,ROUND(B2*10000/D3,0))</f>
        <v>#DIV/0!</v>
      </c>
      <c r="C3" s="344" t="s">
        <v>1760</v>
      </c>
      <c r="D3" s="343">
        <f>SUMIF('数据-汇总表'!$C19:$C33,D1,'数据-汇总表'!$E19:$E33)</f>
        <v>0</v>
      </c>
      <c r="E3" s="344" t="s">
        <v>1824</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398" t="s">
        <v>1767</v>
      </c>
      <c r="Q4" s="3399"/>
      <c r="R4" s="3404" t="s">
        <v>1763</v>
      </c>
      <c r="S4" s="3405"/>
      <c r="T4" s="3404" t="s">
        <v>1764</v>
      </c>
      <c r="U4" s="3405"/>
      <c r="V4" s="3391" t="s">
        <v>1765</v>
      </c>
      <c r="W4" s="3391"/>
      <c r="X4" s="1265"/>
      <c r="Y4" s="3404" t="s">
        <v>1767</v>
      </c>
      <c r="Z4" s="3405"/>
      <c r="AA4" s="3392" t="s">
        <v>1763</v>
      </c>
      <c r="AB4" s="3393" t="s">
        <v>1764</v>
      </c>
      <c r="AC4" s="3392" t="s">
        <v>1765</v>
      </c>
    </row>
    <row r="5" spans="1:29" ht="15">
      <c r="A5" s="348"/>
      <c r="B5" s="349"/>
      <c r="C5" s="3412" t="s">
        <v>1665</v>
      </c>
      <c r="D5" s="3413"/>
      <c r="E5" s="3419" t="s">
        <v>1666</v>
      </c>
      <c r="F5" s="3420"/>
      <c r="G5" s="3412" t="s">
        <v>1667</v>
      </c>
      <c r="H5" s="3413"/>
      <c r="I5" s="3412" t="s">
        <v>1668</v>
      </c>
      <c r="J5" s="3413"/>
      <c r="K5" s="537"/>
      <c r="L5" s="2485"/>
      <c r="M5" s="2486"/>
      <c r="N5" s="2486"/>
      <c r="O5" s="2486"/>
      <c r="P5" s="3400"/>
      <c r="Q5" s="3401"/>
      <c r="R5" s="3406"/>
      <c r="S5" s="3407"/>
      <c r="T5" s="3406"/>
      <c r="U5" s="3407"/>
      <c r="V5" s="3391"/>
      <c r="W5" s="3391"/>
      <c r="X5" s="1265"/>
      <c r="Y5" s="3406"/>
      <c r="Z5" s="3407"/>
      <c r="AA5" s="3393"/>
      <c r="AB5" s="3393"/>
      <c r="AC5" s="3393"/>
    </row>
    <row r="6" spans="1:29" ht="15.75" thickBot="1">
      <c r="A6" s="350"/>
      <c r="B6" s="351"/>
      <c r="C6" s="3410" t="s">
        <v>1669</v>
      </c>
      <c r="D6" s="3411"/>
      <c r="E6" s="3417" t="s">
        <v>1669</v>
      </c>
      <c r="F6" s="3418"/>
      <c r="G6" s="3410" t="s">
        <v>1669</v>
      </c>
      <c r="H6" s="3411"/>
      <c r="I6" s="3410" t="s">
        <v>1669</v>
      </c>
      <c r="J6" s="3411"/>
      <c r="K6" s="537" t="s">
        <v>1670</v>
      </c>
      <c r="L6" s="2485"/>
      <c r="M6" s="2486"/>
      <c r="N6" s="2486"/>
      <c r="O6" s="2486"/>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4" t="s">
        <v>1672</v>
      </c>
      <c r="Q7" s="3416"/>
      <c r="R7" s="664" t="s">
        <v>14</v>
      </c>
      <c r="S7" s="665">
        <f t="shared" ref="S7:S14" si="0">F7</f>
        <v>0</v>
      </c>
      <c r="T7" s="664" t="s">
        <v>14</v>
      </c>
      <c r="U7" s="665">
        <f t="shared" ref="U7:U14" si="1">H7</f>
        <v>0</v>
      </c>
      <c r="V7" s="664" t="s">
        <v>14</v>
      </c>
      <c r="W7" s="665">
        <f t="shared" ref="W7:W14" si="2">J7</f>
        <v>0</v>
      </c>
      <c r="X7" s="666"/>
      <c r="Y7" s="3414" t="s">
        <v>1672</v>
      </c>
      <c r="Z7" s="3415"/>
      <c r="AA7" s="50" t="e">
        <f>D7/F7</f>
        <v>#DIV/0!</v>
      </c>
      <c r="AB7" s="50" t="e">
        <f>D7/H7</f>
        <v>#DIV/0!</v>
      </c>
      <c r="AC7" s="50" t="e">
        <f>D7/J7</f>
        <v>#DIV/0!</v>
      </c>
    </row>
    <row r="8" spans="1:29" s="102" customFormat="1" ht="15.75" thickBot="1">
      <c r="A8" s="352" t="s">
        <v>1673</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4" t="s">
        <v>1675</v>
      </c>
      <c r="Q8" s="3415"/>
      <c r="R8" s="664" t="s">
        <v>14</v>
      </c>
      <c r="S8" s="665">
        <f t="shared" si="0"/>
        <v>100</v>
      </c>
      <c r="T8" s="664" t="s">
        <v>14</v>
      </c>
      <c r="U8" s="665">
        <f t="shared" si="1"/>
        <v>100</v>
      </c>
      <c r="V8" s="664" t="s">
        <v>14</v>
      </c>
      <c r="W8" s="665">
        <f t="shared" si="2"/>
        <v>100</v>
      </c>
      <c r="X8" s="666"/>
      <c r="Y8" s="3414" t="s">
        <v>1675</v>
      </c>
      <c r="Z8" s="3415"/>
      <c r="AA8" s="50">
        <f t="shared" ref="AA8:AA36" si="3">D8/F8</f>
        <v>1</v>
      </c>
      <c r="AB8" s="50">
        <f t="shared" ref="AB8:AB36" si="4">D8/H8</f>
        <v>1</v>
      </c>
      <c r="AC8" s="50">
        <f t="shared" ref="AC8:AC36" si="5">D8/J8</f>
        <v>1</v>
      </c>
    </row>
    <row r="9" spans="1:29" s="102" customFormat="1">
      <c r="A9" s="57" t="s">
        <v>1676</v>
      </c>
      <c r="B9" s="564" t="s">
        <v>1677</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6" t="s">
        <v>1678</v>
      </c>
      <c r="Q9" s="530" t="str">
        <f t="shared" ref="Q9:Q14" si="6">B9</f>
        <v>用途</v>
      </c>
      <c r="R9" s="664" t="s">
        <v>14</v>
      </c>
      <c r="S9" s="665">
        <f t="shared" si="0"/>
        <v>100</v>
      </c>
      <c r="T9" s="664" t="s">
        <v>14</v>
      </c>
      <c r="U9" s="665">
        <f t="shared" si="1"/>
        <v>100</v>
      </c>
      <c r="V9" s="664" t="s">
        <v>14</v>
      </c>
      <c r="W9" s="665">
        <f t="shared" si="2"/>
        <v>100</v>
      </c>
      <c r="X9" s="666"/>
      <c r="Y9" s="3283" t="s">
        <v>1679</v>
      </c>
      <c r="Z9" s="50" t="str">
        <f t="shared" ref="Z9:Z14" si="7">Q9</f>
        <v>用途</v>
      </c>
      <c r="AA9" s="50">
        <f t="shared" si="3"/>
        <v>1</v>
      </c>
      <c r="AB9" s="50">
        <f t="shared" si="4"/>
        <v>1</v>
      </c>
      <c r="AC9" s="50">
        <f t="shared" si="5"/>
        <v>1</v>
      </c>
    </row>
    <row r="10" spans="1:29" s="366" customFormat="1" ht="27">
      <c r="A10" s="565"/>
      <c r="B10" s="566" t="s">
        <v>1680</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6"/>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85.5">
      <c r="A14" s="345" t="s">
        <v>1682</v>
      </c>
      <c r="B14" s="554" t="s">
        <v>1825</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7" t="s">
        <v>1683</v>
      </c>
      <c r="Q14" s="1263" t="str">
        <f t="shared" si="6"/>
        <v>交通便捷度</v>
      </c>
      <c r="R14" s="667" t="s">
        <v>14</v>
      </c>
      <c r="S14" s="668">
        <f t="shared" si="0"/>
        <v>100</v>
      </c>
      <c r="T14" s="667" t="s">
        <v>14</v>
      </c>
      <c r="U14" s="668">
        <f t="shared" si="1"/>
        <v>100</v>
      </c>
      <c r="V14" s="667" t="s">
        <v>14</v>
      </c>
      <c r="W14" s="668">
        <f t="shared" si="2"/>
        <v>100</v>
      </c>
      <c r="X14" s="1265"/>
      <c r="Y14" s="3387" t="s">
        <v>1683</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8"/>
      <c r="Q15" s="1263"/>
      <c r="R15" s="667"/>
      <c r="S15" s="668"/>
      <c r="T15" s="667"/>
      <c r="U15" s="668"/>
      <c r="V15" s="667"/>
      <c r="W15" s="668"/>
      <c r="X15" s="1265"/>
      <c r="Y15" s="3388"/>
      <c r="Z15" s="1264"/>
      <c r="AA15" s="1264">
        <v>1</v>
      </c>
      <c r="AB15" s="1264">
        <v>1</v>
      </c>
      <c r="AC15" s="1264">
        <v>1</v>
      </c>
    </row>
    <row r="16" spans="1:29" ht="42.75">
      <c r="A16" s="348"/>
      <c r="B16" s="556" t="s">
        <v>1804</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8"/>
      <c r="Q17" s="1263"/>
      <c r="R17" s="667"/>
      <c r="S17" s="668"/>
      <c r="T17" s="667"/>
      <c r="U17" s="668"/>
      <c r="V17" s="667"/>
      <c r="W17" s="668"/>
      <c r="X17" s="1265"/>
      <c r="Y17" s="3388"/>
      <c r="Z17" s="1264"/>
      <c r="AA17" s="1264">
        <v>1</v>
      </c>
      <c r="AB17" s="1264">
        <v>1</v>
      </c>
      <c r="AC17" s="1264">
        <v>1</v>
      </c>
    </row>
    <row r="18" spans="1:29" ht="28.5">
      <c r="A18" s="348"/>
      <c r="B18" s="557" t="s">
        <v>1805</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8"/>
      <c r="Q19" s="1263"/>
      <c r="R19" s="667"/>
      <c r="S19" s="668"/>
      <c r="T19" s="667"/>
      <c r="U19" s="668"/>
      <c r="V19" s="667"/>
      <c r="W19" s="668"/>
      <c r="X19" s="1265"/>
      <c r="Y19" s="3388"/>
      <c r="Z19" s="1264"/>
      <c r="AA19" s="1264">
        <v>1</v>
      </c>
      <c r="AB19" s="1264">
        <v>1</v>
      </c>
      <c r="AC19" s="1264">
        <v>1</v>
      </c>
    </row>
    <row r="20" spans="1:29" ht="57">
      <c r="A20" s="348"/>
      <c r="B20" s="556" t="s">
        <v>1826</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8"/>
      <c r="Q21" s="1263"/>
      <c r="R21" s="667"/>
      <c r="S21" s="668"/>
      <c r="T21" s="667"/>
      <c r="U21" s="668"/>
      <c r="V21" s="667"/>
      <c r="W21" s="668"/>
      <c r="X21" s="1265"/>
      <c r="Y21" s="3388"/>
      <c r="Z21" s="1264"/>
      <c r="AA21" s="1264">
        <v>1</v>
      </c>
      <c r="AB21" s="1264">
        <v>1</v>
      </c>
      <c r="AC21" s="1264">
        <v>1</v>
      </c>
    </row>
    <row r="22" spans="1:29" ht="15">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574" t="s">
        <v>1686</v>
      </c>
      <c r="B26" s="59" t="s">
        <v>1828</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89" t="s">
        <v>1688</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1688</v>
      </c>
      <c r="Z26" s="1264" t="str">
        <f t="shared" ref="Z26:Z36" si="15">Q26</f>
        <v>配套类型</v>
      </c>
      <c r="AA26" s="1264" t="e">
        <f t="shared" si="3"/>
        <v>#DIV/0!</v>
      </c>
      <c r="AB26" s="1264" t="e">
        <f t="shared" si="4"/>
        <v>#DIV/0!</v>
      </c>
      <c r="AC26" s="1264" t="e">
        <f t="shared" si="5"/>
        <v>#DIV/0!</v>
      </c>
    </row>
    <row r="27" spans="1:29" s="408" customFormat="1" ht="15">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1830</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1831</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1832</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1833</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1834</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1688</v>
      </c>
      <c r="Q32" s="1263" t="str">
        <f t="shared" si="11"/>
        <v>车位类型</v>
      </c>
      <c r="R32" s="667" t="s">
        <v>14</v>
      </c>
      <c r="S32" s="668">
        <f t="shared" si="12"/>
        <v>100</v>
      </c>
      <c r="T32" s="667" t="s">
        <v>14</v>
      </c>
      <c r="U32" s="668">
        <f t="shared" si="13"/>
        <v>100</v>
      </c>
      <c r="V32" s="667" t="s">
        <v>14</v>
      </c>
      <c r="W32" s="668">
        <f t="shared" si="14"/>
        <v>100</v>
      </c>
      <c r="X32" s="1265"/>
      <c r="Y32" s="3390" t="s">
        <v>1688</v>
      </c>
      <c r="Z32" s="1264" t="str">
        <f t="shared" si="15"/>
        <v>车位类型</v>
      </c>
      <c r="AA32" s="1264">
        <f t="shared" si="3"/>
        <v>1</v>
      </c>
      <c r="AB32" s="1264">
        <f t="shared" si="4"/>
        <v>1</v>
      </c>
      <c r="AC32" s="1264">
        <f t="shared" si="5"/>
        <v>1</v>
      </c>
    </row>
    <row r="33" spans="1:29" ht="15">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5">
      <c r="A37" s="416" t="s">
        <v>1836</v>
      </c>
      <c r="B37" s="1821" t="s">
        <v>3341</v>
      </c>
      <c r="C37" s="1081" t="s">
        <v>0</v>
      </c>
      <c r="D37" s="418"/>
      <c r="E37" s="419"/>
      <c r="F37" s="420"/>
      <c r="G37" s="421"/>
      <c r="H37" s="422"/>
      <c r="I37" s="419"/>
      <c r="J37" s="422"/>
      <c r="K37" s="545"/>
      <c r="L37" s="2493"/>
      <c r="M37" s="2486"/>
      <c r="N37" s="2486"/>
      <c r="O37" s="2486"/>
      <c r="P37" s="3386" t="str">
        <f>A37</f>
        <v>成交单价</v>
      </c>
      <c r="Q37" s="3386"/>
      <c r="R37" s="3391">
        <f>E37</f>
        <v>0</v>
      </c>
      <c r="S37" s="3391"/>
      <c r="T37" s="3391">
        <f>G37</f>
        <v>0</v>
      </c>
      <c r="U37" s="3391"/>
      <c r="V37" s="3391">
        <f>I37</f>
        <v>0</v>
      </c>
      <c r="W37" s="3391"/>
      <c r="X37" s="385"/>
      <c r="Y37" s="673"/>
      <c r="Z37" s="385"/>
      <c r="AA37" s="385"/>
      <c r="AB37" s="385"/>
      <c r="AC37" s="385"/>
    </row>
    <row r="38" spans="1:29" ht="15.75" thickBot="1">
      <c r="A38" s="423" t="s">
        <v>1837</v>
      </c>
      <c r="B38" s="424" t="str">
        <f>B37</f>
        <v>元/平方米</v>
      </c>
      <c r="C38" s="1082" t="e">
        <f>R39</f>
        <v>#DIV/0!</v>
      </c>
      <c r="D38" s="2141" t="s">
        <v>2128</v>
      </c>
      <c r="E38" s="1083" t="e">
        <f>R38</f>
        <v>#DIV/0!</v>
      </c>
      <c r="F38" s="2142"/>
      <c r="G38" s="1082" t="e">
        <f>T38</f>
        <v>#DIV/0!</v>
      </c>
      <c r="H38" s="2142"/>
      <c r="I38" s="1083" t="e">
        <f>V38</f>
        <v>#DIV/0!</v>
      </c>
      <c r="J38" s="2142"/>
      <c r="K38" s="2144">
        <f>F38+H38+J38</f>
        <v>0</v>
      </c>
      <c r="L38" s="2493"/>
      <c r="M38" s="2486"/>
      <c r="N38" s="2486"/>
      <c r="O38" s="2486"/>
      <c r="P38" s="3386" t="str">
        <f>A38</f>
        <v>比较价值（元/平方米）</v>
      </c>
      <c r="Q38" s="3386"/>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75" thickBot="1">
      <c r="A39" s="427" t="s">
        <v>1838</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1839</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1840</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1841</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1842</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1843</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1708</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1673</v>
      </c>
      <c r="B51" s="444"/>
      <c r="C51" s="456" t="s">
        <v>1768</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1711</v>
      </c>
      <c r="B53" s="460" t="s">
        <v>1677</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1680</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1719</v>
      </c>
      <c r="C65" s="509" t="s">
        <v>1713</v>
      </c>
      <c r="D65" s="509" t="s">
        <v>1714</v>
      </c>
      <c r="E65" s="509" t="s">
        <v>1715</v>
      </c>
      <c r="F65" s="509" t="s">
        <v>1716</v>
      </c>
      <c r="G65" s="509" t="s">
        <v>1717</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1805</v>
      </c>
      <c r="C67" s="581" t="s">
        <v>1791</v>
      </c>
      <c r="D67" s="581" t="s">
        <v>1792</v>
      </c>
      <c r="E67" s="581" t="s">
        <v>1793</v>
      </c>
      <c r="F67" s="581" t="s">
        <v>1794</v>
      </c>
      <c r="G67" s="581" t="s">
        <v>1795</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1725</v>
      </c>
      <c r="C69" s="509" t="s">
        <v>1713</v>
      </c>
      <c r="D69" s="509" t="s">
        <v>1714</v>
      </c>
      <c r="E69" s="509" t="s">
        <v>1715</v>
      </c>
      <c r="F69" s="509" t="s">
        <v>1716</v>
      </c>
      <c r="G69" s="509" t="s">
        <v>1717</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1844</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1686</v>
      </c>
      <c r="B79" s="460" t="s">
        <v>1845</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1846</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1732</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1848</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1849</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1850</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1851</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1823</v>
      </c>
      <c r="B1" s="1140" t="s">
        <v>3321</v>
      </c>
      <c r="C1" s="1141" t="s">
        <v>1654</v>
      </c>
      <c r="D1" s="1142"/>
      <c r="E1" s="3130"/>
      <c r="F1" s="1735"/>
      <c r="G1" s="1152" t="s">
        <v>1759</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1454</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1455</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398" t="s">
        <v>1767</v>
      </c>
      <c r="Q4" s="3399"/>
      <c r="R4" s="3404" t="s">
        <v>1763</v>
      </c>
      <c r="S4" s="3405"/>
      <c r="T4" s="3404" t="s">
        <v>1764</v>
      </c>
      <c r="U4" s="3405"/>
      <c r="V4" s="3391" t="s">
        <v>1765</v>
      </c>
      <c r="W4" s="3391"/>
      <c r="X4" s="1265"/>
      <c r="Y4" s="3404" t="s">
        <v>1767</v>
      </c>
      <c r="Z4" s="3405"/>
      <c r="AA4" s="3392" t="s">
        <v>1763</v>
      </c>
      <c r="AB4" s="3393" t="s">
        <v>1764</v>
      </c>
      <c r="AC4" s="3392" t="s">
        <v>1765</v>
      </c>
    </row>
    <row r="5" spans="1:29" ht="15">
      <c r="A5" s="348"/>
      <c r="B5" s="349"/>
      <c r="C5" s="3412" t="s">
        <v>1665</v>
      </c>
      <c r="D5" s="3413"/>
      <c r="E5" s="3419" t="s">
        <v>1666</v>
      </c>
      <c r="F5" s="3420"/>
      <c r="G5" s="3412" t="s">
        <v>1667</v>
      </c>
      <c r="H5" s="3413"/>
      <c r="I5" s="3412" t="s">
        <v>1668</v>
      </c>
      <c r="J5" s="3413"/>
      <c r="K5" s="537"/>
      <c r="L5" s="2485"/>
      <c r="M5" s="2486"/>
      <c r="N5" s="2486"/>
      <c r="O5" s="2486"/>
      <c r="P5" s="3400"/>
      <c r="Q5" s="3401"/>
      <c r="R5" s="3406"/>
      <c r="S5" s="3407"/>
      <c r="T5" s="3406"/>
      <c r="U5" s="3407"/>
      <c r="V5" s="3391"/>
      <c r="W5" s="3391"/>
      <c r="X5" s="1265"/>
      <c r="Y5" s="3406"/>
      <c r="Z5" s="3407"/>
      <c r="AA5" s="3393"/>
      <c r="AB5" s="3393"/>
      <c r="AC5" s="3393"/>
    </row>
    <row r="6" spans="1:29" ht="15.75" thickBot="1">
      <c r="A6" s="350"/>
      <c r="B6" s="351"/>
      <c r="C6" s="3410" t="s">
        <v>1669</v>
      </c>
      <c r="D6" s="3411"/>
      <c r="E6" s="3417" t="s">
        <v>1669</v>
      </c>
      <c r="F6" s="3418"/>
      <c r="G6" s="3410" t="s">
        <v>1669</v>
      </c>
      <c r="H6" s="3411"/>
      <c r="I6" s="3410" t="s">
        <v>1669</v>
      </c>
      <c r="J6" s="3411"/>
      <c r="K6" s="537" t="s">
        <v>1670</v>
      </c>
      <c r="L6" s="2485"/>
      <c r="M6" s="2486"/>
      <c r="N6" s="2486"/>
      <c r="O6" s="2486"/>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4" t="s">
        <v>1672</v>
      </c>
      <c r="Q7" s="3416"/>
      <c r="R7" s="664" t="s">
        <v>14</v>
      </c>
      <c r="S7" s="665">
        <f t="shared" ref="S7:S14" si="0">F7</f>
        <v>0</v>
      </c>
      <c r="T7" s="664" t="s">
        <v>14</v>
      </c>
      <c r="U7" s="665">
        <f t="shared" ref="U7:U14" si="1">H7</f>
        <v>0</v>
      </c>
      <c r="V7" s="664" t="s">
        <v>14</v>
      </c>
      <c r="W7" s="665">
        <f t="shared" ref="W7:W14" si="2">J7</f>
        <v>0</v>
      </c>
      <c r="X7" s="666"/>
      <c r="Y7" s="3414" t="s">
        <v>1672</v>
      </c>
      <c r="Z7" s="3415"/>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4" t="s">
        <v>1675</v>
      </c>
      <c r="Q8" s="3415"/>
      <c r="R8" s="664" t="s">
        <v>14</v>
      </c>
      <c r="S8" s="665">
        <f t="shared" si="0"/>
        <v>100</v>
      </c>
      <c r="T8" s="664" t="s">
        <v>14</v>
      </c>
      <c r="U8" s="665">
        <f t="shared" si="1"/>
        <v>100</v>
      </c>
      <c r="V8" s="664" t="s">
        <v>14</v>
      </c>
      <c r="W8" s="665">
        <f t="shared" si="2"/>
        <v>100</v>
      </c>
      <c r="X8" s="666"/>
      <c r="Y8" s="3414" t="s">
        <v>1675</v>
      </c>
      <c r="Z8" s="3415"/>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6" t="s">
        <v>1678</v>
      </c>
      <c r="Q9" s="530" t="str">
        <f t="shared" ref="Q9:Q14" si="6">B9</f>
        <v>用途</v>
      </c>
      <c r="R9" s="664" t="s">
        <v>14</v>
      </c>
      <c r="S9" s="665">
        <f t="shared" si="0"/>
        <v>100</v>
      </c>
      <c r="T9" s="664" t="s">
        <v>14</v>
      </c>
      <c r="U9" s="665">
        <f t="shared" si="1"/>
        <v>100</v>
      </c>
      <c r="V9" s="664" t="s">
        <v>14</v>
      </c>
      <c r="W9" s="665">
        <f t="shared" si="2"/>
        <v>100</v>
      </c>
      <c r="X9" s="666"/>
      <c r="Y9" s="3283" t="s">
        <v>1679</v>
      </c>
      <c r="Z9" s="50" t="str">
        <f t="shared" ref="Z9:Z14" si="7">Q9</f>
        <v>用途</v>
      </c>
      <c r="AA9" s="50">
        <f t="shared" si="3"/>
        <v>1</v>
      </c>
      <c r="AB9" s="50">
        <f t="shared" si="4"/>
        <v>1</v>
      </c>
      <c r="AC9" s="50">
        <f t="shared" si="5"/>
        <v>1</v>
      </c>
    </row>
    <row r="10" spans="1:29" s="366" customFormat="1" ht="27">
      <c r="A10" s="363"/>
      <c r="B10" s="364" t="s">
        <v>1680</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6"/>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85.5">
      <c r="A14" s="379" t="s">
        <v>1682</v>
      </c>
      <c r="B14" s="58" t="s">
        <v>1825</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7" t="s">
        <v>1683</v>
      </c>
      <c r="Q14" s="1263" t="str">
        <f t="shared" si="6"/>
        <v>交通便捷度</v>
      </c>
      <c r="R14" s="667" t="s">
        <v>14</v>
      </c>
      <c r="S14" s="668">
        <f t="shared" si="0"/>
        <v>100</v>
      </c>
      <c r="T14" s="667" t="s">
        <v>14</v>
      </c>
      <c r="U14" s="668">
        <f t="shared" si="1"/>
        <v>100</v>
      </c>
      <c r="V14" s="667" t="s">
        <v>14</v>
      </c>
      <c r="W14" s="668">
        <f t="shared" si="2"/>
        <v>100</v>
      </c>
      <c r="X14" s="1265"/>
      <c r="Y14" s="3387" t="s">
        <v>1683</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8"/>
      <c r="Q15" s="1263"/>
      <c r="R15" s="667"/>
      <c r="S15" s="668"/>
      <c r="T15" s="667"/>
      <c r="U15" s="668"/>
      <c r="V15" s="667"/>
      <c r="W15" s="668"/>
      <c r="X15" s="1265"/>
      <c r="Y15" s="3388"/>
      <c r="Z15" s="1264"/>
      <c r="AA15" s="1264">
        <v>1</v>
      </c>
      <c r="AB15" s="1264">
        <v>1</v>
      </c>
      <c r="AC15" s="1264">
        <v>1</v>
      </c>
    </row>
    <row r="16" spans="1:29" ht="42.75">
      <c r="A16" s="367"/>
      <c r="B16" s="390" t="s">
        <v>1804</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8"/>
      <c r="Q17" s="1263"/>
      <c r="R17" s="667"/>
      <c r="S17" s="668"/>
      <c r="T17" s="667"/>
      <c r="U17" s="668"/>
      <c r="V17" s="667"/>
      <c r="W17" s="668"/>
      <c r="X17" s="1265"/>
      <c r="Y17" s="3388"/>
      <c r="Z17" s="1264"/>
      <c r="AA17" s="1264">
        <v>1</v>
      </c>
      <c r="AB17" s="1264">
        <v>1</v>
      </c>
      <c r="AC17" s="1264">
        <v>1</v>
      </c>
    </row>
    <row r="18" spans="1:29" ht="28.5">
      <c r="A18" s="367"/>
      <c r="B18" s="586" t="s">
        <v>1805</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8"/>
      <c r="Q19" s="1263"/>
      <c r="R19" s="667"/>
      <c r="S19" s="668"/>
      <c r="T19" s="667"/>
      <c r="U19" s="668"/>
      <c r="V19" s="667"/>
      <c r="W19" s="668"/>
      <c r="X19" s="1265"/>
      <c r="Y19" s="3388"/>
      <c r="Z19" s="1264"/>
      <c r="AA19" s="1264">
        <v>1</v>
      </c>
      <c r="AB19" s="1264">
        <v>1</v>
      </c>
      <c r="AC19" s="1264">
        <v>1</v>
      </c>
    </row>
    <row r="20" spans="1:29" ht="57">
      <c r="A20" s="367"/>
      <c r="B20" s="390" t="s">
        <v>1826</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8"/>
      <c r="Q21" s="1263"/>
      <c r="R21" s="667"/>
      <c r="S21" s="668"/>
      <c r="T21" s="667"/>
      <c r="U21" s="668"/>
      <c r="V21" s="667"/>
      <c r="W21" s="668"/>
      <c r="X21" s="1265"/>
      <c r="Y21" s="3388"/>
      <c r="Z21" s="1264"/>
      <c r="AA21" s="1264">
        <v>1</v>
      </c>
      <c r="AB21" s="1264">
        <v>1</v>
      </c>
      <c r="AC21" s="1264">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404" t="s">
        <v>1686</v>
      </c>
      <c r="B26" s="60" t="s">
        <v>1830</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389" t="s">
        <v>1688</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1688</v>
      </c>
      <c r="Z26" s="1264" t="str">
        <f t="shared" ref="Z26:Z34" si="15">Q26</f>
        <v>公共部分装修</v>
      </c>
      <c r="AA26" s="1264">
        <f t="shared" si="3"/>
        <v>1</v>
      </c>
      <c r="AB26" s="1264">
        <f t="shared" si="4"/>
        <v>1</v>
      </c>
      <c r="AC26" s="1264">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1688</v>
      </c>
      <c r="Q32" s="1263">
        <f t="shared" si="11"/>
        <v>111</v>
      </c>
      <c r="R32" s="667" t="s">
        <v>14</v>
      </c>
      <c r="S32" s="668">
        <f t="shared" si="12"/>
        <v>100</v>
      </c>
      <c r="T32" s="667" t="s">
        <v>14</v>
      </c>
      <c r="U32" s="668">
        <f t="shared" si="13"/>
        <v>100</v>
      </c>
      <c r="V32" s="667" t="s">
        <v>14</v>
      </c>
      <c r="W32" s="668">
        <f t="shared" si="14"/>
        <v>100</v>
      </c>
      <c r="X32" s="1265"/>
      <c r="Y32" s="3390" t="s">
        <v>1688</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5">
      <c r="A35" s="416" t="s">
        <v>1700</v>
      </c>
      <c r="B35" s="417"/>
      <c r="C35" s="1081" t="s">
        <v>0</v>
      </c>
      <c r="D35" s="418"/>
      <c r="E35" s="419"/>
      <c r="F35" s="420"/>
      <c r="G35" s="421"/>
      <c r="H35" s="422"/>
      <c r="I35" s="419"/>
      <c r="J35" s="422"/>
      <c r="K35" s="674"/>
      <c r="L35" s="2493"/>
      <c r="M35" s="2486"/>
      <c r="N35" s="2486"/>
      <c r="O35" s="2486"/>
      <c r="P35" s="3386" t="str">
        <f>A35</f>
        <v>成交单价（元/平方米）</v>
      </c>
      <c r="Q35" s="3386"/>
      <c r="R35" s="3391">
        <f>E35</f>
        <v>0</v>
      </c>
      <c r="S35" s="3391"/>
      <c r="T35" s="3391">
        <f>G35</f>
        <v>0</v>
      </c>
      <c r="U35" s="3391"/>
      <c r="V35" s="3391">
        <f>I35</f>
        <v>0</v>
      </c>
      <c r="W35" s="3391"/>
      <c r="X35" s="385"/>
      <c r="Y35" s="673"/>
      <c r="Z35" s="385"/>
      <c r="AA35" s="385"/>
      <c r="AB35" s="385"/>
      <c r="AC35" s="385"/>
    </row>
    <row r="36" spans="1:30" ht="15.75" thickBot="1">
      <c r="A36" s="423" t="s">
        <v>1785</v>
      </c>
      <c r="B36" s="424"/>
      <c r="C36" s="1082" t="e">
        <f>R37</f>
        <v>#DIV/0!</v>
      </c>
      <c r="D36" s="2141" t="s">
        <v>2128</v>
      </c>
      <c r="E36" s="1083" t="e">
        <f>R36</f>
        <v>#DIV/0!</v>
      </c>
      <c r="F36" s="2142"/>
      <c r="G36" s="1082" t="e">
        <f>T36</f>
        <v>#DIV/0!</v>
      </c>
      <c r="H36" s="2142"/>
      <c r="I36" s="1083" t="e">
        <f>V36</f>
        <v>#DIV/0!</v>
      </c>
      <c r="J36" s="2142"/>
      <c r="K36" s="2144">
        <f>F36+H36+J36</f>
        <v>0</v>
      </c>
      <c r="L36" s="2493"/>
      <c r="M36" s="2486"/>
      <c r="N36" s="2486"/>
      <c r="O36" s="2486"/>
      <c r="P36" s="3386" t="str">
        <f>A36</f>
        <v>比较价值（元/平方米）</v>
      </c>
      <c r="Q36" s="338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89" t="e">
        <f>IF(F1="售价",ROUND(IF(D36="简单平均",AVERAGE(R36:W36),R36*F36+T36*H36+V36*J36),0),ROUND(IF(D36="简单平均",AVERAGE(R36:V36),R36*F36+T36*H36+V36*J36),1))</f>
        <v>#DIV/0!</v>
      </c>
      <c r="S37" s="3489"/>
      <c r="T37" s="3489"/>
      <c r="U37" s="3489"/>
      <c r="V37" s="3489"/>
      <c r="W37" s="348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1790</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1671</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1708</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1673</v>
      </c>
      <c r="B49" s="444"/>
      <c r="C49" s="456" t="s">
        <v>1768</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1711</v>
      </c>
      <c r="B51" s="460" t="s">
        <v>1677</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1680</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1855</v>
      </c>
      <c r="C63" s="509" t="s">
        <v>1713</v>
      </c>
      <c r="D63" s="509" t="s">
        <v>1714</v>
      </c>
      <c r="E63" s="509" t="s">
        <v>1715</v>
      </c>
      <c r="F63" s="509" t="s">
        <v>1716</v>
      </c>
      <c r="G63" s="509" t="s">
        <v>1717</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1805</v>
      </c>
      <c r="C65" s="581" t="s">
        <v>1791</v>
      </c>
      <c r="D65" s="581" t="s">
        <v>1792</v>
      </c>
      <c r="E65" s="581" t="s">
        <v>1793</v>
      </c>
      <c r="F65" s="581" t="s">
        <v>1794</v>
      </c>
      <c r="G65" s="581" t="s">
        <v>1795</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1725</v>
      </c>
      <c r="C67" s="509" t="s">
        <v>1713</v>
      </c>
      <c r="D67" s="509" t="s">
        <v>1714</v>
      </c>
      <c r="E67" s="509" t="s">
        <v>1715</v>
      </c>
      <c r="F67" s="509" t="s">
        <v>1716</v>
      </c>
      <c r="G67" s="509" t="s">
        <v>1717</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1844</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1686</v>
      </c>
      <c r="B77" s="460" t="s">
        <v>1732</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1848</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1856</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1858</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871</v>
      </c>
      <c r="B1" s="663"/>
      <c r="C1" s="1287" t="s">
        <v>3833</v>
      </c>
      <c r="D1" s="1271" t="s">
        <v>43</v>
      </c>
      <c r="E1" s="1272" t="s">
        <v>672</v>
      </c>
      <c r="F1" s="999">
        <f ca="1">J53</f>
        <v>23.01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798</v>
      </c>
      <c r="B2" s="1294">
        <f ca="1">C40+J29+L46</f>
        <v>5378</v>
      </c>
      <c r="C2" s="1289" t="s">
        <v>799</v>
      </c>
      <c r="D2" s="1289"/>
      <c r="E2" s="1295"/>
      <c r="F2" s="1296"/>
      <c r="G2" s="2477"/>
      <c r="H2" s="2467"/>
      <c r="I2" s="2467"/>
      <c r="J2" s="2467"/>
      <c r="K2" s="2468"/>
      <c r="L2" s="2467"/>
      <c r="M2" s="2467"/>
    </row>
    <row r="3" spans="1:37" ht="18" customHeight="1" thickBot="1">
      <c r="A3" s="1297" t="s">
        <v>800</v>
      </c>
      <c r="B3" s="1298">
        <f ca="1">IF(ISERROR(B2*10000/F43),0,ROUND(B2*10000/F43,0))</f>
        <v>5148</v>
      </c>
      <c r="C3" s="1289" t="s">
        <v>801</v>
      </c>
      <c r="D3" s="1289"/>
      <c r="E3" s="1295"/>
      <c r="F3" s="1296"/>
      <c r="G3" s="2477"/>
      <c r="H3" s="649" t="s">
        <v>870</v>
      </c>
      <c r="I3" s="1290"/>
      <c r="J3" s="1290"/>
      <c r="K3" s="1291"/>
      <c r="L3" s="1290"/>
      <c r="M3" s="1290"/>
    </row>
    <row r="4" spans="1:37" ht="18" customHeight="1">
      <c r="A4" s="287" t="s">
        <v>681</v>
      </c>
      <c r="B4" s="288" t="s">
        <v>682</v>
      </c>
      <c r="C4" s="288" t="s">
        <v>683</v>
      </c>
      <c r="D4" s="288" t="s">
        <v>684</v>
      </c>
      <c r="E4" s="289" t="s">
        <v>685</v>
      </c>
      <c r="F4" s="290"/>
      <c r="G4" s="1292"/>
      <c r="H4" s="287" t="s">
        <v>681</v>
      </c>
      <c r="I4" s="288" t="s">
        <v>682</v>
      </c>
      <c r="J4" s="288" t="s">
        <v>683</v>
      </c>
      <c r="K4" s="288" t="s">
        <v>684</v>
      </c>
      <c r="L4" s="289" t="s">
        <v>685</v>
      </c>
      <c r="M4" s="290"/>
    </row>
    <row r="5" spans="1:37" ht="18" customHeight="1">
      <c r="A5" s="291">
        <v>1</v>
      </c>
      <c r="B5" s="292" t="s">
        <v>686</v>
      </c>
      <c r="C5" s="1007">
        <f ca="1">C6+C10+C12</f>
        <v>447</v>
      </c>
      <c r="D5" s="1273" t="s">
        <v>687</v>
      </c>
      <c r="E5" s="1008"/>
      <c r="F5" s="1009"/>
      <c r="G5" s="1292"/>
      <c r="H5" s="291">
        <v>1</v>
      </c>
      <c r="I5" s="292" t="s">
        <v>686</v>
      </c>
      <c r="J5" s="1007">
        <f ca="1">J6+J10+J12</f>
        <v>0</v>
      </c>
      <c r="K5" s="1273" t="s">
        <v>687</v>
      </c>
      <c r="L5" s="1008"/>
      <c r="M5" s="1009"/>
    </row>
    <row r="6" spans="1:37" ht="18" customHeight="1">
      <c r="A6" s="1006" t="s">
        <v>398</v>
      </c>
      <c r="B6" s="3441" t="s">
        <v>688</v>
      </c>
      <c r="C6" s="1011">
        <f ca="1">ROUND(F6*F8*F7*(1-F9)/10000,0)</f>
        <v>446</v>
      </c>
      <c r="D6" s="147" t="s">
        <v>2099</v>
      </c>
      <c r="E6" s="294" t="s">
        <v>690</v>
      </c>
      <c r="F6" s="295">
        <f ca="1">INDIRECT("'数据-取费表'!u"&amp;$G$1)</f>
        <v>1.3</v>
      </c>
      <c r="G6" s="1292"/>
      <c r="H6" s="1006" t="s">
        <v>398</v>
      </c>
      <c r="I6" s="3441" t="s">
        <v>688</v>
      </c>
      <c r="J6" s="293">
        <f ca="1">ROUND(M6*M8*M7*(1-M9)/10000,0)</f>
        <v>0</v>
      </c>
      <c r="K6" s="147" t="s">
        <v>2098</v>
      </c>
      <c r="L6" s="294" t="s">
        <v>690</v>
      </c>
      <c r="M6" s="295">
        <f ca="1">INDIRECT("'数据-取费表'!z"&amp;$G$1)</f>
        <v>0</v>
      </c>
    </row>
    <row r="7" spans="1:37" ht="18" customHeight="1">
      <c r="A7" s="1010"/>
      <c r="B7" s="3442"/>
      <c r="C7" s="1012"/>
      <c r="D7" s="299"/>
      <c r="E7" s="1013" t="s">
        <v>691</v>
      </c>
      <c r="F7" s="295">
        <f ca="1">IF(INDIRECT("'数据-取费表'!ah"&amp;$G$1)="",INDIRECT("'数据-取费表'!k"&amp;$G$1),INDIRECT("'数据-取费表'!ah"&amp;$G$1))</f>
        <v>10446.719999999999</v>
      </c>
      <c r="G7" s="1292"/>
      <c r="H7" s="296"/>
      <c r="I7" s="3442"/>
      <c r="J7" s="298"/>
      <c r="K7" s="299"/>
      <c r="L7" s="294" t="s">
        <v>691</v>
      </c>
      <c r="M7" s="295">
        <f ca="1">F7</f>
        <v>10446.719999999999</v>
      </c>
    </row>
    <row r="8" spans="1:37" ht="18" customHeight="1">
      <c r="A8" s="296"/>
      <c r="B8" s="3442"/>
      <c r="C8" s="298"/>
      <c r="D8" s="299"/>
      <c r="E8" s="294" t="s">
        <v>692</v>
      </c>
      <c r="F8" s="295">
        <f ca="1">INDIRECT("'数据-取费表'!ai"&amp;$G$1)</f>
        <v>365</v>
      </c>
      <c r="G8" s="1292"/>
      <c r="H8" s="296"/>
      <c r="I8" s="3442"/>
      <c r="J8" s="298"/>
      <c r="K8" s="299"/>
      <c r="L8" s="294" t="s">
        <v>692</v>
      </c>
      <c r="M8" s="295">
        <f ca="1">INDIRECT("'数据-取费表'!ai"&amp;$G$1)</f>
        <v>365</v>
      </c>
    </row>
    <row r="9" spans="1:37" ht="18" customHeight="1">
      <c r="A9" s="296"/>
      <c r="B9" s="3443"/>
      <c r="C9" s="298"/>
      <c r="D9" s="299"/>
      <c r="E9" s="294" t="s">
        <v>693</v>
      </c>
      <c r="F9" s="304">
        <f ca="1">INDIRECT("'数据-取费表'!w"&amp;$G$1)</f>
        <v>0.1</v>
      </c>
      <c r="G9" s="1292"/>
      <c r="H9" s="296"/>
      <c r="I9" s="3443"/>
      <c r="J9" s="298"/>
      <c r="K9" s="299"/>
      <c r="L9" s="305" t="s">
        <v>693</v>
      </c>
      <c r="M9" s="306">
        <f ca="1">INDIRECT("'数据-取费表'!ab"&amp;$G$1)</f>
        <v>0</v>
      </c>
    </row>
    <row r="10" spans="1:37" ht="18" customHeight="1">
      <c r="A10" s="1006" t="s">
        <v>402</v>
      </c>
      <c r="B10" s="1274" t="s">
        <v>694</v>
      </c>
      <c r="C10" s="308">
        <f ca="1">ROUND(IF(F10="押一",C6/12*F11,IF(F10="押二",C6/12*2*F11,IF(F10="押三",C6/12*3*F11,C11*F11))),0)</f>
        <v>1</v>
      </c>
      <c r="D10" s="150" t="s">
        <v>2107</v>
      </c>
      <c r="E10" s="305" t="s">
        <v>695</v>
      </c>
      <c r="F10" s="1053" t="s">
        <v>3817</v>
      </c>
      <c r="G10" s="1292"/>
      <c r="H10" s="1006" t="s">
        <v>402</v>
      </c>
      <c r="I10" s="1274" t="s">
        <v>694</v>
      </c>
      <c r="J10" s="293">
        <f ca="1">ROUND(IF(M10="押一",J6/12*M11,IF(M10="押二",J6/12*2*M11,IF(M10="押三",J6/12*3*M11,J11*M11))),0)</f>
        <v>0</v>
      </c>
      <c r="K10" s="150" t="s">
        <v>2106</v>
      </c>
      <c r="L10" s="305" t="s">
        <v>695</v>
      </c>
      <c r="M10" s="1053"/>
    </row>
    <row r="11" spans="1:37" ht="18" customHeight="1">
      <c r="A11" s="300"/>
      <c r="B11" s="1275" t="s">
        <v>673</v>
      </c>
      <c r="C11" s="905"/>
      <c r="D11" s="1276"/>
      <c r="E11" s="305" t="s">
        <v>696</v>
      </c>
      <c r="F11" s="306">
        <f ca="1">'数据-取费表'!B39</f>
        <v>1.4999999999999999E-2</v>
      </c>
      <c r="G11" s="1292"/>
      <c r="H11" s="1014"/>
      <c r="I11" s="1275" t="s">
        <v>673</v>
      </c>
      <c r="J11" s="905"/>
      <c r="K11" s="646"/>
      <c r="L11" s="305" t="s">
        <v>696</v>
      </c>
      <c r="M11" s="809">
        <f ca="1">'数据-取费表'!B39</f>
        <v>1.4999999999999999E-2</v>
      </c>
    </row>
    <row r="12" spans="1:37" ht="18" customHeight="1" thickBot="1">
      <c r="A12" s="1020" t="s">
        <v>437</v>
      </c>
      <c r="B12" s="1277" t="s">
        <v>697</v>
      </c>
      <c r="C12" s="1021"/>
      <c r="D12" s="1022"/>
      <c r="E12" s="1027"/>
      <c r="F12" s="1023"/>
      <c r="G12" s="1292"/>
      <c r="H12" s="1020" t="s">
        <v>437</v>
      </c>
      <c r="I12" s="1277" t="s">
        <v>697</v>
      </c>
      <c r="J12" s="1021"/>
      <c r="K12" s="1035"/>
      <c r="L12" s="1027"/>
      <c r="M12" s="1036"/>
    </row>
    <row r="13" spans="1:37" ht="18" customHeight="1" thickTop="1">
      <c r="A13" s="1016">
        <v>2</v>
      </c>
      <c r="B13" s="1017" t="s">
        <v>698</v>
      </c>
      <c r="C13" s="302">
        <f ca="1">ROUND(C29*F13,0)</f>
        <v>3751</v>
      </c>
      <c r="D13" s="1018" t="s">
        <v>699</v>
      </c>
      <c r="E13" s="1018" t="s">
        <v>700</v>
      </c>
      <c r="F13" s="1019">
        <f ca="1">INDIRECT("'数据-取费表'!y"&amp;$G$1)</f>
        <v>0.66</v>
      </c>
      <c r="G13" s="1292"/>
      <c r="H13" s="1016">
        <v>2</v>
      </c>
      <c r="I13" s="1017" t="s">
        <v>698</v>
      </c>
      <c r="J13" s="1005">
        <f ca="1">ROUND(J14*J15,0)</f>
        <v>0</v>
      </c>
      <c r="K13" s="1024" t="s">
        <v>699</v>
      </c>
      <c r="L13" s="1299"/>
      <c r="M13" s="1300"/>
    </row>
    <row r="14" spans="1:37" ht="18" customHeight="1">
      <c r="A14" s="928" t="s">
        <v>397</v>
      </c>
      <c r="B14" s="294" t="s">
        <v>701</v>
      </c>
      <c r="C14" s="310">
        <f ca="1">INDIRECT("'数据-取费表'!m"&amp;$G$1)+INDIRECT("'数据-取费表'!t"&amp;$G$1)</f>
        <v>4179</v>
      </c>
      <c r="D14" s="1257" t="s">
        <v>702</v>
      </c>
      <c r="E14" s="1255"/>
      <c r="F14" s="311"/>
      <c r="G14" s="1292"/>
      <c r="H14" s="928" t="s">
        <v>398</v>
      </c>
      <c r="I14" s="294" t="s">
        <v>703</v>
      </c>
      <c r="J14" s="21">
        <f ca="1">C29</f>
        <v>5683</v>
      </c>
      <c r="K14" s="12"/>
      <c r="L14" s="759"/>
      <c r="M14" s="760"/>
    </row>
    <row r="15" spans="1:37" s="1304" customFormat="1" ht="18" customHeight="1" thickBot="1">
      <c r="A15" s="928" t="s">
        <v>399</v>
      </c>
      <c r="B15" s="294" t="s">
        <v>704</v>
      </c>
      <c r="C15" s="21">
        <f ca="1">ROUND(C14*F15,0)</f>
        <v>209</v>
      </c>
      <c r="D15" s="312" t="s">
        <v>705</v>
      </c>
      <c r="E15" s="312" t="s">
        <v>706</v>
      </c>
      <c r="F15" s="313">
        <f>'数据-取费表'!B33</f>
        <v>0.05</v>
      </c>
      <c r="G15" s="1303"/>
      <c r="H15" s="1026" t="s">
        <v>402</v>
      </c>
      <c r="I15" s="1027" t="s">
        <v>700</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2"/>
      <c r="H16" s="1016" t="s">
        <v>393</v>
      </c>
      <c r="I16" s="1017" t="s">
        <v>708</v>
      </c>
      <c r="J16" s="302">
        <f ca="1">ROUND(J17+J22+J23+J24,0)</f>
        <v>28</v>
      </c>
      <c r="K16" s="1024" t="s">
        <v>709</v>
      </c>
      <c r="L16" s="1025"/>
      <c r="M16" s="1009"/>
    </row>
    <row r="17" spans="1:37" s="1304" customFormat="1" ht="18" customHeight="1">
      <c r="A17" s="928" t="s">
        <v>675</v>
      </c>
      <c r="B17" s="294" t="s">
        <v>710</v>
      </c>
      <c r="C17" s="21">
        <f ca="1">ROUND(F17*(F43+INDIRECT("'数据-取费表'!S"&amp;$G$1))/10000,0)</f>
        <v>0</v>
      </c>
      <c r="D17" s="294" t="s">
        <v>711</v>
      </c>
      <c r="E17" s="294" t="s">
        <v>712</v>
      </c>
      <c r="F17" s="23">
        <f>'数据-取费表'!B35</f>
        <v>0</v>
      </c>
      <c r="G17" s="1303"/>
      <c r="H17" s="928" t="s">
        <v>398</v>
      </c>
      <c r="I17" s="294" t="s">
        <v>713</v>
      </c>
      <c r="J17" s="2140">
        <f ca="1">ROUND(IF(AND(项目基本情况!B11="自然人",项目基本情况!B10="北京市"),J6*M17/(1+'数据-取费表'!C42),J18+J19+J20),2)</f>
        <v>0</v>
      </c>
      <c r="K17" s="1257" t="s">
        <v>714</v>
      </c>
      <c r="L17" s="1256" t="s">
        <v>715</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676</v>
      </c>
      <c r="B18" s="294" t="s">
        <v>716</v>
      </c>
      <c r="C18" s="21">
        <f ca="1">ROUND(C14*F18,0)</f>
        <v>125</v>
      </c>
      <c r="D18" s="294" t="s">
        <v>705</v>
      </c>
      <c r="E18" s="294" t="s">
        <v>706</v>
      </c>
      <c r="F18" s="314">
        <f>'数据-取费表'!B36</f>
        <v>0.03</v>
      </c>
      <c r="G18" s="1303"/>
      <c r="H18" s="928" t="s">
        <v>397</v>
      </c>
      <c r="I18" s="294" t="s">
        <v>717</v>
      </c>
      <c r="J18" s="21">
        <f ca="1">ROUND(J6*M18/(1+'数据-取费表'!C42),2)</f>
        <v>0</v>
      </c>
      <c r="K18" s="1256" t="s">
        <v>718</v>
      </c>
      <c r="L18" s="294" t="s">
        <v>706</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719</v>
      </c>
      <c r="C19" s="21">
        <f ca="1">SUM(C14:C18)</f>
        <v>4513</v>
      </c>
      <c r="D19" s="123" t="s">
        <v>720</v>
      </c>
      <c r="E19" s="1269"/>
      <c r="F19" s="23"/>
      <c r="G19" s="1292"/>
      <c r="H19" s="928" t="s">
        <v>399</v>
      </c>
      <c r="I19" s="294" t="s">
        <v>721</v>
      </c>
      <c r="J19" s="21">
        <f ca="1">IF(K19="按租金收入计税",ROUND(J6*M19/(1+'数据-取费表'!C42),2),ROUND(C29*M19*0.7,2))</f>
        <v>0</v>
      </c>
      <c r="K19" s="1278" t="s">
        <v>3323</v>
      </c>
      <c r="L19" s="294" t="s">
        <v>706</v>
      </c>
      <c r="M19" s="314">
        <f>IF(K19="按租金收入计税",'数据-取费表'!B51,'数据-取费表'!B50)</f>
        <v>0.12</v>
      </c>
    </row>
    <row r="20" spans="1:37" s="1304" customFormat="1" ht="18" customHeight="1">
      <c r="A20" s="928" t="s">
        <v>402</v>
      </c>
      <c r="B20" s="294" t="s">
        <v>722</v>
      </c>
      <c r="C20" s="21">
        <f ca="1">ROUND(C19*F20,0)</f>
        <v>135</v>
      </c>
      <c r="D20" s="315" t="s">
        <v>723</v>
      </c>
      <c r="E20" s="294" t="s">
        <v>706</v>
      </c>
      <c r="F20" s="314">
        <f>'数据-取费表'!B37</f>
        <v>0.03</v>
      </c>
      <c r="G20" s="1303"/>
      <c r="H20" s="928" t="s">
        <v>674</v>
      </c>
      <c r="I20" s="147" t="s">
        <v>724</v>
      </c>
      <c r="J20" s="22">
        <f ca="1">ROUND(M20*M21/10000,2)</f>
        <v>0</v>
      </c>
      <c r="K20" s="316" t="s">
        <v>725</v>
      </c>
      <c r="L20" s="294" t="s">
        <v>726</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727</v>
      </c>
      <c r="C21" s="21" t="s">
        <v>15</v>
      </c>
      <c r="D21" s="315" t="s">
        <v>728</v>
      </c>
      <c r="E21" s="294" t="s">
        <v>729</v>
      </c>
      <c r="F21" s="314">
        <f>'数据-取费表'!B38</f>
        <v>0.02</v>
      </c>
      <c r="G21" s="1303"/>
      <c r="H21" s="318"/>
      <c r="I21" s="303"/>
      <c r="J21" s="26"/>
      <c r="K21" s="319"/>
      <c r="L21" s="294" t="s">
        <v>730</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9"/>
      <c r="F22" s="23"/>
      <c r="G22" s="1292"/>
      <c r="H22" s="928" t="s">
        <v>402</v>
      </c>
      <c r="I22" s="294" t="s">
        <v>732</v>
      </c>
      <c r="J22" s="21">
        <f ca="1">ROUND(J14*M22,2)</f>
        <v>28.42</v>
      </c>
      <c r="K22" s="1256" t="s">
        <v>733</v>
      </c>
      <c r="L22" s="294" t="s">
        <v>706</v>
      </c>
      <c r="M22" s="320">
        <f ca="1">INDIRECT("'数据-取费表'!Ak"&amp;$G$1)</f>
        <v>5.0000000000000001E-3</v>
      </c>
    </row>
    <row r="23" spans="1:37" s="1304" customFormat="1" ht="18" customHeight="1">
      <c r="A23" s="928" t="s">
        <v>397</v>
      </c>
      <c r="B23" s="294" t="s">
        <v>734</v>
      </c>
      <c r="C23" s="21">
        <f ca="1">IF('数据-取费表'!B22&lt;=1,ROUND(C19*F24*F23/2,0)+ROUND(C20*F24*F23/2,0),ROUND(C19*(POWER((1+F24),F23/2)-1),0)+ROUND(C20*(POWER((1+F24),F23/2)-1),0))</f>
        <v>144</v>
      </c>
      <c r="D23" s="138" t="str">
        <f>IF(F23&lt;=1,"(建造成本+管理费用)×利率×(建设周期÷2)","(建造成本+管理费用)×((1+利率)^(建设周期÷2)-1)")</f>
        <v>(建造成本+管理费用)×((1+利率)^(建设周期÷2)-1)</v>
      </c>
      <c r="E23" s="294" t="s">
        <v>735</v>
      </c>
      <c r="F23" s="317">
        <f>'数据-取费表'!B20</f>
        <v>2</v>
      </c>
      <c r="G23" s="1303"/>
      <c r="H23" s="928" t="s">
        <v>437</v>
      </c>
      <c r="I23" s="294" t="s">
        <v>736</v>
      </c>
      <c r="J23" s="21">
        <f ca="1">ROUND(J13*M23,2)</f>
        <v>0</v>
      </c>
      <c r="K23" s="1256" t="s">
        <v>737</v>
      </c>
      <c r="L23" s="294" t="s">
        <v>738</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739</v>
      </c>
      <c r="B24" s="294" t="s">
        <v>740</v>
      </c>
      <c r="C24" s="21">
        <f ca="1">ROUND(IF('数据-取费表'!B22&lt;=1,F21*F24*F23/2,F21*(POWER((1+F24),F23/2)-1)),4)</f>
        <v>5.9999999999999995E-4</v>
      </c>
      <c r="D24" s="138" t="str">
        <f>IF(F23&lt;=1,"销售费用×利率×(建设周期÷2)","销售费用×((1+利率)^(建设周期÷2)-1)")</f>
        <v>销售费用×((1+利率)^(建设周期÷2)-1)</v>
      </c>
      <c r="E24" s="294" t="s">
        <v>741</v>
      </c>
      <c r="F24" s="322">
        <f ca="1">'数据-取费表'!B40</f>
        <v>3.1E-2</v>
      </c>
      <c r="G24" s="1303"/>
      <c r="H24" s="1026" t="s">
        <v>678</v>
      </c>
      <c r="I24" s="1027" t="s">
        <v>722</v>
      </c>
      <c r="J24" s="1028">
        <f ca="1">ROUND(J5*M24,2)</f>
        <v>0</v>
      </c>
      <c r="K24" s="1029" t="s">
        <v>742</v>
      </c>
      <c r="L24" s="1027" t="s">
        <v>738</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743</v>
      </c>
      <c r="B25" s="294" t="s">
        <v>744</v>
      </c>
      <c r="C25" s="21"/>
      <c r="D25" s="123" t="s">
        <v>745</v>
      </c>
      <c r="E25" s="1269"/>
      <c r="F25" s="23"/>
      <c r="G25" s="1292"/>
      <c r="H25" s="1016" t="s">
        <v>394</v>
      </c>
      <c r="I25" s="1031" t="s">
        <v>746</v>
      </c>
      <c r="J25" s="302">
        <f ca="1">J5-J16</f>
        <v>-28</v>
      </c>
      <c r="K25" s="1032" t="s">
        <v>747</v>
      </c>
      <c r="L25" s="1033"/>
      <c r="M25" s="1034"/>
    </row>
    <row r="26" spans="1:37">
      <c r="A26" s="928" t="s">
        <v>397</v>
      </c>
      <c r="B26" s="294" t="s">
        <v>748</v>
      </c>
      <c r="C26" s="21">
        <f ca="1">ROUND((C19+C20)*F26,0)</f>
        <v>465</v>
      </c>
      <c r="D26" s="315" t="s">
        <v>749</v>
      </c>
      <c r="E26" s="305" t="s">
        <v>750</v>
      </c>
      <c r="F26" s="304">
        <f ca="1">INDIRECT("'数据-取费表'!q"&amp;$G$1)</f>
        <v>0.1</v>
      </c>
      <c r="G26" s="1292"/>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2E-3</v>
      </c>
      <c r="D27" s="315" t="s">
        <v>755</v>
      </c>
      <c r="E27" s="312"/>
      <c r="F27" s="313"/>
      <c r="G27" s="1292"/>
      <c r="H27" s="296"/>
      <c r="I27" s="297"/>
      <c r="J27" s="298"/>
      <c r="K27" s="323" t="s">
        <v>756</v>
      </c>
      <c r="L27" s="294" t="s">
        <v>757</v>
      </c>
      <c r="M27" s="324">
        <f ca="1">INDIRECT("'数据-取费表'!ag"&amp;$G$1)</f>
        <v>0</v>
      </c>
    </row>
    <row r="28" spans="1:37" s="1304" customFormat="1" ht="18" customHeight="1">
      <c r="A28" s="928" t="s">
        <v>400</v>
      </c>
      <c r="B28" s="294" t="s">
        <v>758</v>
      </c>
      <c r="C28" s="21">
        <f>ROUND(F28/(1+'数据-取费表'!C42),4)</f>
        <v>5.2400000000000002E-2</v>
      </c>
      <c r="D28" s="315" t="s">
        <v>759</v>
      </c>
      <c r="E28" s="294" t="s">
        <v>706</v>
      </c>
      <c r="F28" s="314">
        <f>'数据-取费表'!B41</f>
        <v>5.5000000000000007E-2</v>
      </c>
      <c r="G28" s="1303"/>
      <c r="H28" s="300"/>
      <c r="I28" s="301"/>
      <c r="J28" s="302"/>
      <c r="K28" s="319"/>
      <c r="L28" s="294" t="s">
        <v>760</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761</v>
      </c>
      <c r="C29" s="1028">
        <f ca="1">ROUND((C19+C20+C23+C26)/(1-F21-C24-C27-C28),0)</f>
        <v>5683</v>
      </c>
      <c r="D29" s="1029"/>
      <c r="E29" s="1027"/>
      <c r="F29" s="1030"/>
      <c r="G29" s="1303"/>
      <c r="H29" s="325" t="s">
        <v>396</v>
      </c>
      <c r="I29" s="326" t="s">
        <v>762</v>
      </c>
      <c r="J29" s="327">
        <f ca="1">ROUND(J26/(1+F40)^F41,0)</f>
        <v>0</v>
      </c>
      <c r="K29" s="328" t="s">
        <v>763</v>
      </c>
      <c r="L29" s="329"/>
      <c r="M29" s="330">
        <f ca="1">INDIRECT("'数据-取费表'!k"&amp;$G$1)</f>
        <v>10446.719999999999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708</v>
      </c>
      <c r="C30" s="302">
        <f ca="1">ROUND(C31+C36+C37+C38,0)</f>
        <v>111</v>
      </c>
      <c r="D30" s="1024" t="s">
        <v>709</v>
      </c>
      <c r="E30" s="1025"/>
      <c r="F30" s="1009"/>
      <c r="G30" s="1292"/>
      <c r="H30" s="2469"/>
      <c r="I30" s="1305"/>
      <c r="J30" s="1306"/>
      <c r="K30" s="121"/>
      <c r="L30" s="2470"/>
      <c r="M30" s="2471"/>
    </row>
    <row r="31" spans="1:37" ht="18" customHeight="1">
      <c r="A31" s="928" t="s">
        <v>398</v>
      </c>
      <c r="B31" s="294" t="s">
        <v>713</v>
      </c>
      <c r="C31" s="2140">
        <f ca="1">ROUND(IF(AND(项目基本情况!B11="自然人",项目基本情况!B10="北京市"),C6*F31/(1+'数据-取费表'!C42),C32+C33+C34),2)</f>
        <v>74.33</v>
      </c>
      <c r="D31" s="1257" t="s">
        <v>714</v>
      </c>
      <c r="E31" s="1256" t="s">
        <v>764</v>
      </c>
      <c r="F31" s="2139" t="str">
        <f>IF(项目基本情况!B11="企业","——",IF(M47="住宅",IF(F6*F7*F8/12/(1+'数据-取费表'!F30)&gt;100000,4%,2.5%),IF(F6*F7*F8/12/(1+'数据-取费表'!F30)&gt;100000,12%,7%)))</f>
        <v>——</v>
      </c>
      <c r="G31" s="1292"/>
      <c r="H31" s="2568" t="s">
        <v>2296</v>
      </c>
      <c r="I31" s="1305"/>
      <c r="J31" s="1306"/>
      <c r="K31" s="121"/>
      <c r="L31" s="2470"/>
      <c r="M31" s="2471"/>
    </row>
    <row r="32" spans="1:37" ht="18" customHeight="1">
      <c r="A32" s="928" t="s">
        <v>397</v>
      </c>
      <c r="B32" s="294" t="s">
        <v>717</v>
      </c>
      <c r="C32" s="21">
        <f ca="1">IF(项目基本情况!B11="自然人","——",ROUND(C6*F32/(1+'数据-取费表'!C42),2))</f>
        <v>23.36</v>
      </c>
      <c r="D32" s="1256" t="s">
        <v>718</v>
      </c>
      <c r="E32" s="294" t="s">
        <v>706</v>
      </c>
      <c r="F32" s="322">
        <f>'数据-取费表'!B41</f>
        <v>5.5000000000000007E-2</v>
      </c>
      <c r="G32" s="1292"/>
      <c r="H32" s="2469"/>
      <c r="I32" s="1305"/>
      <c r="J32" s="1306"/>
      <c r="K32" s="121"/>
      <c r="L32" s="2470"/>
      <c r="M32" s="2471"/>
    </row>
    <row r="33" spans="1:18" ht="18" customHeight="1">
      <c r="A33" s="928" t="s">
        <v>399</v>
      </c>
      <c r="B33" s="294" t="s">
        <v>721</v>
      </c>
      <c r="C33" s="21">
        <f ca="1">IF(项目基本情况!B11="自然人","——",IF(D33="按租金收入计税",ROUND(C6*F33/(1+'数据-取费表'!C42),2),IF(D33="按房产原值计税",ROUND(C29*F33*0.7,2),INDIRECT("'数据-取费表'!Aj"&amp;$G$1))))</f>
        <v>50.97</v>
      </c>
      <c r="D33" s="1278" t="s">
        <v>3323</v>
      </c>
      <c r="E33" s="294" t="s">
        <v>706</v>
      </c>
      <c r="F33" s="314">
        <f>IF(D33="按票据","——",IF(D33="按租金收入计税",'数据-取费表'!B51,'数据-取费表'!B50))</f>
        <v>0.12</v>
      </c>
      <c r="G33" s="1292"/>
      <c r="H33" s="2472"/>
      <c r="I33" s="1305"/>
      <c r="J33" s="1306"/>
      <c r="K33" s="2473"/>
      <c r="L33" s="2472"/>
      <c r="M33" s="2472"/>
    </row>
    <row r="34" spans="1:18" ht="18" customHeight="1">
      <c r="A34" s="1006" t="s">
        <v>674</v>
      </c>
      <c r="B34" s="147" t="s">
        <v>724</v>
      </c>
      <c r="C34" s="22">
        <f ca="1">IF(项目基本情况!B11="自然人","——",ROUND(F34*F35/10000,2))</f>
        <v>0</v>
      </c>
      <c r="D34" s="316" t="s">
        <v>725</v>
      </c>
      <c r="E34" s="294" t="s">
        <v>726</v>
      </c>
      <c r="F34" s="317">
        <f>'数据-取费表'!B52</f>
        <v>1.5</v>
      </c>
      <c r="G34" s="1292"/>
      <c r="H34" s="2469"/>
      <c r="I34" s="1305"/>
      <c r="J34" s="1306"/>
      <c r="K34" s="2474"/>
      <c r="L34" s="2475"/>
      <c r="M34" s="2475"/>
    </row>
    <row r="35" spans="1:18" ht="18" customHeight="1">
      <c r="A35" s="1040"/>
      <c r="B35" s="1038"/>
      <c r="C35" s="26"/>
      <c r="D35" s="319"/>
      <c r="E35" s="294" t="s">
        <v>730</v>
      </c>
      <c r="F35" s="295">
        <f ca="1">INDIRECT("'数据-取费表'!r"&amp;$G$1)</f>
        <v>0</v>
      </c>
      <c r="G35" s="1292"/>
      <c r="H35" s="2469"/>
      <c r="I35" s="1305"/>
      <c r="J35" s="1306"/>
      <c r="K35" s="2473"/>
      <c r="L35" s="2472"/>
      <c r="M35" s="2472"/>
    </row>
    <row r="36" spans="1:18" ht="18" customHeight="1">
      <c r="A36" s="1039" t="s">
        <v>402</v>
      </c>
      <c r="B36" s="294" t="s">
        <v>732</v>
      </c>
      <c r="C36" s="21">
        <f ca="1">ROUND(C29*F36,2)</f>
        <v>28.42</v>
      </c>
      <c r="D36" s="1256" t="s">
        <v>765</v>
      </c>
      <c r="E36" s="294" t="s">
        <v>706</v>
      </c>
      <c r="F36" s="320">
        <f ca="1">INDIRECT("'数据-取费表'!Ak"&amp;$G$1)</f>
        <v>5.0000000000000001E-3</v>
      </c>
      <c r="G36" s="1292"/>
      <c r="H36" s="2472"/>
      <c r="I36" s="1305"/>
      <c r="J36" s="1306"/>
      <c r="K36" s="2330"/>
      <c r="L36" s="2472"/>
      <c r="M36" s="2472"/>
    </row>
    <row r="37" spans="1:18" ht="18" customHeight="1">
      <c r="A37" s="928" t="s">
        <v>437</v>
      </c>
      <c r="B37" s="294" t="s">
        <v>736</v>
      </c>
      <c r="C37" s="21">
        <f ca="1">ROUND(C13*F37,2)</f>
        <v>3.75</v>
      </c>
      <c r="D37" s="1256" t="s">
        <v>737</v>
      </c>
      <c r="E37" s="294" t="s">
        <v>738</v>
      </c>
      <c r="F37" s="321">
        <f ca="1">INDIRECT("'数据-取费表'!Al"&amp;$G$1)</f>
        <v>1E-3</v>
      </c>
      <c r="G37" s="1292"/>
      <c r="H37" s="2472"/>
      <c r="I37" s="1305"/>
      <c r="J37" s="1306"/>
      <c r="K37" s="2330"/>
      <c r="L37" s="2472"/>
      <c r="M37" s="2472"/>
    </row>
    <row r="38" spans="1:18" ht="18" customHeight="1" thickBot="1">
      <c r="A38" s="1026" t="s">
        <v>678</v>
      </c>
      <c r="B38" s="1027" t="s">
        <v>722</v>
      </c>
      <c r="C38" s="1028">
        <f ca="1">ROUND(C5*F38,2)</f>
        <v>4.47</v>
      </c>
      <c r="D38" s="1029" t="s">
        <v>742</v>
      </c>
      <c r="E38" s="1027" t="s">
        <v>738</v>
      </c>
      <c r="F38" s="1023">
        <f ca="1">INDIRECT("'数据-取费表'!Am"&amp;$G$1)</f>
        <v>0.01</v>
      </c>
      <c r="G38" s="1292"/>
      <c r="H38" s="2472"/>
      <c r="I38" s="1305"/>
      <c r="J38" s="1306"/>
      <c r="K38" s="2470"/>
      <c r="L38" s="2472"/>
      <c r="M38" s="2472"/>
    </row>
    <row r="39" spans="1:18" ht="24.6" customHeight="1" thickTop="1">
      <c r="A39" s="1016" t="s">
        <v>394</v>
      </c>
      <c r="B39" s="1031" t="s">
        <v>766</v>
      </c>
      <c r="C39" s="302">
        <f ca="1">C5-C30</f>
        <v>336</v>
      </c>
      <c r="D39" s="1032" t="s">
        <v>767</v>
      </c>
      <c r="E39" s="1033"/>
      <c r="F39" s="1034"/>
      <c r="G39" s="1292"/>
      <c r="H39" s="2472"/>
      <c r="I39" s="1305"/>
      <c r="J39" s="1306"/>
      <c r="K39" s="2470"/>
      <c r="L39" s="2472"/>
      <c r="M39" s="2472"/>
    </row>
    <row r="40" spans="1:18" ht="18" customHeight="1">
      <c r="A40" s="291" t="s">
        <v>395</v>
      </c>
      <c r="B40" s="292" t="s">
        <v>768</v>
      </c>
      <c r="C40" s="293">
        <f ca="1">ROUND(C39*(1-((1+F42)/(1+F40))^F41)/(F40-F42),0)</f>
        <v>4948</v>
      </c>
      <c r="D40" s="316" t="s">
        <v>752</v>
      </c>
      <c r="E40" s="294" t="s">
        <v>753</v>
      </c>
      <c r="F40" s="304">
        <f ca="1">INDIRECT("'数据-取费表'!I"&amp;$G$1)</f>
        <v>5.5E-2</v>
      </c>
      <c r="G40" s="1292"/>
      <c r="H40" s="1366"/>
      <c r="I40" s="1305"/>
      <c r="J40" s="1306"/>
      <c r="K40" s="2470"/>
      <c r="L40" s="1366"/>
      <c r="M40" s="1366"/>
    </row>
    <row r="41" spans="1:18" ht="18" customHeight="1">
      <c r="A41" s="296"/>
      <c r="B41" s="297"/>
      <c r="C41" s="298"/>
      <c r="D41" s="323" t="s">
        <v>769</v>
      </c>
      <c r="E41" s="294" t="s">
        <v>757</v>
      </c>
      <c r="F41" s="324">
        <f ca="1">IF(INDIRECT("'数据-取费表'!af"&amp;$G$1)=0,INDIRECT("'数据-取费表'!ae"&amp;$G$1),INDIRECT("'数据-取费表'!af"&amp;$G$1))</f>
        <v>23.01</v>
      </c>
      <c r="G41" s="1292"/>
      <c r="H41" s="121"/>
      <c r="I41" s="1305"/>
      <c r="J41" s="1306"/>
      <c r="K41" s="2330"/>
      <c r="L41" s="121"/>
      <c r="M41" s="121"/>
    </row>
    <row r="42" spans="1:18" ht="18" customHeight="1">
      <c r="A42" s="300"/>
      <c r="B42" s="301"/>
      <c r="C42" s="302"/>
      <c r="D42" s="319"/>
      <c r="E42" s="294" t="s">
        <v>760</v>
      </c>
      <c r="F42" s="304">
        <f ca="1">INDIRECT("'数据-取费表'!v"&amp;$G$1)</f>
        <v>1.4999999999999999E-2</v>
      </c>
      <c r="G42" s="1292"/>
      <c r="H42" s="121"/>
      <c r="I42" s="1305"/>
      <c r="J42" s="1306"/>
      <c r="K42" s="2330"/>
      <c r="L42" s="121"/>
      <c r="M42" s="121"/>
    </row>
    <row r="43" spans="1:18" ht="18" customHeight="1" thickBot="1">
      <c r="A43" s="325" t="s">
        <v>396</v>
      </c>
      <c r="B43" s="326" t="s">
        <v>770</v>
      </c>
      <c r="C43" s="327">
        <f ca="1">ROUND(C40*10000/F43,0)</f>
        <v>4736</v>
      </c>
      <c r="D43" s="328" t="s">
        <v>771</v>
      </c>
      <c r="E43" s="329" t="s">
        <v>772</v>
      </c>
      <c r="F43" s="330">
        <f ca="1">INDIRECT("'数据-取费表'!k"&amp;$G$1)</f>
        <v>10446.719999999999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802</v>
      </c>
      <c r="P45" s="1366"/>
      <c r="Q45" s="1366"/>
      <c r="R45" s="1366"/>
    </row>
    <row r="46" spans="1:18" s="1292" customFormat="1" ht="13.5" thickBot="1">
      <c r="A46" s="1311" t="s">
        <v>803</v>
      </c>
      <c r="C46" s="1312">
        <f ca="1">C68-C40</f>
        <v>-5360</v>
      </c>
      <c r="D46" s="1313" t="str">
        <f>C2</f>
        <v>万元</v>
      </c>
      <c r="E46" s="1307"/>
      <c r="F46" s="1307"/>
      <c r="I46" s="1314" t="s">
        <v>804</v>
      </c>
      <c r="J46" s="1315"/>
      <c r="K46" s="1316"/>
      <c r="L46" s="1317">
        <f ca="1">IF(M47="住宅",0,IF(L48&gt;J51,L60,J60))</f>
        <v>430</v>
      </c>
      <c r="O46" s="1318" t="s">
        <v>805</v>
      </c>
      <c r="P46" s="1319" t="s">
        <v>806</v>
      </c>
      <c r="Q46" s="1320" t="s">
        <v>807</v>
      </c>
      <c r="R46" s="1320" t="s">
        <v>808</v>
      </c>
    </row>
    <row r="47" spans="1:18" s="1292" customFormat="1" ht="13.5" thickBot="1">
      <c r="A47" s="892" t="s">
        <v>681</v>
      </c>
      <c r="B47" s="924" t="s">
        <v>682</v>
      </c>
      <c r="C47" s="1054" t="s">
        <v>683</v>
      </c>
      <c r="D47" s="924" t="s">
        <v>684</v>
      </c>
      <c r="E47" s="995" t="s">
        <v>685</v>
      </c>
      <c r="F47" s="996"/>
      <c r="G47" s="681"/>
      <c r="I47" s="1321" t="s">
        <v>809</v>
      </c>
      <c r="J47" s="1322" t="s">
        <v>3725</v>
      </c>
      <c r="K47" s="1323" t="s">
        <v>810</v>
      </c>
      <c r="L47" s="1324">
        <f ca="1">INDIRECT("'数据-取费表'!d"&amp;$G$1)</f>
        <v>40</v>
      </c>
      <c r="M47" s="1288" t="str">
        <f>IF(ISNUMBER(FIND("住宅",C1)),"住宅","非住宅")</f>
        <v>非住宅</v>
      </c>
      <c r="O47" s="1325" t="s">
        <v>403</v>
      </c>
      <c r="P47" s="1326" t="s">
        <v>811</v>
      </c>
      <c r="Q47" s="1327">
        <f ca="1">C40+J29</f>
        <v>4948</v>
      </c>
      <c r="R47" s="1327" t="s">
        <v>812</v>
      </c>
    </row>
    <row r="48" spans="1:18" s="1292" customFormat="1" ht="28.5" thickBot="1">
      <c r="A48" s="1047" t="s">
        <v>438</v>
      </c>
      <c r="B48" s="292" t="s">
        <v>686</v>
      </c>
      <c r="C48" s="1268">
        <f ca="1">C49+C53+C55</f>
        <v>0</v>
      </c>
      <c r="D48" s="1049"/>
      <c r="E48" s="1050"/>
      <c r="F48" s="908"/>
      <c r="G48" s="681"/>
      <c r="H48" s="682"/>
      <c r="I48" s="1328" t="s">
        <v>813</v>
      </c>
      <c r="J48" s="1329" t="s">
        <v>3726</v>
      </c>
      <c r="K48" s="1330" t="s">
        <v>814</v>
      </c>
      <c r="L48" s="1331">
        <f ca="1">INDIRECT("'数据-取费表'!f"&amp;$G$1)</f>
        <v>23.01</v>
      </c>
      <c r="O48" s="1325" t="s">
        <v>404</v>
      </c>
      <c r="P48" s="1326" t="s">
        <v>815</v>
      </c>
      <c r="Q48" s="1327">
        <f ca="1">J60</f>
        <v>430</v>
      </c>
      <c r="R48" s="1327" t="s">
        <v>816</v>
      </c>
    </row>
    <row r="49" spans="1:18" s="1292" customFormat="1" ht="13.5" thickBot="1">
      <c r="A49" s="921" t="s">
        <v>439</v>
      </c>
      <c r="B49" s="1279" t="s">
        <v>773</v>
      </c>
      <c r="C49" s="1051">
        <f ca="1">ROUND(F49*F51*F50*(1-F52)/10000,0)</f>
        <v>0</v>
      </c>
      <c r="D49" s="992" t="s">
        <v>2100</v>
      </c>
      <c r="E49" s="1280" t="s">
        <v>774</v>
      </c>
      <c r="F49" s="997"/>
      <c r="H49" s="682"/>
      <c r="I49" s="1328" t="s">
        <v>817</v>
      </c>
      <c r="J49" s="1332">
        <f>'数据-取费表'!N18</f>
        <v>2000</v>
      </c>
      <c r="K49" s="1330" t="s">
        <v>818</v>
      </c>
      <c r="L49" s="1333"/>
      <c r="O49" s="1334" t="s">
        <v>405</v>
      </c>
      <c r="P49" s="1326" t="s">
        <v>819</v>
      </c>
      <c r="Q49" s="1327">
        <f ca="1">C29</f>
        <v>5683</v>
      </c>
      <c r="R49" s="1327" t="s">
        <v>812</v>
      </c>
    </row>
    <row r="50" spans="1:18" s="1292" customFormat="1" ht="13.5" thickBot="1">
      <c r="A50" s="922"/>
      <c r="B50" s="925"/>
      <c r="C50" s="1055"/>
      <c r="D50" s="899"/>
      <c r="E50" s="993" t="s">
        <v>691</v>
      </c>
      <c r="F50" s="994">
        <f ca="1">F7</f>
        <v>10446.719999999999</v>
      </c>
      <c r="H50" s="682"/>
      <c r="I50" s="1328" t="s">
        <v>820</v>
      </c>
      <c r="J50" s="1335">
        <f>SUMPRODUCT((I63:I65=J47)*(J62:L62=J48)*(J63:L65))</f>
        <v>60</v>
      </c>
      <c r="K50" s="1330" t="s">
        <v>821</v>
      </c>
      <c r="L50" s="1333"/>
      <c r="M50" s="1336"/>
      <c r="O50" s="1334" t="s">
        <v>406</v>
      </c>
      <c r="P50" s="1326" t="s">
        <v>822</v>
      </c>
      <c r="Q50" s="1337">
        <f ca="1">J58</f>
        <v>0.4</v>
      </c>
      <c r="R50" s="1327"/>
    </row>
    <row r="51" spans="1:18" s="1292" customFormat="1" ht="13.5" thickBot="1">
      <c r="A51" s="923"/>
      <c r="B51" s="925"/>
      <c r="C51" s="926"/>
      <c r="D51" s="899"/>
      <c r="E51" s="927" t="s">
        <v>692</v>
      </c>
      <c r="F51" s="295">
        <f ca="1">F8</f>
        <v>365</v>
      </c>
      <c r="I51" s="1338" t="s">
        <v>823</v>
      </c>
      <c r="J51" s="1331">
        <f>IF(J49="",J50,J49+J50-YEAR('数据-取费表'!B2))</f>
        <v>35</v>
      </c>
      <c r="K51" s="1339" t="s">
        <v>824</v>
      </c>
      <c r="L51" s="1340">
        <f ca="1">ROUND(-PV(INDIRECT("'数据-取费表'!h"&amp;$G$1),J51,(C39-C13*C76),0),0)</f>
        <v>1202</v>
      </c>
      <c r="M51" s="1341"/>
      <c r="O51" s="1334" t="s">
        <v>407</v>
      </c>
      <c r="P51" s="1326" t="s">
        <v>825</v>
      </c>
      <c r="Q51" s="1337">
        <f>J52</f>
        <v>7.4999999999999997E-2</v>
      </c>
      <c r="R51" s="1327"/>
    </row>
    <row r="52" spans="1:18" s="1292" customFormat="1" ht="13.5" thickBot="1">
      <c r="A52" s="923"/>
      <c r="B52" s="925"/>
      <c r="C52" s="926"/>
      <c r="D52" s="899"/>
      <c r="E52" s="927" t="s">
        <v>693</v>
      </c>
      <c r="F52" s="991"/>
      <c r="I52" s="1342" t="s">
        <v>826</v>
      </c>
      <c r="J52" s="1343">
        <v>7.4999999999999997E-2</v>
      </c>
      <c r="K52" s="1342" t="s">
        <v>827</v>
      </c>
      <c r="L52" s="1343"/>
      <c r="O52" s="1334" t="s">
        <v>408</v>
      </c>
      <c r="P52" s="1326" t="s">
        <v>828</v>
      </c>
      <c r="Q52" s="1327">
        <f ca="1">J53</f>
        <v>23.01</v>
      </c>
      <c r="R52" s="1327" t="s">
        <v>829</v>
      </c>
    </row>
    <row r="53" spans="1:18" s="1292" customFormat="1" ht="24.75" thickBot="1">
      <c r="A53" s="1079" t="s">
        <v>440</v>
      </c>
      <c r="B53" s="1281" t="s">
        <v>694</v>
      </c>
      <c r="C53" s="308">
        <f ca="1">ROUND(IF(F53="押一",C49/12*F11,IF(F53="押二",C49/12*2*F11,IF(F53="押三",C49/12*3*F11,C54*F11))),0)</f>
        <v>0</v>
      </c>
      <c r="D53" s="150" t="s">
        <v>2106</v>
      </c>
      <c r="E53" s="305" t="s">
        <v>695</v>
      </c>
      <c r="F53" s="1053"/>
      <c r="I53" s="1344" t="s">
        <v>830</v>
      </c>
      <c r="J53" s="2006">
        <f ca="1">IF(M47="住宅",IF(D1="——",MAX(J51,L48),MAX(J51,L48-'数据-取费表'!B24)),IF(D1="——",MIN(J51,L48),MIN(J51,L48-'数据-取费表'!B24)))</f>
        <v>23.01</v>
      </c>
      <c r="K53" s="3444" t="s">
        <v>831</v>
      </c>
      <c r="L53" s="3445"/>
      <c r="O53" s="1325" t="s">
        <v>409</v>
      </c>
      <c r="P53" s="1326" t="s">
        <v>832</v>
      </c>
      <c r="Q53" s="1327">
        <f ca="1">Q47+Q48</f>
        <v>5378</v>
      </c>
      <c r="R53" s="1327" t="s">
        <v>410</v>
      </c>
    </row>
    <row r="54" spans="1:18" s="1292" customFormat="1" ht="13.5" thickBot="1">
      <c r="A54" s="1080"/>
      <c r="B54" s="1275" t="s">
        <v>673</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833</v>
      </c>
      <c r="P54" s="1289"/>
      <c r="Q54" s="1289"/>
      <c r="R54" s="1289"/>
    </row>
    <row r="55" spans="1:18" s="1292" customFormat="1" ht="13.5" thickBot="1">
      <c r="A55" s="1020" t="s">
        <v>437</v>
      </c>
      <c r="B55" s="1277" t="s">
        <v>697</v>
      </c>
      <c r="C55" s="1021"/>
      <c r="D55" s="150"/>
      <c r="E55" s="1282"/>
      <c r="F55" s="1345"/>
      <c r="I55" s="1348" t="s">
        <v>834</v>
      </c>
      <c r="J55" s="1349">
        <f ca="1">ROUND(IF(J47="钢混",J57/J50,1-(1-2%)*(J50-J57)/J50),3)</f>
        <v>0.2</v>
      </c>
      <c r="K55" s="1350" t="s">
        <v>835</v>
      </c>
      <c r="L55" s="1351"/>
      <c r="O55" s="1318" t="s">
        <v>805</v>
      </c>
      <c r="P55" s="1319" t="s">
        <v>806</v>
      </c>
      <c r="Q55" s="1320" t="s">
        <v>807</v>
      </c>
      <c r="R55" s="1320" t="s">
        <v>808</v>
      </c>
    </row>
    <row r="56" spans="1:18" s="1292" customFormat="1" ht="25.5" thickTop="1" thickBot="1">
      <c r="A56" s="903">
        <v>2</v>
      </c>
      <c r="B56" s="904" t="s">
        <v>698</v>
      </c>
      <c r="C56" s="224">
        <f ca="1">C13</f>
        <v>3751</v>
      </c>
      <c r="D56" s="1352"/>
      <c r="E56" s="1353"/>
      <c r="F56" s="1345"/>
      <c r="I56" s="1354" t="s">
        <v>836</v>
      </c>
      <c r="J56" s="1355" t="s">
        <v>3396</v>
      </c>
      <c r="K56" s="1328" t="s">
        <v>837</v>
      </c>
      <c r="L56" s="1331" t="str">
        <f ca="1">IF(L48&lt;J51,"——",L48-J53)</f>
        <v>——</v>
      </c>
      <c r="O56" s="1325" t="s">
        <v>403</v>
      </c>
      <c r="P56" s="1326" t="s">
        <v>811</v>
      </c>
      <c r="Q56" s="1327">
        <f ca="1">C40+J29</f>
        <v>4948</v>
      </c>
      <c r="R56" s="1327" t="s">
        <v>812</v>
      </c>
    </row>
    <row r="57" spans="1:18" s="1292" customFormat="1" ht="24.75" thickBot="1">
      <c r="A57" s="1356"/>
      <c r="B57" s="896" t="s">
        <v>761</v>
      </c>
      <c r="C57" s="230">
        <f ca="1">C29</f>
        <v>5683</v>
      </c>
      <c r="D57" s="1357"/>
      <c r="E57" s="1358"/>
      <c r="F57" s="1359"/>
      <c r="I57" s="1360" t="s">
        <v>838</v>
      </c>
      <c r="J57" s="1361">
        <f ca="1">IF(OR(M47="住宅",J51&lt;L48,J56="是"),"——",J51-L48)</f>
        <v>11.989999999999998</v>
      </c>
      <c r="K57" s="1328" t="s">
        <v>839</v>
      </c>
      <c r="L57" s="1331" t="str">
        <f ca="1">IF(L48&lt;J51,"——",IF(L55="比较法",L49,IF(L55="基准地价",L50,L51)))</f>
        <v>——</v>
      </c>
      <c r="O57" s="1325" t="s">
        <v>404</v>
      </c>
      <c r="P57" s="1326" t="s">
        <v>840</v>
      </c>
      <c r="Q57" s="1327">
        <f ca="1">L60</f>
        <v>0</v>
      </c>
      <c r="R57" s="1327" t="s">
        <v>841</v>
      </c>
    </row>
    <row r="58" spans="1:18" s="1292" customFormat="1" ht="24.75" thickBot="1">
      <c r="A58" s="307" t="s">
        <v>393</v>
      </c>
      <c r="B58" s="904" t="s">
        <v>708</v>
      </c>
      <c r="C58" s="308">
        <f ca="1">ROUND(C59+C64+C65+C66,0)</f>
        <v>32</v>
      </c>
      <c r="D58" s="906" t="s">
        <v>709</v>
      </c>
      <c r="E58" s="907"/>
      <c r="F58" s="908"/>
      <c r="I58" s="1360" t="s">
        <v>842</v>
      </c>
      <c r="J58" s="1362">
        <f ca="1">IF(J55&lt;0.4,0.4,J55)</f>
        <v>0.4</v>
      </c>
      <c r="K58" s="1339" t="s">
        <v>843</v>
      </c>
      <c r="L58" s="1331" t="e">
        <f ca="1">ROUND(POWER(1+L52,L47-L48)*(POWER(1+L52,L48)-1)/(POWER(1+L52,L47)-1),4)</f>
        <v>#DIV/0!</v>
      </c>
      <c r="O58" s="1334" t="s">
        <v>405</v>
      </c>
      <c r="P58" s="1326" t="s">
        <v>844</v>
      </c>
      <c r="Q58" s="1327">
        <f>IF(L55="比较法",L49,IF(L55="基准地价",L50,0))</f>
        <v>0</v>
      </c>
      <c r="R58" s="1327" t="s">
        <v>812</v>
      </c>
    </row>
    <row r="59" spans="1:18" s="1292" customFormat="1" ht="24.75" thickBot="1">
      <c r="A59" s="928" t="s">
        <v>398</v>
      </c>
      <c r="B59" s="896" t="s">
        <v>713</v>
      </c>
      <c r="C59" s="2140">
        <f ca="1">ROUND(IF(AND(项目基本情况!B11="自然人",项目基本情况!B10="北京市"),C49*F59/(1+'数据-取费表'!C42),C60+C61+C62),0)</f>
        <v>0</v>
      </c>
      <c r="D59" s="909" t="s">
        <v>714</v>
      </c>
      <c r="E59" s="910" t="s">
        <v>715</v>
      </c>
      <c r="F59" s="2139" t="str">
        <f>IF(项目基本情况!B11="企业","——",IF('数据-取费表'!B10="住宅",IF(F49*F50*F51/12/(1+'数据-取费表'!F30)&gt;100000,4%,2.5%),IF(F49*F50*F51/12/(1+'数据-取费表'!F30)&gt;100000,12%,7%)))</f>
        <v>——</v>
      </c>
      <c r="I59" s="1360" t="s">
        <v>845</v>
      </c>
      <c r="J59" s="1361">
        <f ca="1">IF(OR(M47="住宅",J51&lt;L48,J56="是"),"——",ROUND(C29*J58,0))</f>
        <v>2273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846</v>
      </c>
      <c r="Q59" s="1337">
        <f>L52</f>
        <v>0</v>
      </c>
      <c r="R59" s="1327"/>
    </row>
    <row r="60" spans="1:18" s="1292" customFormat="1" ht="16.5" thickBot="1">
      <c r="A60" s="928" t="s">
        <v>397</v>
      </c>
      <c r="B60" s="896" t="s">
        <v>717</v>
      </c>
      <c r="C60" s="21">
        <f ca="1">IF(项目基本情况!B11="自然人","——",ROUND(C48*F60/(1+'数据-取费表'!C42),2))</f>
        <v>0</v>
      </c>
      <c r="D60" s="910" t="s">
        <v>718</v>
      </c>
      <c r="E60" s="896" t="s">
        <v>706</v>
      </c>
      <c r="F60" s="322">
        <f t="shared" ref="F60:F66" si="0">F32</f>
        <v>5.5000000000000007E-2</v>
      </c>
      <c r="I60" s="1363" t="s">
        <v>847</v>
      </c>
      <c r="J60" s="1364">
        <f ca="1">IF(OR(M47="住宅",J51&lt;L48,J56="是"),"0",ROUND(J59/(1+J52)^J53,0))</f>
        <v>430</v>
      </c>
      <c r="K60" s="1365" t="s">
        <v>848</v>
      </c>
      <c r="L60" s="1364">
        <f ca="1">IF(OR(M47="住宅",L48&lt;J51),0,ROUND(L57*(L58/L59-1),0))</f>
        <v>0</v>
      </c>
      <c r="O60" s="1334" t="s">
        <v>407</v>
      </c>
      <c r="P60" s="1326" t="s">
        <v>849</v>
      </c>
      <c r="Q60" s="1327" t="e">
        <f ca="1">L58</f>
        <v>#DIV/0!</v>
      </c>
      <c r="R60" s="1327" t="s">
        <v>850</v>
      </c>
    </row>
    <row r="61" spans="1:18" s="1292" customFormat="1" ht="13.5" thickBot="1">
      <c r="A61" s="928" t="s">
        <v>775</v>
      </c>
      <c r="B61" s="896" t="s">
        <v>776</v>
      </c>
      <c r="C61" s="21">
        <f ca="1">IF(项目基本情况!B11="自然人","——",IF(D61="按租金收入计税",ROUND(C49*F61/(1+'数据-取费表'!C42),2),IF(D61="按房产原值计税",ROUND(C57*F61*0.7,2),INDIRECT("'数据-取费表'!Aj"&amp;$G$1))))</f>
        <v>0</v>
      </c>
      <c r="D61" s="1278" t="s">
        <v>3323</v>
      </c>
      <c r="E61" s="896" t="s">
        <v>777</v>
      </c>
      <c r="F61" s="314">
        <f t="shared" si="0"/>
        <v>0.12</v>
      </c>
      <c r="I61" s="1366"/>
      <c r="J61" s="1366"/>
      <c r="K61" s="1366"/>
      <c r="L61" s="1366"/>
      <c r="O61" s="1334" t="s">
        <v>408</v>
      </c>
      <c r="P61" s="1326" t="str">
        <f>K59</f>
        <v>建筑物剩余耐用年限下的土地年期修正系数Kn</v>
      </c>
      <c r="Q61" s="1327" t="e">
        <f ca="1">L59</f>
        <v>#DIV/0!</v>
      </c>
      <c r="R61" s="1327" t="s">
        <v>851</v>
      </c>
    </row>
    <row r="62" spans="1:18" s="1292" customFormat="1" ht="13.5" thickBot="1">
      <c r="A62" s="928" t="s">
        <v>778</v>
      </c>
      <c r="B62" s="895" t="s">
        <v>779</v>
      </c>
      <c r="C62" s="22">
        <f ca="1">IF(项目基本情况!B11="自然人","——",ROUND(F62*F63/10000,2))</f>
        <v>0</v>
      </c>
      <c r="D62" s="911" t="s">
        <v>780</v>
      </c>
      <c r="E62" s="896" t="s">
        <v>781</v>
      </c>
      <c r="F62" s="317">
        <f t="shared" si="0"/>
        <v>1.5</v>
      </c>
      <c r="I62" s="1367" t="s">
        <v>852</v>
      </c>
      <c r="J62" s="610" t="s">
        <v>853</v>
      </c>
      <c r="K62" s="610" t="s">
        <v>854</v>
      </c>
      <c r="L62" s="610" t="s">
        <v>855</v>
      </c>
      <c r="M62" s="1368" t="s">
        <v>856</v>
      </c>
      <c r="O62" s="1325" t="s">
        <v>409</v>
      </c>
      <c r="P62" s="1326" t="s">
        <v>857</v>
      </c>
      <c r="Q62" s="1327">
        <f ca="1">Q56+Q57</f>
        <v>4948</v>
      </c>
      <c r="R62" s="1327" t="s">
        <v>410</v>
      </c>
    </row>
    <row r="63" spans="1:18" s="1292" customFormat="1" ht="13.5" thickBot="1">
      <c r="A63" s="318"/>
      <c r="B63" s="902"/>
      <c r="C63" s="26"/>
      <c r="D63" s="912"/>
      <c r="E63" s="896" t="s">
        <v>782</v>
      </c>
      <c r="F63" s="295">
        <f t="shared" ca="1" si="0"/>
        <v>0</v>
      </c>
      <c r="I63" s="1367" t="s">
        <v>858</v>
      </c>
      <c r="J63" s="610">
        <v>70</v>
      </c>
      <c r="K63" s="610">
        <v>50</v>
      </c>
      <c r="L63" s="610">
        <v>80</v>
      </c>
      <c r="M63" s="1369">
        <v>0.02</v>
      </c>
      <c r="O63" s="1310" t="s">
        <v>859</v>
      </c>
      <c r="P63" s="1289"/>
      <c r="Q63" s="1289"/>
      <c r="R63" s="1289"/>
    </row>
    <row r="64" spans="1:18" s="1292" customFormat="1" ht="13.5" thickBot="1">
      <c r="A64" s="928" t="s">
        <v>783</v>
      </c>
      <c r="B64" s="896" t="s">
        <v>784</v>
      </c>
      <c r="C64" s="21">
        <f ca="1">ROUND(C57*F64,2)</f>
        <v>28.42</v>
      </c>
      <c r="D64" s="910" t="s">
        <v>785</v>
      </c>
      <c r="E64" s="896" t="s">
        <v>777</v>
      </c>
      <c r="F64" s="320">
        <f t="shared" ca="1" si="0"/>
        <v>5.0000000000000001E-3</v>
      </c>
      <c r="I64" s="1367" t="s">
        <v>860</v>
      </c>
      <c r="J64" s="610">
        <v>50</v>
      </c>
      <c r="K64" s="610">
        <v>35</v>
      </c>
      <c r="L64" s="610">
        <v>60</v>
      </c>
      <c r="M64" s="1368">
        <v>0</v>
      </c>
      <c r="O64" s="1318" t="s">
        <v>805</v>
      </c>
      <c r="P64" s="1319" t="s">
        <v>806</v>
      </c>
      <c r="Q64" s="1320" t="s">
        <v>807</v>
      </c>
      <c r="R64" s="1320" t="s">
        <v>808</v>
      </c>
    </row>
    <row r="65" spans="1:18" s="1292" customFormat="1" ht="13.5" thickBot="1">
      <c r="A65" s="928" t="s">
        <v>786</v>
      </c>
      <c r="B65" s="896" t="s">
        <v>736</v>
      </c>
      <c r="C65" s="21">
        <f ca="1">ROUND(C56*F65,2)</f>
        <v>3.75</v>
      </c>
      <c r="D65" s="910" t="s">
        <v>737</v>
      </c>
      <c r="E65" s="896" t="s">
        <v>738</v>
      </c>
      <c r="F65" s="321">
        <f t="shared" ca="1" si="0"/>
        <v>1E-3</v>
      </c>
      <c r="I65" s="1367" t="s">
        <v>861</v>
      </c>
      <c r="J65" s="610">
        <v>40</v>
      </c>
      <c r="K65" s="610">
        <v>30</v>
      </c>
      <c r="L65" s="610">
        <v>50</v>
      </c>
      <c r="M65" s="1369">
        <v>0.02</v>
      </c>
      <c r="O65" s="1325" t="s">
        <v>403</v>
      </c>
      <c r="P65" s="1326" t="s">
        <v>862</v>
      </c>
      <c r="Q65" s="1327">
        <f ca="1">C40+J29</f>
        <v>4948</v>
      </c>
      <c r="R65" s="1327" t="s">
        <v>812</v>
      </c>
    </row>
    <row r="66" spans="1:18" s="1292" customFormat="1" ht="16.5" thickBot="1">
      <c r="A66" s="928" t="s">
        <v>787</v>
      </c>
      <c r="B66" s="896" t="s">
        <v>722</v>
      </c>
      <c r="C66" s="21">
        <f ca="1">ROUND(C48*F66,2)</f>
        <v>0</v>
      </c>
      <c r="D66" s="910" t="s">
        <v>788</v>
      </c>
      <c r="E66" s="896" t="s">
        <v>706</v>
      </c>
      <c r="F66" s="304">
        <f t="shared" ca="1" si="0"/>
        <v>0.01</v>
      </c>
      <c r="O66" s="1325" t="s">
        <v>404</v>
      </c>
      <c r="P66" s="1326" t="s">
        <v>840</v>
      </c>
      <c r="Q66" s="1327">
        <f ca="1">L60</f>
        <v>0</v>
      </c>
      <c r="R66" s="1327" t="s">
        <v>863</v>
      </c>
    </row>
    <row r="67" spans="1:18" s="1292" customFormat="1" ht="16.5" thickBot="1">
      <c r="A67" s="903" t="s">
        <v>394</v>
      </c>
      <c r="B67" s="913" t="s">
        <v>746</v>
      </c>
      <c r="C67" s="308">
        <f ca="1">C48-C58</f>
        <v>-32</v>
      </c>
      <c r="D67" s="909" t="s">
        <v>747</v>
      </c>
      <c r="E67" s="914"/>
      <c r="F67" s="915"/>
      <c r="O67" s="1334" t="s">
        <v>405</v>
      </c>
      <c r="P67" s="1326" t="s">
        <v>844</v>
      </c>
      <c r="Q67" s="1370">
        <f ca="1">L51</f>
        <v>1202</v>
      </c>
      <c r="R67" s="1327" t="s">
        <v>864</v>
      </c>
    </row>
    <row r="68" spans="1:18" s="1292" customFormat="1" ht="16.5" thickBot="1">
      <c r="A68" s="893" t="s">
        <v>395</v>
      </c>
      <c r="B68" s="894" t="s">
        <v>768</v>
      </c>
      <c r="C68" s="293">
        <f ca="1">ROUND(C67*(1-((1+F70)/(1+F68))^F69)/(F68-F70),0)</f>
        <v>-412</v>
      </c>
      <c r="D68" s="911" t="s">
        <v>752</v>
      </c>
      <c r="E68" s="896" t="s">
        <v>753</v>
      </c>
      <c r="F68" s="304">
        <f ca="1">F40</f>
        <v>5.5E-2</v>
      </c>
      <c r="O68" s="1334" t="s">
        <v>406</v>
      </c>
      <c r="P68" s="1371" t="s">
        <v>865</v>
      </c>
      <c r="Q68" s="1327">
        <f ca="1">ROUND(Q69-Q70*Q71,0)</f>
        <v>73</v>
      </c>
      <c r="R68" s="1327" t="s">
        <v>414</v>
      </c>
    </row>
    <row r="69" spans="1:18" s="1292" customFormat="1" ht="13.5" thickBot="1">
      <c r="A69" s="897"/>
      <c r="B69" s="898"/>
      <c r="C69" s="298"/>
      <c r="D69" s="916" t="s">
        <v>756</v>
      </c>
      <c r="E69" s="896" t="s">
        <v>757</v>
      </c>
      <c r="F69" s="324">
        <f ca="1">F41</f>
        <v>23.01</v>
      </c>
      <c r="O69" s="1334" t="s">
        <v>411</v>
      </c>
      <c r="P69" s="1371" t="s">
        <v>866</v>
      </c>
      <c r="Q69" s="1327">
        <f ca="1">C39</f>
        <v>336</v>
      </c>
      <c r="R69" s="1327" t="s">
        <v>812</v>
      </c>
    </row>
    <row r="70" spans="1:18" s="1292" customFormat="1" ht="13.5" thickBot="1">
      <c r="A70" s="900"/>
      <c r="B70" s="901"/>
      <c r="C70" s="302"/>
      <c r="D70" s="912"/>
      <c r="E70" s="896" t="s">
        <v>760</v>
      </c>
      <c r="F70" s="991"/>
      <c r="O70" s="1334" t="s">
        <v>412</v>
      </c>
      <c r="P70" s="1371" t="s">
        <v>867</v>
      </c>
      <c r="Q70" s="1327">
        <f ca="1">C13</f>
        <v>3751</v>
      </c>
      <c r="R70" s="1327" t="s">
        <v>812</v>
      </c>
    </row>
    <row r="71" spans="1:18" s="1292" customFormat="1" ht="13.5" thickBot="1">
      <c r="A71" s="917" t="s">
        <v>396</v>
      </c>
      <c r="B71" s="918" t="s">
        <v>770</v>
      </c>
      <c r="C71" s="327">
        <f ca="1">ROUND(C68*10000/F71,0)</f>
        <v>-394</v>
      </c>
      <c r="D71" s="919" t="s">
        <v>771</v>
      </c>
      <c r="E71" s="920" t="s">
        <v>772</v>
      </c>
      <c r="F71" s="330">
        <f ca="1">F43</f>
        <v>10446.719999999999</v>
      </c>
      <c r="O71" s="1334" t="s">
        <v>413</v>
      </c>
      <c r="P71" s="1371" t="s">
        <v>868</v>
      </c>
      <c r="Q71" s="1337">
        <f ca="1">C76</f>
        <v>7.0000000000000007E-2</v>
      </c>
      <c r="R71" s="1327"/>
    </row>
    <row r="72" spans="1:18" s="1292" customFormat="1" ht="13.5" thickBot="1">
      <c r="B72" s="685"/>
      <c r="C72" s="685"/>
      <c r="O72" s="1334" t="s">
        <v>407</v>
      </c>
      <c r="P72" s="1326" t="s">
        <v>846</v>
      </c>
      <c r="Q72" s="1337">
        <f>L52</f>
        <v>0</v>
      </c>
      <c r="R72" s="1327"/>
    </row>
    <row r="73" spans="1:18" ht="16.5" thickBot="1">
      <c r="A73" s="1292"/>
      <c r="B73" s="685"/>
      <c r="C73" s="685"/>
      <c r="D73" s="1292"/>
      <c r="E73" s="1292"/>
      <c r="F73" s="1292"/>
      <c r="O73" s="1334" t="s">
        <v>408</v>
      </c>
      <c r="P73" s="1326" t="s">
        <v>849</v>
      </c>
      <c r="Q73" s="1327" t="e">
        <f ca="1">L58</f>
        <v>#DIV/0!</v>
      </c>
      <c r="R73" s="1327" t="s">
        <v>850</v>
      </c>
    </row>
    <row r="74" spans="1:18" ht="13.5" thickBot="1">
      <c r="A74" s="1292"/>
      <c r="B74" s="265" t="s">
        <v>869</v>
      </c>
      <c r="C74" s="1373"/>
      <c r="D74" s="1292"/>
      <c r="E74" s="1292"/>
      <c r="F74" s="1292"/>
      <c r="O74" s="1334" t="s">
        <v>415</v>
      </c>
      <c r="P74" s="1326" t="str">
        <f>K59</f>
        <v>建筑物剩余耐用年限下的土地年期修正系数Kn</v>
      </c>
      <c r="Q74" s="1327" t="e">
        <f ca="1">L59</f>
        <v>#DIV/0!</v>
      </c>
      <c r="R74" s="1327" t="s">
        <v>851</v>
      </c>
    </row>
    <row r="75" spans="1:18" ht="13.5" thickBot="1">
      <c r="A75" s="1292"/>
      <c r="B75" s="331" t="s">
        <v>789</v>
      </c>
      <c r="C75" s="332">
        <f ca="1">ROUND(C13*C76,0)</f>
        <v>263</v>
      </c>
      <c r="D75" s="1292"/>
      <c r="E75" s="1292"/>
      <c r="F75" s="1292"/>
      <c r="K75" s="1309"/>
      <c r="L75" s="1292"/>
      <c r="O75" s="1325" t="s">
        <v>409</v>
      </c>
      <c r="P75" s="1326" t="s">
        <v>832</v>
      </c>
      <c r="Q75" s="1327">
        <f ca="1">Q65+Q66</f>
        <v>4948</v>
      </c>
      <c r="R75" s="1327" t="s">
        <v>410</v>
      </c>
    </row>
    <row r="76" spans="1:18">
      <c r="B76" s="333" t="s">
        <v>790</v>
      </c>
      <c r="C76" s="334">
        <f ca="1">INDIRECT("'数据-取费表'!j"&amp;$G$1)</f>
        <v>7.0000000000000007E-2</v>
      </c>
      <c r="I76" s="1292"/>
      <c r="J76" s="1292"/>
      <c r="K76" s="1309"/>
      <c r="L76" s="1292"/>
    </row>
    <row r="77" spans="1:18">
      <c r="B77" s="335" t="s">
        <v>791</v>
      </c>
      <c r="C77" s="336"/>
      <c r="I77" s="1292"/>
      <c r="J77" s="1292"/>
      <c r="K77" s="1309"/>
      <c r="L77" s="1292"/>
    </row>
    <row r="78" spans="1:18">
      <c r="B78" s="262" t="s">
        <v>792</v>
      </c>
      <c r="C78" s="337"/>
    </row>
    <row r="79" spans="1:18">
      <c r="B79" s="331" t="s">
        <v>793</v>
      </c>
      <c r="C79" s="266">
        <f ca="1">1-C80</f>
        <v>0.21699999999999997</v>
      </c>
    </row>
    <row r="80" spans="1:18">
      <c r="B80" s="331" t="s">
        <v>794</v>
      </c>
      <c r="C80" s="266">
        <f ca="1">ROUND(C75/C39,3)</f>
        <v>0.78300000000000003</v>
      </c>
    </row>
    <row r="81" spans="2:3">
      <c r="B81" s="262" t="s">
        <v>795</v>
      </c>
      <c r="C81" s="230"/>
    </row>
    <row r="82" spans="2:3">
      <c r="B82" s="265" t="s">
        <v>796</v>
      </c>
      <c r="C82" s="267">
        <f ca="1">1-C83</f>
        <v>0.24199999999999999</v>
      </c>
    </row>
    <row r="83" spans="2:3">
      <c r="B83" s="265" t="s">
        <v>797</v>
      </c>
      <c r="C83" s="266">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7">
      <formula>$J$51&gt;$L$48</formula>
    </cfRule>
  </conditionalFormatting>
  <conditionalFormatting sqref="J11">
    <cfRule type="expression" dxfId="16" priority="2">
      <formula>$M$10="自定义"</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1908</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1761</v>
      </c>
      <c r="B4" s="346"/>
      <c r="C4" s="3383" t="s">
        <v>1762</v>
      </c>
      <c r="D4" s="3395"/>
      <c r="E4" s="3396" t="s">
        <v>1763</v>
      </c>
      <c r="F4" s="3397"/>
      <c r="G4" s="3383" t="s">
        <v>1764</v>
      </c>
      <c r="H4" s="3395"/>
      <c r="I4" s="3383" t="s">
        <v>1765</v>
      </c>
      <c r="J4" s="3395"/>
      <c r="K4" s="537" t="s">
        <v>1766</v>
      </c>
      <c r="L4" s="2485"/>
      <c r="M4" s="2486"/>
      <c r="N4" s="2486"/>
      <c r="O4" s="2486"/>
      <c r="P4" s="3398" t="s">
        <v>1767</v>
      </c>
      <c r="Q4" s="3399"/>
      <c r="R4" s="3404" t="s">
        <v>1763</v>
      </c>
      <c r="S4" s="3405"/>
      <c r="T4" s="3404" t="s">
        <v>1764</v>
      </c>
      <c r="U4" s="3405"/>
      <c r="V4" s="3391" t="s">
        <v>1765</v>
      </c>
      <c r="W4" s="3391"/>
      <c r="X4" s="1265"/>
      <c r="Y4" s="3404" t="s">
        <v>1767</v>
      </c>
      <c r="Z4" s="3405"/>
      <c r="AA4" s="3392" t="s">
        <v>1763</v>
      </c>
      <c r="AB4" s="3393" t="s">
        <v>1764</v>
      </c>
      <c r="AC4" s="3392" t="s">
        <v>1765</v>
      </c>
    </row>
    <row r="5" spans="1:29" ht="15">
      <c r="A5" s="348"/>
      <c r="B5" s="349"/>
      <c r="C5" s="3412" t="s">
        <v>1665</v>
      </c>
      <c r="D5" s="3413"/>
      <c r="E5" s="3419" t="s">
        <v>1666</v>
      </c>
      <c r="F5" s="3420"/>
      <c r="G5" s="3412" t="s">
        <v>1667</v>
      </c>
      <c r="H5" s="3413"/>
      <c r="I5" s="3412" t="s">
        <v>1668</v>
      </c>
      <c r="J5" s="3413"/>
      <c r="K5" s="537"/>
      <c r="L5" s="2485"/>
      <c r="M5" s="2486"/>
      <c r="N5" s="2486"/>
      <c r="O5" s="2486"/>
      <c r="P5" s="3400"/>
      <c r="Q5" s="3401"/>
      <c r="R5" s="3406"/>
      <c r="S5" s="3407"/>
      <c r="T5" s="3406"/>
      <c r="U5" s="3407"/>
      <c r="V5" s="3391"/>
      <c r="W5" s="3391"/>
      <c r="X5" s="1265"/>
      <c r="Y5" s="3406"/>
      <c r="Z5" s="3407"/>
      <c r="AA5" s="3393"/>
      <c r="AB5" s="3393"/>
      <c r="AC5" s="3393"/>
    </row>
    <row r="6" spans="1:29" ht="15.75" thickBot="1">
      <c r="A6" s="350"/>
      <c r="B6" s="351"/>
      <c r="C6" s="3490" t="s">
        <v>1909</v>
      </c>
      <c r="D6" s="3491"/>
      <c r="E6" s="3492" t="s">
        <v>1909</v>
      </c>
      <c r="F6" s="3493"/>
      <c r="G6" s="3490" t="s">
        <v>1909</v>
      </c>
      <c r="H6" s="3491"/>
      <c r="I6" s="3490" t="s">
        <v>1909</v>
      </c>
      <c r="J6" s="3491"/>
      <c r="K6" s="537" t="s">
        <v>1670</v>
      </c>
      <c r="L6" s="2485"/>
      <c r="M6" s="2486"/>
      <c r="N6" s="2486"/>
      <c r="O6" s="2486"/>
      <c r="P6" s="3402"/>
      <c r="Q6" s="3403"/>
      <c r="R6" s="3406"/>
      <c r="S6" s="3407"/>
      <c r="T6" s="3408"/>
      <c r="U6" s="3409"/>
      <c r="V6" s="3391"/>
      <c r="W6" s="3391"/>
      <c r="X6" s="1265"/>
      <c r="Y6" s="3408"/>
      <c r="Z6" s="3409"/>
      <c r="AA6" s="3394"/>
      <c r="AB6" s="3394"/>
      <c r="AC6" s="3394"/>
    </row>
    <row r="7" spans="1:29" s="102" customFormat="1" ht="15.75" thickBot="1">
      <c r="A7" s="352" t="s">
        <v>1671</v>
      </c>
      <c r="B7" s="353"/>
      <c r="C7" s="354">
        <f>'数据-取费表'!B2</f>
        <v>45719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4" t="s">
        <v>1672</v>
      </c>
      <c r="Q7" s="3416"/>
      <c r="R7" s="664" t="s">
        <v>14</v>
      </c>
      <c r="S7" s="665">
        <f t="shared" ref="S7:S15" si="0">F7</f>
        <v>0</v>
      </c>
      <c r="T7" s="664" t="s">
        <v>14</v>
      </c>
      <c r="U7" s="665">
        <f t="shared" ref="U7:U15" si="1">H7</f>
        <v>0</v>
      </c>
      <c r="V7" s="664" t="s">
        <v>14</v>
      </c>
      <c r="W7" s="665">
        <f t="shared" ref="W7:W15" si="2">J7</f>
        <v>0</v>
      </c>
      <c r="X7" s="666"/>
      <c r="Y7" s="3414" t="s">
        <v>1672</v>
      </c>
      <c r="Z7" s="3415"/>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4" t="s">
        <v>1675</v>
      </c>
      <c r="Q8" s="3415"/>
      <c r="R8" s="664" t="s">
        <v>14</v>
      </c>
      <c r="S8" s="665">
        <f t="shared" si="0"/>
        <v>0</v>
      </c>
      <c r="T8" s="664" t="s">
        <v>14</v>
      </c>
      <c r="U8" s="665">
        <f t="shared" si="1"/>
        <v>0</v>
      </c>
      <c r="V8" s="664" t="s">
        <v>14</v>
      </c>
      <c r="W8" s="665">
        <f t="shared" si="2"/>
        <v>0</v>
      </c>
      <c r="X8" s="666"/>
      <c r="Y8" s="3414" t="s">
        <v>1675</v>
      </c>
      <c r="Z8" s="3415"/>
      <c r="AA8" s="50" t="e">
        <f t="shared" ref="AA8:AA40" si="3">D8/F8</f>
        <v>#DIV/0!</v>
      </c>
      <c r="AB8" s="50" t="e">
        <f t="shared" ref="AB8:AB40" si="4">D8/H8</f>
        <v>#DIV/0!</v>
      </c>
      <c r="AC8" s="50" t="e">
        <f t="shared" ref="AC8:AC40" si="5">D8/J8</f>
        <v>#DIV/0!</v>
      </c>
    </row>
    <row r="9" spans="1:29" s="102" customFormat="1">
      <c r="A9" s="359" t="s">
        <v>1676</v>
      </c>
      <c r="B9" s="60" t="s">
        <v>1677</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6" t="s">
        <v>1678</v>
      </c>
      <c r="Q9" s="530" t="str">
        <f t="shared" ref="Q9:Q15" si="6">B9</f>
        <v>用途</v>
      </c>
      <c r="R9" s="664" t="s">
        <v>14</v>
      </c>
      <c r="S9" s="665">
        <f t="shared" si="0"/>
        <v>100</v>
      </c>
      <c r="T9" s="664" t="s">
        <v>14</v>
      </c>
      <c r="U9" s="665">
        <f t="shared" si="1"/>
        <v>100</v>
      </c>
      <c r="V9" s="664" t="s">
        <v>14</v>
      </c>
      <c r="W9" s="665">
        <f t="shared" si="2"/>
        <v>100</v>
      </c>
      <c r="X9" s="666"/>
      <c r="Y9" s="3283"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127</v>
      </c>
      <c r="G10" s="371"/>
      <c r="H10" s="119">
        <f>ROUND(100/'数据-取费表'!G16,0)</f>
        <v>127</v>
      </c>
      <c r="I10" s="371"/>
      <c r="J10" s="119">
        <f>ROUND(100/'数据-取费表'!G16,0)</f>
        <v>127</v>
      </c>
      <c r="K10" s="592"/>
      <c r="L10" s="2488"/>
      <c r="M10" s="2489"/>
      <c r="N10" s="2489"/>
      <c r="O10" s="2540"/>
      <c r="P10" s="3386"/>
      <c r="Q10" s="530" t="str">
        <f t="shared" si="6"/>
        <v>土地使用年限（年）</v>
      </c>
      <c r="R10" s="664" t="s">
        <v>14</v>
      </c>
      <c r="S10" s="665">
        <f t="shared" si="0"/>
        <v>127</v>
      </c>
      <c r="T10" s="664" t="s">
        <v>14</v>
      </c>
      <c r="U10" s="665">
        <f t="shared" si="1"/>
        <v>127</v>
      </c>
      <c r="V10" s="664" t="s">
        <v>14</v>
      </c>
      <c r="W10" s="665">
        <f t="shared" si="2"/>
        <v>127</v>
      </c>
      <c r="X10" s="666"/>
      <c r="Y10" s="3283"/>
      <c r="Z10" s="50" t="str">
        <f t="shared" si="7"/>
        <v>土地使用年限（年）</v>
      </c>
      <c r="AA10" s="50">
        <f t="shared" si="3"/>
        <v>0.78740157480314965</v>
      </c>
      <c r="AB10" s="50">
        <f t="shared" si="4"/>
        <v>0.78740157480314965</v>
      </c>
      <c r="AC10" s="50">
        <f t="shared" si="5"/>
        <v>0.78740157480314965</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57">
      <c r="A15" s="379" t="s">
        <v>1682</v>
      </c>
      <c r="B15" s="554" t="s">
        <v>1910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7" t="s">
        <v>1683</v>
      </c>
      <c r="Q15" s="1263" t="str">
        <f t="shared" si="6"/>
        <v>产业集聚程度</v>
      </c>
      <c r="R15" s="667" t="s">
        <v>14</v>
      </c>
      <c r="S15" s="668">
        <f t="shared" si="0"/>
        <v>100</v>
      </c>
      <c r="T15" s="667" t="s">
        <v>14</v>
      </c>
      <c r="U15" s="668">
        <f t="shared" si="1"/>
        <v>100</v>
      </c>
      <c r="V15" s="667" t="s">
        <v>14</v>
      </c>
      <c r="W15" s="668">
        <f t="shared" si="2"/>
        <v>100</v>
      </c>
      <c r="X15" s="1265"/>
      <c r="Y15" s="3387" t="s">
        <v>1683</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85.5">
      <c r="A17" s="367"/>
      <c r="B17" s="556" t="s">
        <v>1825</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15">
      <c r="A19" s="367"/>
      <c r="B19" s="556" t="s">
        <v>1862</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8"/>
      <c r="Q20" s="1263"/>
      <c r="R20" s="667"/>
      <c r="S20" s="668"/>
      <c r="T20" s="667"/>
      <c r="U20" s="668"/>
      <c r="V20" s="667"/>
      <c r="W20" s="668"/>
      <c r="X20" s="1265"/>
      <c r="Y20" s="3388"/>
      <c r="Z20" s="1264"/>
      <c r="AA20" s="1264"/>
      <c r="AB20" s="1264"/>
      <c r="AC20" s="1264"/>
    </row>
    <row r="21" spans="1:29" ht="71.25">
      <c r="A21" s="348"/>
      <c r="B21" s="556" t="s">
        <v>1911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s="102" customFormat="1" ht="42.75">
      <c r="A23" s="443"/>
      <c r="B23" s="557" t="s">
        <v>1770</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8"/>
      <c r="Q24" s="530"/>
      <c r="R24" s="664"/>
      <c r="S24" s="665"/>
      <c r="T24" s="664"/>
      <c r="U24" s="665"/>
      <c r="V24" s="664"/>
      <c r="W24" s="665"/>
      <c r="X24" s="666"/>
      <c r="Y24" s="3388"/>
      <c r="Z24" s="50"/>
      <c r="AA24" s="50">
        <v>1</v>
      </c>
      <c r="AB24" s="50">
        <v>1</v>
      </c>
      <c r="AC24" s="50">
        <v>1</v>
      </c>
    </row>
    <row r="25" spans="1:29" s="102" customFormat="1" ht="28.5">
      <c r="A25" s="443"/>
      <c r="B25" s="557" t="s">
        <v>1771</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8"/>
      <c r="Q26" s="530"/>
      <c r="R26" s="664"/>
      <c r="S26" s="665"/>
      <c r="T26" s="664"/>
      <c r="U26" s="665"/>
      <c r="V26" s="664"/>
      <c r="W26" s="665"/>
      <c r="X26" s="666"/>
      <c r="Y26" s="3388"/>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7">
      <c r="A28" s="367"/>
      <c r="B28" s="557" t="s">
        <v>1807</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8"/>
      <c r="Q29" s="1263"/>
      <c r="R29" s="667"/>
      <c r="S29" s="668"/>
      <c r="T29" s="667"/>
      <c r="U29" s="668"/>
      <c r="V29" s="667"/>
      <c r="W29" s="668"/>
      <c r="X29" s="1265"/>
      <c r="Y29" s="3388"/>
      <c r="Z29" s="1264"/>
      <c r="AA29" s="1264">
        <v>1</v>
      </c>
      <c r="AB29" s="1264">
        <v>1</v>
      </c>
      <c r="AC29" s="1264">
        <v>1</v>
      </c>
    </row>
    <row r="30" spans="1:29" ht="15">
      <c r="A30" s="367"/>
      <c r="B30" s="119" t="s">
        <v>1864</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89" t="s">
        <v>1688</v>
      </c>
      <c r="Q32" s="1263">
        <f t="shared" si="8"/>
        <v>111</v>
      </c>
      <c r="R32" s="667" t="s">
        <v>14</v>
      </c>
      <c r="S32" s="668">
        <f t="shared" si="10"/>
        <v>100</v>
      </c>
      <c r="T32" s="667" t="s">
        <v>14</v>
      </c>
      <c r="U32" s="668">
        <f t="shared" si="11"/>
        <v>100</v>
      </c>
      <c r="V32" s="667" t="s">
        <v>14</v>
      </c>
      <c r="W32" s="668">
        <f t="shared" si="12"/>
        <v>100</v>
      </c>
      <c r="X32" s="1265"/>
      <c r="Y32" s="3390" t="s">
        <v>1688</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1686</v>
      </c>
      <c r="B34" s="395" t="s">
        <v>1865</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1866</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1868</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1869</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1688</v>
      </c>
      <c r="Q37" s="1263" t="str">
        <f t="shared" si="14"/>
        <v>工程地质条件</v>
      </c>
      <c r="R37" s="667" t="s">
        <v>14</v>
      </c>
      <c r="S37" s="668">
        <f t="shared" si="10"/>
        <v>100</v>
      </c>
      <c r="T37" s="667" t="s">
        <v>14</v>
      </c>
      <c r="U37" s="668">
        <f t="shared" si="11"/>
        <v>100</v>
      </c>
      <c r="V37" s="667" t="s">
        <v>14</v>
      </c>
      <c r="W37" s="668">
        <f t="shared" si="12"/>
        <v>100</v>
      </c>
      <c r="X37" s="1265"/>
      <c r="Y37" s="3390" t="s">
        <v>1688</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5">
      <c r="A41" s="416" t="s">
        <v>1836</v>
      </c>
      <c r="B41" s="1830" t="s">
        <v>1912</v>
      </c>
      <c r="C41" s="602" t="s">
        <v>0</v>
      </c>
      <c r="D41" s="418"/>
      <c r="E41" s="419"/>
      <c r="F41" s="420"/>
      <c r="G41" s="421"/>
      <c r="H41" s="422"/>
      <c r="I41" s="419"/>
      <c r="J41" s="422"/>
      <c r="K41" s="674"/>
      <c r="L41" s="2493"/>
      <c r="M41" s="2486"/>
      <c r="N41" s="2486"/>
      <c r="O41" s="2486"/>
      <c r="P41" s="3386" t="str">
        <f>A41</f>
        <v>成交单价</v>
      </c>
      <c r="Q41" s="3386"/>
      <c r="R41" s="3391">
        <f>E41</f>
        <v>0</v>
      </c>
      <c r="S41" s="3391"/>
      <c r="T41" s="3391">
        <f>G41</f>
        <v>0</v>
      </c>
      <c r="U41" s="3391"/>
      <c r="V41" s="3391">
        <f>I41</f>
        <v>0</v>
      </c>
      <c r="W41" s="3391"/>
      <c r="X41" s="385"/>
      <c r="Y41" s="673"/>
      <c r="Z41" s="385"/>
      <c r="AA41" s="385"/>
      <c r="AB41" s="385"/>
      <c r="AC41" s="385"/>
    </row>
    <row r="42" spans="1:31" ht="15.75" thickBot="1">
      <c r="A42" s="423" t="s">
        <v>1785</v>
      </c>
      <c r="B42" s="603"/>
      <c r="C42" s="426" t="e">
        <f>R43</f>
        <v>#DIV/0!</v>
      </c>
      <c r="D42" s="2141" t="s">
        <v>2128</v>
      </c>
      <c r="E42" s="426" t="e">
        <f>R42</f>
        <v>#DIV/0!</v>
      </c>
      <c r="F42" s="2142"/>
      <c r="G42" s="425" t="e">
        <f>T42</f>
        <v>#DIV/0!</v>
      </c>
      <c r="H42" s="2142"/>
      <c r="I42" s="426" t="e">
        <f>V42</f>
        <v>#DIV/0!</v>
      </c>
      <c r="J42" s="2142"/>
      <c r="K42" s="2144">
        <f>F42+H42+J42</f>
        <v>0</v>
      </c>
      <c r="L42" s="2493"/>
      <c r="M42" s="2486"/>
      <c r="N42" s="2486"/>
      <c r="O42" s="2486"/>
      <c r="P42" s="3386" t="str">
        <f>A42</f>
        <v>比较价值（元/平方米）</v>
      </c>
      <c r="Q42" s="3386"/>
      <c r="R42" s="3379" t="e">
        <f>ROUND(PRODUCT(R41,AA7:AA40),0)</f>
        <v>#DIV/0!</v>
      </c>
      <c r="S42" s="3379"/>
      <c r="T42" s="3379" t="e">
        <f>ROUND(PRODUCT(T41,AB7:AB40),0)</f>
        <v>#DIV/0!</v>
      </c>
      <c r="U42" s="3379"/>
      <c r="V42" s="3379" t="e">
        <f>ROUND(PRODUCT(V41,AC7:AC40),0)</f>
        <v>#DIV/0!</v>
      </c>
      <c r="W42" s="3379"/>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382" t="e">
        <f>ROUND(IF(D42="简单平均",AVERAGE(R42:W42),R42*F42+T42*H42+V42*J42),0)</f>
        <v>#DIV/0!</v>
      </c>
      <c r="S43" s="3382"/>
      <c r="T43" s="3382"/>
      <c r="U43" s="3382"/>
      <c r="V43" s="3382"/>
      <c r="W43" s="338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1872</v>
      </c>
      <c r="B50" s="605" t="s">
        <v>1873</v>
      </c>
      <c r="C50" s="1831" t="s">
        <v>1874</v>
      </c>
      <c r="D50" s="1832" t="s">
        <v>1875</v>
      </c>
      <c r="E50" s="606" t="s">
        <v>1876</v>
      </c>
      <c r="F50" s="607" t="s">
        <v>1877</v>
      </c>
      <c r="G50" s="3383" t="s">
        <v>1878</v>
      </c>
      <c r="H50" s="3384"/>
      <c r="I50" s="1264" t="s">
        <v>1913</v>
      </c>
      <c r="J50" s="1264">
        <f>项目基本情况!F35</f>
        <v>0</v>
      </c>
      <c r="K50" s="1834" t="s">
        <v>1880</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1881</v>
      </c>
      <c r="B51" s="609" t="e">
        <f>C43</f>
        <v>#DIV/0!</v>
      </c>
      <c r="C51" s="610">
        <v>1</v>
      </c>
      <c r="D51" s="890">
        <v>1</v>
      </c>
      <c r="E51" s="610">
        <f>'数据-汇总表'!E8+'数据-汇总表'!E9</f>
        <v>10446.719999999999</v>
      </c>
      <c r="F51" s="611" t="e">
        <f t="shared" ref="F51:F60" si="15">ROUND(B51*E51/10000,0)</f>
        <v>#DIV/0!</v>
      </c>
      <c r="G51" s="3385"/>
      <c r="H51" s="338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1882</v>
      </c>
      <c r="B52" s="210" t="e">
        <f>ROUND($C$43*C52*D52,0)</f>
        <v>#DIV/0!</v>
      </c>
      <c r="C52" s="163">
        <f t="shared" ref="C52:C60" si="16">IF($C$50="北京市系数",I52,J52)</f>
        <v>0.5</v>
      </c>
      <c r="D52" s="891">
        <v>0.25</v>
      </c>
      <c r="E52" s="614"/>
      <c r="F52" s="611" t="e">
        <f t="shared" si="15"/>
        <v>#DIV/0!</v>
      </c>
      <c r="G52" s="2749" t="s">
        <v>1883</v>
      </c>
      <c r="H52" s="834" t="str">
        <f>项目基本情况!B37</f>
        <v>十级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1884</v>
      </c>
      <c r="B53" s="210" t="e">
        <f t="shared" ref="B53:B60" si="17">ROUND($C$43*C53*D53,0)</f>
        <v>#DIV/0!</v>
      </c>
      <c r="C53" s="163">
        <f t="shared" si="16"/>
        <v>0.2</v>
      </c>
      <c r="D53" s="891">
        <v>0.25</v>
      </c>
      <c r="E53" s="614"/>
      <c r="F53" s="611" t="e">
        <f t="shared" si="15"/>
        <v>#DIV/0!</v>
      </c>
      <c r="G53" s="2750"/>
      <c r="H53" s="834" t="str">
        <f>项目基本情况!B37</f>
        <v>十级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1885</v>
      </c>
      <c r="B54" s="210" t="e">
        <f t="shared" si="17"/>
        <v>#DIV/0!</v>
      </c>
      <c r="C54" s="163">
        <f t="shared" si="16"/>
        <v>0.2</v>
      </c>
      <c r="D54" s="891">
        <v>0.25</v>
      </c>
      <c r="E54" s="614"/>
      <c r="F54" s="611" t="e">
        <f t="shared" si="15"/>
        <v>#DIV/0!</v>
      </c>
      <c r="G54" s="2750"/>
      <c r="H54" s="834" t="str">
        <f>项目基本情况!B37</f>
        <v>十级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1886</v>
      </c>
      <c r="B56" s="210" t="e">
        <f t="shared" si="17"/>
        <v>#DIV/0!</v>
      </c>
      <c r="C56" s="163">
        <f t="shared" si="16"/>
        <v>0</v>
      </c>
      <c r="D56" s="891">
        <v>0.25</v>
      </c>
      <c r="E56" s="209">
        <f>'数据-汇总表'!E11</f>
        <v>0</v>
      </c>
      <c r="F56" s="611" t="e">
        <f t="shared" si="15"/>
        <v>#DIV/0!</v>
      </c>
      <c r="G56" s="1835" t="s">
        <v>1887</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1888</v>
      </c>
      <c r="B57" s="210" t="e">
        <f t="shared" si="17"/>
        <v>#DIV/0!</v>
      </c>
      <c r="C57" s="163">
        <f t="shared" si="16"/>
        <v>0</v>
      </c>
      <c r="D57" s="891">
        <v>0.25</v>
      </c>
      <c r="E57" s="209">
        <f>'数据-汇总表'!E12</f>
        <v>0</v>
      </c>
      <c r="F57" s="611" t="e">
        <f t="shared" si="15"/>
        <v>#DIV/0!</v>
      </c>
      <c r="G57" s="839" t="s">
        <v>1889</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1890</v>
      </c>
      <c r="B58" s="210" t="e">
        <f t="shared" si="17"/>
        <v>#DIV/0!</v>
      </c>
      <c r="C58" s="163">
        <f t="shared" si="16"/>
        <v>0</v>
      </c>
      <c r="D58" s="891">
        <v>0.25</v>
      </c>
      <c r="E58" s="209">
        <f>'数据-汇总表'!E13</f>
        <v>0</v>
      </c>
      <c r="F58" s="611" t="e">
        <f t="shared" si="15"/>
        <v>#DIV/0!</v>
      </c>
      <c r="G58" s="839" t="s">
        <v>1891</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1892</v>
      </c>
      <c r="B59" s="210" t="e">
        <f t="shared" si="17"/>
        <v>#DIV/0!</v>
      </c>
      <c r="C59" s="163">
        <f t="shared" si="16"/>
        <v>0.1</v>
      </c>
      <c r="D59" s="891">
        <v>0.25</v>
      </c>
      <c r="E59" s="209">
        <f>'数据-汇总表'!E14</f>
        <v>0</v>
      </c>
      <c r="F59" s="611" t="e">
        <f t="shared" si="15"/>
        <v>#DIV/0!</v>
      </c>
      <c r="G59" s="1835" t="s">
        <v>1883</v>
      </c>
      <c r="H59" s="834" t="str">
        <f>项目基本情况!B37</f>
        <v>十级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1893</v>
      </c>
      <c r="B60" s="210" t="e">
        <f t="shared" si="17"/>
        <v>#DIV/0!</v>
      </c>
      <c r="C60" s="163">
        <f t="shared" si="16"/>
        <v>0</v>
      </c>
      <c r="D60" s="891">
        <v>0.25</v>
      </c>
      <c r="E60" s="209">
        <f>'数据-汇总表'!E15</f>
        <v>0</v>
      </c>
      <c r="F60" s="611" t="e">
        <f t="shared" si="15"/>
        <v>#DIV/0!</v>
      </c>
      <c r="G60" s="1836" t="s">
        <v>1887</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1894</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1790</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1895</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1914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1708</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1673</v>
      </c>
      <c r="B68" s="444"/>
      <c r="C68" s="456" t="s">
        <v>1768</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1711</v>
      </c>
      <c r="B70" s="460" t="s">
        <v>1677</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1680</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1682</v>
      </c>
      <c r="B83" s="460" t="s">
        <v>1821</v>
      </c>
      <c r="C83" s="504" t="s">
        <v>1713</v>
      </c>
      <c r="D83" s="504" t="s">
        <v>1714</v>
      </c>
      <c r="E83" s="504" t="s">
        <v>1715</v>
      </c>
      <c r="F83" s="504" t="s">
        <v>1716</v>
      </c>
      <c r="G83" s="504" t="s">
        <v>1717</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1718</v>
      </c>
      <c r="C85" s="509" t="s">
        <v>1713</v>
      </c>
      <c r="D85" s="509" t="s">
        <v>1714</v>
      </c>
      <c r="E85" s="509" t="s">
        <v>1715</v>
      </c>
      <c r="F85" s="509" t="s">
        <v>1716</v>
      </c>
      <c r="G85" s="509" t="s">
        <v>1717</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1897</v>
      </c>
      <c r="C87" s="504" t="s">
        <v>1713</v>
      </c>
      <c r="D87" s="504" t="s">
        <v>1714</v>
      </c>
      <c r="E87" s="504" t="s">
        <v>1715</v>
      </c>
      <c r="F87" s="504" t="s">
        <v>1716</v>
      </c>
      <c r="G87" s="504" t="s">
        <v>1717</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1898</v>
      </c>
      <c r="C89" s="504" t="s">
        <v>1713</v>
      </c>
      <c r="D89" s="504" t="s">
        <v>1714</v>
      </c>
      <c r="E89" s="504" t="s">
        <v>1715</v>
      </c>
      <c r="F89" s="504" t="s">
        <v>1716</v>
      </c>
      <c r="G89" s="504" t="s">
        <v>1717</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1915</v>
      </c>
      <c r="C93" s="581" t="s">
        <v>1791</v>
      </c>
      <c r="D93" s="581" t="s">
        <v>1792</v>
      </c>
      <c r="E93" s="581" t="s">
        <v>1793</v>
      </c>
      <c r="F93" s="581" t="s">
        <v>1794</v>
      </c>
      <c r="G93" s="581" t="s">
        <v>1795</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1899</v>
      </c>
      <c r="D95" s="470" t="s">
        <v>1900</v>
      </c>
      <c r="E95" s="470" t="s">
        <v>1901</v>
      </c>
      <c r="F95" s="470" t="s">
        <v>1902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1807</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1864</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1686</v>
      </c>
      <c r="B107" s="460" t="s">
        <v>1903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1904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1906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1907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2073</v>
      </c>
      <c r="C1" s="3497" t="s">
        <v>2074</v>
      </c>
      <c r="D1" s="3498"/>
      <c r="E1" s="3498"/>
      <c r="F1" s="3498"/>
      <c r="G1" s="3498"/>
      <c r="H1" s="3498"/>
      <c r="I1" s="3498"/>
      <c r="J1" s="3498"/>
      <c r="K1" s="3498"/>
      <c r="L1" s="3498"/>
      <c r="M1" s="3498"/>
      <c r="N1" s="3498"/>
      <c r="O1" s="3498"/>
      <c r="P1" s="3498"/>
      <c r="Q1" s="3498"/>
      <c r="R1" s="3498"/>
      <c r="S1" s="3499"/>
      <c r="T1" s="929" t="s">
        <v>2075</v>
      </c>
    </row>
    <row r="2" spans="1:45" s="625" customFormat="1">
      <c r="A2" s="930"/>
      <c r="B2" s="622" t="s">
        <v>2076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2083</v>
      </c>
      <c r="B17" s="1987" t="s">
        <v>2084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2085</v>
      </c>
      <c r="E19" s="1253"/>
      <c r="F19" s="1253"/>
      <c r="G19" s="1253"/>
      <c r="H19" s="996"/>
      <c r="I19" s="151"/>
      <c r="J19" s="151"/>
      <c r="K19" s="151"/>
      <c r="L19" s="151"/>
      <c r="M19" s="151"/>
      <c r="N19" s="151"/>
      <c r="O19" s="151"/>
      <c r="P19" s="151"/>
      <c r="Q19" s="151"/>
      <c r="R19" s="151"/>
      <c r="S19" s="121"/>
    </row>
    <row r="20" spans="1:45" ht="16.5" thickBot="1">
      <c r="A20" s="632" t="s">
        <v>2086</v>
      </c>
      <c r="B20" s="286" t="e">
        <f ca="1">IF(D20="——",S22,S22-F20)</f>
        <v>#REF!</v>
      </c>
      <c r="C20" s="151"/>
      <c r="D20" s="1989"/>
      <c r="E20" s="1254"/>
      <c r="F20" s="929" t="e">
        <f ca="1">SUMIF(INDIRECT("'"&amp;H20&amp;"'"&amp;"!A:A"),"承租人权益价值",INDIRECT("'"&amp;H20&amp;"'"&amp;"!c:c"))</f>
        <v>#REF!</v>
      </c>
      <c r="G20" s="929" t="s">
        <v>2087</v>
      </c>
      <c r="H20" s="1990"/>
      <c r="I20" s="151"/>
      <c r="J20" s="151"/>
      <c r="K20" s="151"/>
      <c r="L20" s="151"/>
      <c r="M20" s="151"/>
      <c r="N20" s="151"/>
      <c r="O20" s="151"/>
      <c r="P20" s="151"/>
      <c r="Q20" s="151"/>
      <c r="R20" s="151"/>
      <c r="S20" s="121"/>
    </row>
    <row r="21" spans="1:45" ht="15.75">
      <c r="A21" s="632" t="s">
        <v>2088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2071</v>
      </c>
      <c r="B1" s="4"/>
      <c r="C1" s="4"/>
      <c r="D1" s="4"/>
      <c r="E1" s="4"/>
      <c r="F1" s="2543"/>
      <c r="G1" s="2543"/>
      <c r="H1" s="2543"/>
      <c r="I1" s="2543"/>
      <c r="J1" s="2543"/>
      <c r="K1" s="2543"/>
      <c r="L1" s="2543"/>
      <c r="M1" s="2543"/>
      <c r="N1" s="2543"/>
      <c r="O1" s="2543"/>
      <c r="P1" s="2543"/>
    </row>
    <row r="2" spans="1:16" ht="15.75">
      <c r="A2" s="1984" t="s">
        <v>2063</v>
      </c>
      <c r="B2" s="2387">
        <f ca="1">SUMIF(B6:B13,"&lt;&gt;#ref!",B6:B13)</f>
        <v>1340</v>
      </c>
      <c r="C2" s="1984" t="s">
        <v>2064</v>
      </c>
      <c r="D2" s="1984" t="s">
        <v>2065</v>
      </c>
      <c r="E2" s="2397">
        <f ca="1">SUMIF(E6:E13,"&lt;&gt;#ref!",E6:E13)</f>
        <v>10446.719999999999</v>
      </c>
      <c r="F2" s="2543"/>
      <c r="G2" s="2543"/>
      <c r="H2" s="2543"/>
      <c r="I2" s="2543"/>
      <c r="J2" s="2543"/>
      <c r="K2" s="2543"/>
      <c r="L2" s="2543"/>
      <c r="M2" s="2543"/>
      <c r="N2" s="2543"/>
      <c r="O2" s="2543"/>
      <c r="P2" s="2543"/>
    </row>
    <row r="3" spans="1:16" ht="15.75">
      <c r="A3" s="1984" t="s">
        <v>2066</v>
      </c>
      <c r="B3" s="2387">
        <f ca="1">ROUND(B2*10000/E2,0)</f>
        <v>1283</v>
      </c>
      <c r="C3" s="1984" t="s">
        <v>2072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2067</v>
      </c>
      <c r="B5" s="2395" t="s">
        <v>2068</v>
      </c>
      <c r="C5" s="1985"/>
      <c r="D5" s="2543"/>
      <c r="E5" s="2396" t="s">
        <v>2069</v>
      </c>
      <c r="F5" s="2543"/>
      <c r="G5" s="2543"/>
      <c r="H5" s="2543"/>
      <c r="I5" s="2543"/>
      <c r="J5" s="2543"/>
      <c r="K5" s="2543"/>
      <c r="L5" s="2543"/>
      <c r="M5" s="2543"/>
      <c r="N5" s="2543"/>
      <c r="O5" s="2543"/>
      <c r="P5" s="2543"/>
    </row>
    <row r="6" spans="1:16" ht="15.75">
      <c r="A6" s="2394" t="s">
        <v>2070</v>
      </c>
      <c r="B6" s="2387">
        <f ca="1">SUMIF(INDIRECT("'"&amp;A6&amp;"'"&amp;"!A:A"),"总价",INDIRECT("'"&amp;A6&amp;"'"&amp;"!B:B"))</f>
        <v>1340</v>
      </c>
      <c r="C6" s="1984" t="s">
        <v>2064</v>
      </c>
      <c r="D6" s="2543"/>
      <c r="E6" s="2397">
        <f ca="1">SUMIF(INDIRECT("'"&amp;A6&amp;"'"&amp;"!C:C"),"建筑面积",INDIRECT("'"&amp;A6&amp;"'"&amp;"!D:D"))</f>
        <v>10446.719999999999</v>
      </c>
      <c r="F6" s="2543"/>
      <c r="G6" s="2543"/>
      <c r="H6" s="2543"/>
      <c r="I6" s="2543"/>
      <c r="J6" s="2543"/>
      <c r="K6" s="2543"/>
      <c r="L6" s="2543"/>
      <c r="M6" s="2543"/>
      <c r="N6" s="2543"/>
      <c r="O6" s="2543"/>
      <c r="P6" s="2543"/>
    </row>
    <row r="7" spans="1:16" ht="15.75">
      <c r="A7" s="2394"/>
      <c r="B7" s="2387" t="e">
        <f ca="1">SUMIF(INDIRECT("'"&amp;A7&amp;"'"&amp;"!A:A"),"总价",INDIRECT("'"&amp;A7&amp;"'"&amp;"!B:B"))</f>
        <v>#REF!</v>
      </c>
      <c r="C7" s="1984" t="s">
        <v>2064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2064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2064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2064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2064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2064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2064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Normal="100" workbookViewId="0">
      <selection activeCell="D33" sqref="D33:H33"/>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2582</v>
      </c>
      <c r="B1" s="2810" t="s">
        <v>2583</v>
      </c>
      <c r="C1" s="2810" t="s">
        <v>2584</v>
      </c>
      <c r="D1" s="2810" t="s">
        <v>2585</v>
      </c>
      <c r="E1" s="2810" t="s">
        <v>2586</v>
      </c>
      <c r="F1" s="2810" t="s">
        <v>2587</v>
      </c>
      <c r="G1" s="2810" t="s">
        <v>2588</v>
      </c>
      <c r="H1" s="2810" t="s">
        <v>2589</v>
      </c>
      <c r="I1" s="2810" t="s">
        <v>2590</v>
      </c>
      <c r="J1" s="2810" t="s">
        <v>2591</v>
      </c>
      <c r="K1" s="2810" t="s">
        <v>2592</v>
      </c>
      <c r="L1" s="2810" t="s">
        <v>2593</v>
      </c>
      <c r="M1" s="2811" t="s">
        <v>2594</v>
      </c>
    </row>
    <row r="2" spans="1:13" ht="19.5" customHeight="1">
      <c r="A2" s="2813" t="s">
        <v>2595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2611</v>
      </c>
      <c r="B18" s="2835"/>
      <c r="C18" s="2836"/>
      <c r="D18" s="2836"/>
      <c r="E18" s="2835"/>
      <c r="F18" s="2836"/>
      <c r="G18" s="2836"/>
    </row>
    <row r="19" spans="1:13" ht="19.5" customHeight="1" thickBot="1">
      <c r="A19" s="2833" t="s">
        <v>2612</v>
      </c>
      <c r="B19" s="2838" t="s">
        <v>2613</v>
      </c>
      <c r="C19" s="2838" t="s">
        <v>2614</v>
      </c>
      <c r="D19" s="2839"/>
      <c r="E19" s="2833" t="s">
        <v>2615</v>
      </c>
      <c r="F19" s="2840"/>
      <c r="G19" s="2840"/>
    </row>
    <row r="20" spans="1:13" ht="19.5" customHeight="1">
      <c r="A20" s="3509" t="s">
        <v>2595</v>
      </c>
      <c r="B20" s="3504" t="s">
        <v>2616</v>
      </c>
      <c r="C20" s="2841" t="s">
        <v>2427</v>
      </c>
      <c r="D20" s="2842"/>
      <c r="E20" s="2843">
        <v>1</v>
      </c>
      <c r="F20" s="2844" t="s">
        <v>2428</v>
      </c>
      <c r="G20" s="2844"/>
    </row>
    <row r="21" spans="1:13" ht="19.5" customHeight="1">
      <c r="A21" s="3510"/>
      <c r="B21" s="3503"/>
      <c r="C21" s="2845" t="s">
        <v>2429</v>
      </c>
      <c r="D21" s="2846"/>
      <c r="E21" s="2847">
        <v>1</v>
      </c>
      <c r="F21" s="2844" t="s">
        <v>2430</v>
      </c>
      <c r="G21" s="2844"/>
    </row>
    <row r="22" spans="1:13" ht="19.5" customHeight="1">
      <c r="A22" s="3510"/>
      <c r="B22" s="3503"/>
      <c r="C22" s="2845" t="s">
        <v>2431</v>
      </c>
      <c r="D22" s="2846"/>
      <c r="E22" s="2847">
        <v>0.9</v>
      </c>
      <c r="F22" s="2844" t="s">
        <v>2432</v>
      </c>
      <c r="G22" s="2844"/>
    </row>
    <row r="23" spans="1:13" ht="19.5" customHeight="1">
      <c r="A23" s="3510"/>
      <c r="B23" s="3503"/>
      <c r="C23" s="2845" t="s">
        <v>2433</v>
      </c>
      <c r="D23" s="2846"/>
      <c r="E23" s="2847">
        <v>0.9</v>
      </c>
      <c r="F23" s="2844" t="s">
        <v>2434</v>
      </c>
      <c r="G23" s="2844"/>
    </row>
    <row r="24" spans="1:13" ht="19.5" customHeight="1">
      <c r="A24" s="3510"/>
      <c r="B24" s="3503"/>
      <c r="C24" s="2845" t="s">
        <v>2435</v>
      </c>
      <c r="D24" s="2846"/>
      <c r="E24" s="2847">
        <v>0.8</v>
      </c>
      <c r="F24" s="2844" t="s">
        <v>2436</v>
      </c>
      <c r="G24" s="2844"/>
    </row>
    <row r="25" spans="1:13" ht="19.5" customHeight="1" thickBot="1">
      <c r="A25" s="3511"/>
      <c r="B25" s="3505"/>
      <c r="C25" s="2848" t="s">
        <v>2437</v>
      </c>
      <c r="D25" s="2849"/>
      <c r="E25" s="2850">
        <v>0.8</v>
      </c>
      <c r="F25" s="2844" t="s">
        <v>2438</v>
      </c>
      <c r="G25" s="2844"/>
    </row>
    <row r="26" spans="1:13" ht="19.5" customHeight="1" thickBot="1">
      <c r="A26" s="2851" t="s">
        <v>2617</v>
      </c>
      <c r="B26" s="2852" t="s">
        <v>2616</v>
      </c>
      <c r="C26" s="2853" t="s">
        <v>2618</v>
      </c>
      <c r="D26" s="2854"/>
      <c r="E26" s="2855">
        <v>1</v>
      </c>
      <c r="F26" s="2844" t="s">
        <v>2439</v>
      </c>
      <c r="G26" s="2844"/>
    </row>
    <row r="27" spans="1:13" ht="19.5" customHeight="1">
      <c r="A27" s="3506" t="s">
        <v>2619</v>
      </c>
      <c r="B27" s="3504" t="s">
        <v>2600</v>
      </c>
      <c r="C27" s="2841" t="s">
        <v>2440</v>
      </c>
      <c r="D27" s="2842"/>
      <c r="E27" s="2843">
        <v>1</v>
      </c>
      <c r="F27" s="2844" t="s">
        <v>2441</v>
      </c>
      <c r="G27" s="2844"/>
    </row>
    <row r="28" spans="1:13" ht="19.5" customHeight="1">
      <c r="A28" s="3507"/>
      <c r="B28" s="3503"/>
      <c r="C28" s="2845" t="s">
        <v>2442</v>
      </c>
      <c r="D28" s="2846"/>
      <c r="E28" s="2847">
        <v>1</v>
      </c>
      <c r="F28" s="2844" t="s">
        <v>2443</v>
      </c>
      <c r="G28" s="2844"/>
    </row>
    <row r="29" spans="1:13" ht="19.5" customHeight="1">
      <c r="A29" s="3507"/>
      <c r="B29" s="3503"/>
      <c r="C29" s="2845" t="s">
        <v>2444</v>
      </c>
      <c r="D29" s="2846"/>
      <c r="E29" s="2847">
        <v>0.8</v>
      </c>
      <c r="F29" s="2844" t="s">
        <v>2445</v>
      </c>
      <c r="G29" s="2844"/>
    </row>
    <row r="30" spans="1:13" ht="19.5" customHeight="1">
      <c r="A30" s="3507"/>
      <c r="B30" s="3503"/>
      <c r="C30" s="2845" t="s">
        <v>2446</v>
      </c>
      <c r="D30" s="2846"/>
      <c r="E30" s="2847">
        <v>0.8</v>
      </c>
      <c r="F30" s="2844" t="s">
        <v>2447</v>
      </c>
      <c r="G30" s="2844"/>
    </row>
    <row r="31" spans="1:13" ht="19.5" customHeight="1">
      <c r="A31" s="3507"/>
      <c r="B31" s="3503"/>
      <c r="C31" s="2845" t="s">
        <v>2448</v>
      </c>
      <c r="D31" s="2846"/>
      <c r="E31" s="2847">
        <v>0.8</v>
      </c>
      <c r="F31" s="2844" t="s">
        <v>2449</v>
      </c>
      <c r="G31" s="2844"/>
    </row>
    <row r="32" spans="1:13" ht="19.5" customHeight="1">
      <c r="A32" s="3507"/>
      <c r="B32" s="3503"/>
      <c r="C32" s="2845" t="s">
        <v>2450</v>
      </c>
      <c r="D32" s="2846"/>
      <c r="E32" s="2847">
        <v>0.7</v>
      </c>
      <c r="F32" s="2844" t="s">
        <v>2451</v>
      </c>
      <c r="G32" s="2844"/>
    </row>
    <row r="33" spans="1:7" ht="19.5" customHeight="1">
      <c r="A33" s="3507"/>
      <c r="B33" s="3503"/>
      <c r="C33" s="2845" t="s">
        <v>2452</v>
      </c>
      <c r="D33" s="2846"/>
      <c r="E33" s="2847">
        <v>0.8</v>
      </c>
      <c r="F33" s="2844" t="s">
        <v>2453</v>
      </c>
      <c r="G33" s="2844"/>
    </row>
    <row r="34" spans="1:7" ht="19.5" customHeight="1">
      <c r="A34" s="3507"/>
      <c r="B34" s="3503"/>
      <c r="C34" s="2845" t="s">
        <v>2454</v>
      </c>
      <c r="D34" s="2846"/>
      <c r="E34" s="2847">
        <v>0.6</v>
      </c>
      <c r="F34" s="2844" t="s">
        <v>2455</v>
      </c>
      <c r="G34" s="2844"/>
    </row>
    <row r="35" spans="1:7" ht="19.5" customHeight="1">
      <c r="A35" s="3507"/>
      <c r="B35" s="3503"/>
      <c r="C35" s="2845" t="s">
        <v>2456</v>
      </c>
      <c r="D35" s="2846"/>
      <c r="E35" s="2847">
        <v>0.2</v>
      </c>
      <c r="F35" s="2844" t="s">
        <v>2457</v>
      </c>
      <c r="G35" s="2844"/>
    </row>
    <row r="36" spans="1:7" ht="19.5" customHeight="1">
      <c r="A36" s="3507"/>
      <c r="B36" s="3503"/>
      <c r="C36" s="2845" t="s">
        <v>2458</v>
      </c>
      <c r="D36" s="2846"/>
      <c r="E36" s="2847">
        <v>0.2</v>
      </c>
      <c r="F36" s="2844" t="s">
        <v>2459</v>
      </c>
      <c r="G36" s="2844"/>
    </row>
    <row r="37" spans="1:7" ht="19.5" customHeight="1">
      <c r="A37" s="3507"/>
      <c r="B37" s="3501" t="s">
        <v>2620</v>
      </c>
      <c r="C37" s="2845" t="s">
        <v>2460</v>
      </c>
      <c r="D37" s="2846"/>
      <c r="E37" s="2847">
        <v>0.6</v>
      </c>
      <c r="F37" s="2844" t="s">
        <v>2461</v>
      </c>
      <c r="G37" s="2844"/>
    </row>
    <row r="38" spans="1:7" ht="19.5" customHeight="1">
      <c r="A38" s="3507"/>
      <c r="B38" s="3503"/>
      <c r="C38" s="2845" t="s">
        <v>2462</v>
      </c>
      <c r="D38" s="2846"/>
      <c r="E38" s="2847">
        <v>0.6</v>
      </c>
      <c r="F38" s="2844" t="s">
        <v>2463</v>
      </c>
      <c r="G38" s="2844"/>
    </row>
    <row r="39" spans="1:7" ht="19.5" customHeight="1" thickBot="1">
      <c r="A39" s="3508"/>
      <c r="B39" s="3505"/>
      <c r="C39" s="2848" t="s">
        <v>2464</v>
      </c>
      <c r="D39" s="2849"/>
      <c r="E39" s="2850">
        <v>0.6</v>
      </c>
      <c r="F39" s="2844" t="s">
        <v>2465</v>
      </c>
      <c r="G39" s="2844"/>
    </row>
    <row r="40" spans="1:7" ht="19.5" customHeight="1" thickBot="1">
      <c r="A40" s="2851" t="s">
        <v>2597</v>
      </c>
      <c r="B40" s="2852" t="s">
        <v>2597</v>
      </c>
      <c r="C40" s="2853" t="s">
        <v>2621</v>
      </c>
      <c r="D40" s="2854"/>
      <c r="E40" s="2855">
        <v>1</v>
      </c>
      <c r="F40" s="2844" t="s">
        <v>2466</v>
      </c>
      <c r="G40" s="2844"/>
    </row>
    <row r="41" spans="1:7" ht="19.5" customHeight="1">
      <c r="A41" s="3509" t="s">
        <v>2598</v>
      </c>
      <c r="B41" s="3504" t="s">
        <v>2622</v>
      </c>
      <c r="C41" s="2841" t="s">
        <v>2467</v>
      </c>
      <c r="D41" s="2842"/>
      <c r="E41" s="2843">
        <v>1</v>
      </c>
      <c r="F41" s="2844" t="s">
        <v>2468</v>
      </c>
      <c r="G41" s="2844"/>
    </row>
    <row r="42" spans="1:7" ht="19.5" customHeight="1">
      <c r="A42" s="3510"/>
      <c r="B42" s="3503"/>
      <c r="C42" s="2845" t="s">
        <v>2469</v>
      </c>
      <c r="D42" s="2846"/>
      <c r="E42" s="2847">
        <v>1</v>
      </c>
      <c r="F42" s="2844" t="s">
        <v>2470</v>
      </c>
      <c r="G42" s="2844"/>
    </row>
    <row r="43" spans="1:7" ht="19.5" customHeight="1">
      <c r="A43" s="3510"/>
      <c r="B43" s="3502"/>
      <c r="C43" s="2845" t="s">
        <v>2471</v>
      </c>
      <c r="D43" s="2846"/>
      <c r="E43" s="2847">
        <v>1.5</v>
      </c>
      <c r="F43" s="2844" t="s">
        <v>2472</v>
      </c>
      <c r="G43" s="2844"/>
    </row>
    <row r="44" spans="1:7" ht="19.5" customHeight="1">
      <c r="A44" s="3510"/>
      <c r="B44" s="2856" t="s">
        <v>2623</v>
      </c>
      <c r="C44" s="2845" t="s">
        <v>2624</v>
      </c>
      <c r="D44" s="2846"/>
      <c r="E44" s="2847">
        <v>2</v>
      </c>
      <c r="F44" s="2844" t="s">
        <v>2473</v>
      </c>
      <c r="G44" s="2844"/>
    </row>
    <row r="45" spans="1:7" ht="19.5" customHeight="1">
      <c r="A45" s="3510"/>
      <c r="B45" s="3501" t="s">
        <v>2625</v>
      </c>
      <c r="C45" s="2845" t="s">
        <v>2474</v>
      </c>
      <c r="D45" s="2846"/>
      <c r="E45" s="2847">
        <v>1</v>
      </c>
      <c r="F45" s="2844" t="s">
        <v>2475</v>
      </c>
      <c r="G45" s="2844"/>
    </row>
    <row r="46" spans="1:7" ht="19.5" customHeight="1">
      <c r="A46" s="3510"/>
      <c r="B46" s="3503"/>
      <c r="C46" s="2845" t="s">
        <v>2476</v>
      </c>
      <c r="D46" s="2846"/>
      <c r="E46" s="2847">
        <v>1</v>
      </c>
      <c r="F46" s="2844" t="s">
        <v>2477</v>
      </c>
      <c r="G46" s="2844"/>
    </row>
    <row r="47" spans="1:7" ht="19.5" customHeight="1">
      <c r="A47" s="3510"/>
      <c r="B47" s="3503"/>
      <c r="C47" s="2845" t="s">
        <v>2478</v>
      </c>
      <c r="D47" s="2846"/>
      <c r="E47" s="2847">
        <v>1</v>
      </c>
      <c r="F47" s="2844" t="s">
        <v>2479</v>
      </c>
      <c r="G47" s="2844"/>
    </row>
    <row r="48" spans="1:7" ht="19.5" customHeight="1">
      <c r="A48" s="3510"/>
      <c r="B48" s="3503"/>
      <c r="C48" s="2845" t="s">
        <v>2480</v>
      </c>
      <c r="D48" s="2846"/>
      <c r="E48" s="2847">
        <v>1</v>
      </c>
      <c r="F48" s="2844" t="s">
        <v>2481</v>
      </c>
      <c r="G48" s="2844"/>
    </row>
    <row r="49" spans="1:7" ht="19.5" customHeight="1">
      <c r="A49" s="3510"/>
      <c r="B49" s="3503"/>
      <c r="C49" s="2845" t="s">
        <v>2482</v>
      </c>
      <c r="D49" s="2846"/>
      <c r="E49" s="2847">
        <v>1</v>
      </c>
      <c r="F49" s="2844" t="s">
        <v>2483</v>
      </c>
      <c r="G49" s="2844"/>
    </row>
    <row r="50" spans="1:7" ht="19.5" customHeight="1">
      <c r="A50" s="3510"/>
      <c r="B50" s="3503"/>
      <c r="C50" s="2845" t="s">
        <v>2484</v>
      </c>
      <c r="D50" s="2846"/>
      <c r="E50" s="2847">
        <v>1</v>
      </c>
      <c r="F50" s="2844" t="s">
        <v>2485</v>
      </c>
      <c r="G50" s="2844"/>
    </row>
    <row r="51" spans="1:7" ht="19.5" customHeight="1" thickBot="1">
      <c r="A51" s="3511"/>
      <c r="B51" s="3505"/>
      <c r="C51" s="2848" t="s">
        <v>2486</v>
      </c>
      <c r="D51" s="2849"/>
      <c r="E51" s="2850">
        <v>1</v>
      </c>
      <c r="F51" s="2844" t="s">
        <v>2487</v>
      </c>
      <c r="G51" s="2844"/>
    </row>
    <row r="52" spans="1:7" ht="19.5" customHeight="1">
      <c r="A52" s="2857"/>
      <c r="B52" s="2857"/>
      <c r="C52" s="2857"/>
      <c r="D52" s="2857"/>
      <c r="E52" s="2857"/>
      <c r="F52" s="2857"/>
      <c r="G52" s="2857"/>
    </row>
    <row r="54" spans="1:7" ht="19.5" customHeight="1">
      <c r="A54" s="2858"/>
      <c r="B54" s="2830" t="s">
        <v>2626</v>
      </c>
      <c r="C54" s="2830" t="s">
        <v>2626</v>
      </c>
      <c r="D54" s="2830" t="s">
        <v>2626</v>
      </c>
      <c r="E54" s="2833" t="s">
        <v>2626</v>
      </c>
      <c r="F54" s="2833" t="s">
        <v>2627</v>
      </c>
      <c r="G54" s="2833" t="s">
        <v>2628</v>
      </c>
    </row>
    <row r="55" spans="1:7" ht="19.5" customHeight="1">
      <c r="A55" s="2859"/>
      <c r="B55" s="2833" t="s">
        <v>2595</v>
      </c>
      <c r="C55" s="2833" t="s">
        <v>2595</v>
      </c>
      <c r="D55" s="2833" t="s">
        <v>2595</v>
      </c>
      <c r="E55" s="2830" t="s">
        <v>2596</v>
      </c>
      <c r="F55" s="2830" t="s">
        <v>2598</v>
      </c>
      <c r="G55" s="2830" t="s">
        <v>2629</v>
      </c>
    </row>
    <row r="56" spans="1:7" ht="19.5" customHeight="1">
      <c r="A56" s="2860"/>
      <c r="B56" s="2830">
        <v>1</v>
      </c>
      <c r="C56" s="2830">
        <v>2</v>
      </c>
      <c r="D56" s="2830">
        <v>3</v>
      </c>
      <c r="E56" s="2861" t="s">
        <v>2630</v>
      </c>
      <c r="F56" s="2861" t="s">
        <v>2630</v>
      </c>
      <c r="G56" s="2861" t="s">
        <v>2630</v>
      </c>
    </row>
    <row r="57" spans="1:7" ht="19.5" customHeight="1">
      <c r="A57" s="2862" t="s">
        <v>2583</v>
      </c>
      <c r="B57" s="2830">
        <v>0.7</v>
      </c>
      <c r="C57" s="2830">
        <v>0.4</v>
      </c>
      <c r="D57" s="2830">
        <v>0.3</v>
      </c>
      <c r="E57" s="2861">
        <v>0.3</v>
      </c>
      <c r="F57" s="2830">
        <v>0.3</v>
      </c>
      <c r="G57" s="2830">
        <v>0.2</v>
      </c>
    </row>
    <row r="58" spans="1:7" ht="19.5" customHeight="1">
      <c r="A58" s="2862" t="s">
        <v>2584</v>
      </c>
      <c r="B58" s="2830">
        <v>0.7</v>
      </c>
      <c r="C58" s="2830">
        <v>0.4</v>
      </c>
      <c r="D58" s="2830">
        <v>0.3</v>
      </c>
      <c r="E58" s="2830">
        <v>0.3</v>
      </c>
      <c r="F58" s="2830">
        <v>0.3</v>
      </c>
      <c r="G58" s="2830">
        <v>0.2</v>
      </c>
    </row>
    <row r="59" spans="1:7" ht="19.5" customHeight="1">
      <c r="A59" s="2862" t="s">
        <v>2585</v>
      </c>
      <c r="B59" s="2830">
        <v>0.6</v>
      </c>
      <c r="C59" s="2830">
        <v>0.3</v>
      </c>
      <c r="D59" s="2830">
        <v>0.25</v>
      </c>
      <c r="E59" s="2830">
        <v>0.25</v>
      </c>
      <c r="F59" s="2830">
        <v>0.25</v>
      </c>
      <c r="G59" s="2830">
        <v>0.15</v>
      </c>
    </row>
    <row r="60" spans="1:7" ht="19.5" customHeight="1">
      <c r="A60" s="2862" t="s">
        <v>2586</v>
      </c>
      <c r="B60" s="2830">
        <v>0.6</v>
      </c>
      <c r="C60" s="2830">
        <v>0.3</v>
      </c>
      <c r="D60" s="2830">
        <v>0.25</v>
      </c>
      <c r="E60" s="2830">
        <v>0.25</v>
      </c>
      <c r="F60" s="2830">
        <v>0.25</v>
      </c>
      <c r="G60" s="2830">
        <v>0.15</v>
      </c>
    </row>
    <row r="61" spans="1:7" ht="19.5" customHeight="1">
      <c r="A61" s="2862" t="s">
        <v>2587</v>
      </c>
      <c r="B61" s="2830">
        <v>0.6</v>
      </c>
      <c r="C61" s="2830">
        <v>0.3</v>
      </c>
      <c r="D61" s="2830">
        <v>0.25</v>
      </c>
      <c r="E61" s="2830">
        <v>0.25</v>
      </c>
      <c r="F61" s="2830">
        <v>0.25</v>
      </c>
      <c r="G61" s="2830">
        <v>0.15</v>
      </c>
    </row>
    <row r="62" spans="1:7" ht="19.5" customHeight="1">
      <c r="A62" s="2862" t="s">
        <v>2588</v>
      </c>
      <c r="B62" s="2830">
        <v>0.6</v>
      </c>
      <c r="C62" s="2830">
        <v>0.3</v>
      </c>
      <c r="D62" s="2830">
        <v>0.25</v>
      </c>
      <c r="E62" s="2830">
        <v>0.25</v>
      </c>
      <c r="F62" s="2830">
        <v>0.25</v>
      </c>
      <c r="G62" s="2830">
        <v>0.15</v>
      </c>
    </row>
    <row r="63" spans="1:7" ht="19.5" customHeight="1">
      <c r="A63" s="2862" t="s">
        <v>2589</v>
      </c>
      <c r="B63" s="2830">
        <v>0.6</v>
      </c>
      <c r="C63" s="2830">
        <v>0.3</v>
      </c>
      <c r="D63" s="2830">
        <v>0.25</v>
      </c>
      <c r="E63" s="2830">
        <v>0.25</v>
      </c>
      <c r="F63" s="2830">
        <v>0.25</v>
      </c>
      <c r="G63" s="2830">
        <v>0.15</v>
      </c>
    </row>
    <row r="64" spans="1:7" ht="19.5" customHeight="1">
      <c r="A64" s="2862" t="s">
        <v>2590</v>
      </c>
      <c r="B64" s="2830">
        <v>0.5</v>
      </c>
      <c r="C64" s="2830">
        <v>0.2</v>
      </c>
      <c r="D64" s="2830">
        <v>0.2</v>
      </c>
      <c r="E64" s="2830">
        <v>0.2</v>
      </c>
      <c r="F64" s="2830">
        <v>0.2</v>
      </c>
      <c r="G64" s="2830">
        <v>0.1</v>
      </c>
    </row>
    <row r="65" spans="1:7" ht="19.5" customHeight="1">
      <c r="A65" s="2862" t="s">
        <v>2591</v>
      </c>
      <c r="B65" s="2830">
        <v>0.5</v>
      </c>
      <c r="C65" s="2830">
        <v>0.2</v>
      </c>
      <c r="D65" s="2830">
        <v>0.2</v>
      </c>
      <c r="E65" s="2830">
        <v>0.2</v>
      </c>
      <c r="F65" s="2830">
        <v>0.2</v>
      </c>
      <c r="G65" s="2830">
        <v>0.1</v>
      </c>
    </row>
    <row r="66" spans="1:7" ht="19.5" customHeight="1">
      <c r="A66" s="2862" t="s">
        <v>2592</v>
      </c>
      <c r="B66" s="2830">
        <v>0.5</v>
      </c>
      <c r="C66" s="2830">
        <v>0.2</v>
      </c>
      <c r="D66" s="2830">
        <v>0.2</v>
      </c>
      <c r="E66" s="2830">
        <v>0.2</v>
      </c>
      <c r="F66" s="2830">
        <v>0.2</v>
      </c>
      <c r="G66" s="2830">
        <v>0.1</v>
      </c>
    </row>
    <row r="67" spans="1:7" ht="19.5" customHeight="1">
      <c r="A67" s="2862" t="s">
        <v>2593</v>
      </c>
      <c r="B67" s="2830">
        <v>0.5</v>
      </c>
      <c r="C67" s="2830">
        <v>0.2</v>
      </c>
      <c r="D67" s="2830">
        <v>0.2</v>
      </c>
      <c r="E67" s="2830">
        <v>0.2</v>
      </c>
      <c r="F67" s="2830">
        <v>0.2</v>
      </c>
      <c r="G67" s="2830">
        <v>0.1</v>
      </c>
    </row>
    <row r="68" spans="1:7" ht="19.5" customHeight="1">
      <c r="A68" s="2862" t="s">
        <v>2594</v>
      </c>
      <c r="B68" s="2830">
        <v>0.5</v>
      </c>
      <c r="C68" s="2830">
        <v>0.2</v>
      </c>
      <c r="D68" s="2830">
        <v>0.2</v>
      </c>
      <c r="E68" s="2830">
        <v>0.2</v>
      </c>
      <c r="F68" s="2830">
        <v>0.2</v>
      </c>
      <c r="G68" s="2830">
        <v>0.1</v>
      </c>
    </row>
    <row r="70" spans="1:7" ht="19.5" customHeight="1">
      <c r="A70" s="2844"/>
      <c r="B70" s="2863"/>
      <c r="C70" s="2863"/>
      <c r="D70" s="2863" t="s">
        <v>2631</v>
      </c>
      <c r="E70" s="2863"/>
      <c r="F70" s="2863"/>
    </row>
    <row r="71" spans="1:7" ht="19.5" customHeight="1">
      <c r="A71" s="2856" t="s">
        <v>2632</v>
      </c>
      <c r="B71" s="2856" t="s">
        <v>2633</v>
      </c>
      <c r="C71" s="2856" t="s">
        <v>2634</v>
      </c>
      <c r="D71" s="2856" t="s">
        <v>2635</v>
      </c>
      <c r="E71" s="2856" t="s">
        <v>2636</v>
      </c>
      <c r="F71" s="2856" t="s">
        <v>2637</v>
      </c>
    </row>
    <row r="72" spans="1:7" ht="13.5">
      <c r="A72" s="2856"/>
      <c r="B72" s="2856"/>
      <c r="C72" s="2856" t="s">
        <v>2638</v>
      </c>
      <c r="D72" s="2856"/>
      <c r="E72" s="2856" t="s">
        <v>2609</v>
      </c>
      <c r="F72" s="2856" t="s">
        <v>2609</v>
      </c>
    </row>
    <row r="73" spans="1:7" ht="13.5">
      <c r="A73" s="2856">
        <v>1</v>
      </c>
      <c r="B73" s="3501" t="s">
        <v>2639</v>
      </c>
      <c r="C73" s="2830" t="s">
        <v>2640</v>
      </c>
      <c r="D73" s="2830" t="s">
        <v>2641</v>
      </c>
      <c r="E73" s="2856">
        <v>0.2</v>
      </c>
      <c r="F73" s="2856">
        <v>25</v>
      </c>
    </row>
    <row r="74" spans="1:7" ht="24">
      <c r="A74" s="2856">
        <v>2</v>
      </c>
      <c r="B74" s="3503"/>
      <c r="C74" s="2830" t="s">
        <v>2642</v>
      </c>
      <c r="D74" s="2830" t="s">
        <v>2643</v>
      </c>
      <c r="E74" s="2856">
        <v>0.2</v>
      </c>
      <c r="F74" s="2856">
        <v>25</v>
      </c>
    </row>
    <row r="75" spans="1:7" ht="24">
      <c r="A75" s="2856">
        <v>3</v>
      </c>
      <c r="B75" s="3503"/>
      <c r="C75" s="2830" t="s">
        <v>2644</v>
      </c>
      <c r="D75" s="2830" t="s">
        <v>2645</v>
      </c>
      <c r="E75" s="2856">
        <v>0.2</v>
      </c>
      <c r="F75" s="2856">
        <v>25</v>
      </c>
    </row>
    <row r="76" spans="1:7" ht="13.5">
      <c r="A76" s="2856">
        <v>4</v>
      </c>
      <c r="B76" s="3503"/>
      <c r="C76" s="2830" t="s">
        <v>2646</v>
      </c>
      <c r="D76" s="2830" t="s">
        <v>2647</v>
      </c>
      <c r="E76" s="2856">
        <v>0.15</v>
      </c>
      <c r="F76" s="2856">
        <v>20</v>
      </c>
    </row>
    <row r="77" spans="1:7" ht="24">
      <c r="A77" s="2856">
        <v>5</v>
      </c>
      <c r="B77" s="3503"/>
      <c r="C77" s="2830" t="s">
        <v>2648</v>
      </c>
      <c r="D77" s="2830" t="s">
        <v>2649</v>
      </c>
      <c r="E77" s="2856">
        <v>0.15</v>
      </c>
      <c r="F77" s="2856">
        <v>20</v>
      </c>
    </row>
    <row r="78" spans="1:7" ht="24">
      <c r="A78" s="2856">
        <v>6</v>
      </c>
      <c r="B78" s="3503"/>
      <c r="C78" s="2830" t="s">
        <v>2650</v>
      </c>
      <c r="D78" s="2830" t="s">
        <v>2651</v>
      </c>
      <c r="E78" s="2856">
        <v>0.15</v>
      </c>
      <c r="F78" s="2856">
        <v>20</v>
      </c>
    </row>
    <row r="79" spans="1:7" ht="24">
      <c r="A79" s="2856">
        <v>7</v>
      </c>
      <c r="B79" s="3503"/>
      <c r="C79" s="2830" t="s">
        <v>2652</v>
      </c>
      <c r="D79" s="2830" t="s">
        <v>2653</v>
      </c>
      <c r="E79" s="2856">
        <v>0.15</v>
      </c>
      <c r="F79" s="2856">
        <v>20</v>
      </c>
    </row>
    <row r="80" spans="1:7" ht="24">
      <c r="A80" s="2856">
        <v>8</v>
      </c>
      <c r="B80" s="3503"/>
      <c r="C80" s="2830" t="s">
        <v>2654</v>
      </c>
      <c r="D80" s="2830" t="s">
        <v>2655</v>
      </c>
      <c r="E80" s="2856">
        <v>0.1</v>
      </c>
      <c r="F80" s="2856">
        <v>15</v>
      </c>
    </row>
    <row r="81" spans="1:6" ht="24">
      <c r="A81" s="2856">
        <v>9</v>
      </c>
      <c r="B81" s="3503"/>
      <c r="C81" s="2830" t="s">
        <v>2656</v>
      </c>
      <c r="D81" s="2830" t="s">
        <v>2657</v>
      </c>
      <c r="E81" s="2856">
        <v>0.1</v>
      </c>
      <c r="F81" s="2856">
        <v>15</v>
      </c>
    </row>
    <row r="82" spans="1:6" ht="24">
      <c r="A82" s="2856">
        <v>10</v>
      </c>
      <c r="B82" s="3503"/>
      <c r="C82" s="2830" t="s">
        <v>2658</v>
      </c>
      <c r="D82" s="2830" t="s">
        <v>2659</v>
      </c>
      <c r="E82" s="2856">
        <v>0.1</v>
      </c>
      <c r="F82" s="2856">
        <v>15</v>
      </c>
    </row>
    <row r="83" spans="1:6" ht="24">
      <c r="A83" s="2856">
        <v>11</v>
      </c>
      <c r="B83" s="3503"/>
      <c r="C83" s="2830" t="s">
        <v>2660</v>
      </c>
      <c r="D83" s="2830" t="s">
        <v>2661</v>
      </c>
      <c r="E83" s="2856">
        <v>0.1</v>
      </c>
      <c r="F83" s="2856">
        <v>15</v>
      </c>
    </row>
    <row r="84" spans="1:6" ht="24">
      <c r="A84" s="2856">
        <v>12</v>
      </c>
      <c r="B84" s="3503"/>
      <c r="C84" s="2830" t="s">
        <v>2662</v>
      </c>
      <c r="D84" s="2830" t="s">
        <v>2663</v>
      </c>
      <c r="E84" s="2856">
        <v>0.1</v>
      </c>
      <c r="F84" s="2856">
        <v>15</v>
      </c>
    </row>
    <row r="85" spans="1:6" ht="13.5">
      <c r="A85" s="2856">
        <v>13</v>
      </c>
      <c r="B85" s="3503"/>
      <c r="C85" s="2830" t="s">
        <v>2664</v>
      </c>
      <c r="D85" s="2830" t="s">
        <v>2665</v>
      </c>
      <c r="E85" s="2856">
        <v>0.1</v>
      </c>
      <c r="F85" s="2856">
        <v>15</v>
      </c>
    </row>
    <row r="86" spans="1:6" ht="13.5">
      <c r="A86" s="2856">
        <v>14</v>
      </c>
      <c r="B86" s="3503"/>
      <c r="C86" s="2830" t="s">
        <v>2666</v>
      </c>
      <c r="D86" s="2830" t="s">
        <v>2667</v>
      </c>
      <c r="E86" s="2856">
        <v>0.1</v>
      </c>
      <c r="F86" s="2856">
        <v>15</v>
      </c>
    </row>
    <row r="87" spans="1:6" ht="13.5">
      <c r="A87" s="2856">
        <v>15</v>
      </c>
      <c r="B87" s="3503"/>
      <c r="C87" s="2830" t="s">
        <v>2668</v>
      </c>
      <c r="D87" s="2830" t="s">
        <v>2669</v>
      </c>
      <c r="E87" s="2856">
        <v>0.1</v>
      </c>
      <c r="F87" s="2856">
        <v>15</v>
      </c>
    </row>
    <row r="88" spans="1:6" ht="24">
      <c r="A88" s="2856">
        <v>16</v>
      </c>
      <c r="B88" s="3503"/>
      <c r="C88" s="2830" t="s">
        <v>2670</v>
      </c>
      <c r="D88" s="2830" t="s">
        <v>2671</v>
      </c>
      <c r="E88" s="2856">
        <v>0.1</v>
      </c>
      <c r="F88" s="2856">
        <v>15</v>
      </c>
    </row>
    <row r="89" spans="1:6" ht="24">
      <c r="A89" s="2856">
        <v>17</v>
      </c>
      <c r="B89" s="3502"/>
      <c r="C89" s="2830" t="s">
        <v>2672</v>
      </c>
      <c r="D89" s="2830" t="s">
        <v>2673</v>
      </c>
      <c r="E89" s="2856">
        <v>0.1</v>
      </c>
      <c r="F89" s="2856">
        <v>15</v>
      </c>
    </row>
    <row r="90" spans="1:6" ht="13.5">
      <c r="A90" s="2856">
        <v>18</v>
      </c>
      <c r="B90" s="3501" t="s">
        <v>2674</v>
      </c>
      <c r="C90" s="2830" t="s">
        <v>2675</v>
      </c>
      <c r="D90" s="2830" t="s">
        <v>2676</v>
      </c>
      <c r="E90" s="2856">
        <v>0.2</v>
      </c>
      <c r="F90" s="2856">
        <v>25</v>
      </c>
    </row>
    <row r="91" spans="1:6" ht="24">
      <c r="A91" s="2856">
        <v>19</v>
      </c>
      <c r="B91" s="3503"/>
      <c r="C91" s="2830" t="s">
        <v>2677</v>
      </c>
      <c r="D91" s="2830" t="s">
        <v>2678</v>
      </c>
      <c r="E91" s="2856">
        <v>0.2</v>
      </c>
      <c r="F91" s="2856">
        <v>25</v>
      </c>
    </row>
    <row r="92" spans="1:6" ht="13.5">
      <c r="A92" s="2856">
        <v>20</v>
      </c>
      <c r="B92" s="3503"/>
      <c r="C92" s="2830" t="s">
        <v>2679</v>
      </c>
      <c r="D92" s="2830" t="s">
        <v>2680</v>
      </c>
      <c r="E92" s="2856">
        <v>0.15</v>
      </c>
      <c r="F92" s="2856">
        <v>20</v>
      </c>
    </row>
    <row r="93" spans="1:6" ht="13.5">
      <c r="A93" s="2856">
        <v>21</v>
      </c>
      <c r="B93" s="3503"/>
      <c r="C93" s="2830" t="s">
        <v>2681</v>
      </c>
      <c r="D93" s="2830" t="s">
        <v>2682</v>
      </c>
      <c r="E93" s="2856">
        <v>0.15</v>
      </c>
      <c r="F93" s="2856">
        <v>20</v>
      </c>
    </row>
    <row r="94" spans="1:6" ht="13.5">
      <c r="A94" s="2856">
        <v>22</v>
      </c>
      <c r="B94" s="3503"/>
      <c r="C94" s="2830" t="s">
        <v>2683</v>
      </c>
      <c r="D94" s="2830" t="s">
        <v>2684</v>
      </c>
      <c r="E94" s="2856">
        <v>0.15</v>
      </c>
      <c r="F94" s="2856">
        <v>20</v>
      </c>
    </row>
    <row r="95" spans="1:6" ht="36">
      <c r="A95" s="2856">
        <v>23</v>
      </c>
      <c r="B95" s="3503"/>
      <c r="C95" s="2830" t="s">
        <v>2685</v>
      </c>
      <c r="D95" s="2830" t="s">
        <v>2686</v>
      </c>
      <c r="E95" s="2856">
        <v>0.15</v>
      </c>
      <c r="F95" s="2856">
        <v>20</v>
      </c>
    </row>
    <row r="96" spans="1:6" ht="13.5">
      <c r="A96" s="2856">
        <v>24</v>
      </c>
      <c r="B96" s="3503"/>
      <c r="C96" s="2830" t="s">
        <v>2687</v>
      </c>
      <c r="D96" s="2830" t="s">
        <v>2688</v>
      </c>
      <c r="E96" s="2856">
        <v>0.1</v>
      </c>
      <c r="F96" s="2856">
        <v>15</v>
      </c>
    </row>
    <row r="97" spans="1:6" ht="13.5">
      <c r="A97" s="2856">
        <v>25</v>
      </c>
      <c r="B97" s="3503"/>
      <c r="C97" s="2830" t="s">
        <v>2689</v>
      </c>
      <c r="D97" s="2830" t="s">
        <v>2690</v>
      </c>
      <c r="E97" s="2856">
        <v>0.1</v>
      </c>
      <c r="F97" s="2856">
        <v>15</v>
      </c>
    </row>
    <row r="98" spans="1:6" ht="24">
      <c r="A98" s="2856">
        <v>26</v>
      </c>
      <c r="B98" s="3503"/>
      <c r="C98" s="2830" t="s">
        <v>2691</v>
      </c>
      <c r="D98" s="2830" t="s">
        <v>2692</v>
      </c>
      <c r="E98" s="2856">
        <v>0.1</v>
      </c>
      <c r="F98" s="2856">
        <v>15</v>
      </c>
    </row>
    <row r="99" spans="1:6" ht="24">
      <c r="A99" s="2856">
        <v>27</v>
      </c>
      <c r="B99" s="3503"/>
      <c r="C99" s="2830" t="s">
        <v>2693</v>
      </c>
      <c r="D99" s="2830" t="s">
        <v>2694</v>
      </c>
      <c r="E99" s="2856">
        <v>0.1</v>
      </c>
      <c r="F99" s="2856">
        <v>15</v>
      </c>
    </row>
    <row r="100" spans="1:6" ht="13.5">
      <c r="A100" s="2856">
        <v>28</v>
      </c>
      <c r="B100" s="3503"/>
      <c r="C100" s="2830" t="s">
        <v>2695</v>
      </c>
      <c r="D100" s="2830" t="s">
        <v>2696</v>
      </c>
      <c r="E100" s="2856">
        <v>0.1</v>
      </c>
      <c r="F100" s="2856">
        <v>15</v>
      </c>
    </row>
    <row r="101" spans="1:6" ht="13.5">
      <c r="A101" s="2856">
        <v>29</v>
      </c>
      <c r="B101" s="3503"/>
      <c r="C101" s="2830" t="s">
        <v>2697</v>
      </c>
      <c r="D101" s="2830" t="s">
        <v>2698</v>
      </c>
      <c r="E101" s="2856">
        <v>0.1</v>
      </c>
      <c r="F101" s="2856">
        <v>15</v>
      </c>
    </row>
    <row r="102" spans="1:6" ht="13.5">
      <c r="A102" s="2856">
        <v>30</v>
      </c>
      <c r="B102" s="3503"/>
      <c r="C102" s="2830" t="s">
        <v>2699</v>
      </c>
      <c r="D102" s="2830" t="s">
        <v>2700</v>
      </c>
      <c r="E102" s="2856">
        <v>0.1</v>
      </c>
      <c r="F102" s="2856">
        <v>15</v>
      </c>
    </row>
    <row r="103" spans="1:6" ht="24">
      <c r="A103" s="2856">
        <v>31</v>
      </c>
      <c r="B103" s="3503"/>
      <c r="C103" s="2830" t="s">
        <v>2701</v>
      </c>
      <c r="D103" s="2830" t="s">
        <v>2702</v>
      </c>
      <c r="E103" s="2856">
        <v>0.1</v>
      </c>
      <c r="F103" s="2856">
        <v>15</v>
      </c>
    </row>
    <row r="104" spans="1:6" ht="24">
      <c r="A104" s="2856">
        <v>32</v>
      </c>
      <c r="B104" s="3503"/>
      <c r="C104" s="2830" t="s">
        <v>2703</v>
      </c>
      <c r="D104" s="2830" t="s">
        <v>2704</v>
      </c>
      <c r="E104" s="2856">
        <v>0.1</v>
      </c>
      <c r="F104" s="2856">
        <v>15</v>
      </c>
    </row>
    <row r="105" spans="1:6" ht="24">
      <c r="A105" s="2856">
        <v>33</v>
      </c>
      <c r="B105" s="3503"/>
      <c r="C105" s="2830" t="s">
        <v>2705</v>
      </c>
      <c r="D105" s="2830" t="s">
        <v>2706</v>
      </c>
      <c r="E105" s="2856">
        <v>0.1</v>
      </c>
      <c r="F105" s="2856">
        <v>15</v>
      </c>
    </row>
    <row r="106" spans="1:6" ht="24">
      <c r="A106" s="2856">
        <v>34</v>
      </c>
      <c r="B106" s="3502"/>
      <c r="C106" s="2830" t="s">
        <v>2707</v>
      </c>
      <c r="D106" s="2830" t="s">
        <v>2708</v>
      </c>
      <c r="E106" s="2856">
        <v>0.1</v>
      </c>
      <c r="F106" s="2856">
        <v>15</v>
      </c>
    </row>
    <row r="107" spans="1:6" ht="24">
      <c r="A107" s="2856">
        <v>35</v>
      </c>
      <c r="B107" s="3501" t="s">
        <v>2709</v>
      </c>
      <c r="C107" s="2856" t="s">
        <v>2710</v>
      </c>
      <c r="D107" s="2830" t="s">
        <v>2711</v>
      </c>
      <c r="E107" s="2856">
        <v>0.15</v>
      </c>
      <c r="F107" s="2856">
        <v>20</v>
      </c>
    </row>
    <row r="108" spans="1:6" ht="13.5">
      <c r="A108" s="2856">
        <v>36</v>
      </c>
      <c r="B108" s="3503"/>
      <c r="C108" s="2856" t="s">
        <v>2712</v>
      </c>
      <c r="D108" s="2830" t="s">
        <v>2713</v>
      </c>
      <c r="E108" s="2856">
        <v>0.15</v>
      </c>
      <c r="F108" s="2856">
        <v>20</v>
      </c>
    </row>
    <row r="109" spans="1:6" ht="13.5">
      <c r="A109" s="2856">
        <v>37</v>
      </c>
      <c r="B109" s="3503"/>
      <c r="C109" s="2856" t="s">
        <v>2714</v>
      </c>
      <c r="D109" s="2830" t="s">
        <v>2715</v>
      </c>
      <c r="E109" s="2856">
        <v>0.15</v>
      </c>
      <c r="F109" s="2856">
        <v>20</v>
      </c>
    </row>
    <row r="110" spans="1:6" ht="13.5">
      <c r="A110" s="2856">
        <v>38</v>
      </c>
      <c r="B110" s="3503"/>
      <c r="C110" s="2856" t="s">
        <v>2716</v>
      </c>
      <c r="D110" s="2830" t="s">
        <v>2717</v>
      </c>
      <c r="E110" s="2856">
        <v>0.1</v>
      </c>
      <c r="F110" s="2856">
        <v>15</v>
      </c>
    </row>
    <row r="111" spans="1:6" ht="24">
      <c r="A111" s="2856">
        <v>39</v>
      </c>
      <c r="B111" s="3503"/>
      <c r="C111" s="2856" t="s">
        <v>2718</v>
      </c>
      <c r="D111" s="2830" t="s">
        <v>2719</v>
      </c>
      <c r="E111" s="2856">
        <v>0.1</v>
      </c>
      <c r="F111" s="2856">
        <v>15</v>
      </c>
    </row>
    <row r="112" spans="1:6" ht="24">
      <c r="A112" s="2856">
        <v>40</v>
      </c>
      <c r="B112" s="3502"/>
      <c r="C112" s="2856" t="s">
        <v>2720</v>
      </c>
      <c r="D112" s="2830" t="s">
        <v>2721</v>
      </c>
      <c r="E112" s="2856">
        <v>0.1</v>
      </c>
      <c r="F112" s="2856">
        <v>15</v>
      </c>
    </row>
    <row r="113" spans="1:6" ht="13.5">
      <c r="A113" s="2856">
        <v>41</v>
      </c>
      <c r="B113" s="3500" t="s">
        <v>2722</v>
      </c>
      <c r="C113" s="2856" t="s">
        <v>2723</v>
      </c>
      <c r="D113" s="2830" t="s">
        <v>2724</v>
      </c>
      <c r="E113" s="2856">
        <v>0.1</v>
      </c>
      <c r="F113" s="2856">
        <v>15</v>
      </c>
    </row>
    <row r="114" spans="1:6" ht="13.5">
      <c r="A114" s="2856">
        <v>42</v>
      </c>
      <c r="B114" s="3500"/>
      <c r="C114" s="2856" t="s">
        <v>2725</v>
      </c>
      <c r="D114" s="2830" t="s">
        <v>2726</v>
      </c>
      <c r="E114" s="2856">
        <v>0.1</v>
      </c>
      <c r="F114" s="2856">
        <v>15</v>
      </c>
    </row>
    <row r="115" spans="1:6" ht="24">
      <c r="A115" s="2856">
        <v>43</v>
      </c>
      <c r="B115" s="3500"/>
      <c r="C115" s="2856" t="s">
        <v>2727</v>
      </c>
      <c r="D115" s="2830" t="s">
        <v>2728</v>
      </c>
      <c r="E115" s="2856">
        <v>0.1</v>
      </c>
      <c r="F115" s="2856">
        <v>15</v>
      </c>
    </row>
    <row r="116" spans="1:6" ht="13.5">
      <c r="A116" s="2856">
        <v>44</v>
      </c>
      <c r="B116" s="3501" t="s">
        <v>2729</v>
      </c>
      <c r="C116" s="2856" t="s">
        <v>2730</v>
      </c>
      <c r="D116" s="2830" t="s">
        <v>2731</v>
      </c>
      <c r="E116" s="2856">
        <v>0.1</v>
      </c>
      <c r="F116" s="2856">
        <v>15</v>
      </c>
    </row>
    <row r="117" spans="1:6" ht="24">
      <c r="A117" s="2856">
        <v>45</v>
      </c>
      <c r="B117" s="3502"/>
      <c r="C117" s="2830" t="s">
        <v>2732</v>
      </c>
      <c r="D117" s="2830" t="s">
        <v>2733</v>
      </c>
      <c r="E117" s="2856">
        <v>0.1</v>
      </c>
      <c r="F117" s="2856">
        <v>15</v>
      </c>
    </row>
    <row r="118" spans="1:6" ht="24">
      <c r="A118" s="2856">
        <v>46</v>
      </c>
      <c r="B118" s="3501" t="s">
        <v>2734</v>
      </c>
      <c r="C118" s="2856" t="s">
        <v>2735</v>
      </c>
      <c r="D118" s="2830" t="s">
        <v>2736</v>
      </c>
      <c r="E118" s="2856">
        <v>0.1</v>
      </c>
      <c r="F118" s="2856">
        <v>15</v>
      </c>
    </row>
    <row r="119" spans="1:6" ht="24">
      <c r="A119" s="2856">
        <v>47</v>
      </c>
      <c r="B119" s="3502"/>
      <c r="C119" s="2856" t="s">
        <v>2737</v>
      </c>
      <c r="D119" s="2830" t="s">
        <v>2738</v>
      </c>
      <c r="E119" s="2856">
        <v>0.1</v>
      </c>
      <c r="F119" s="2856">
        <v>15</v>
      </c>
    </row>
    <row r="120" spans="1:6" ht="13.5">
      <c r="A120" s="2856">
        <v>48</v>
      </c>
      <c r="B120" s="3501" t="s">
        <v>2739</v>
      </c>
      <c r="C120" s="2856" t="s">
        <v>2740</v>
      </c>
      <c r="D120" s="2830" t="s">
        <v>2741</v>
      </c>
      <c r="E120" s="2856">
        <v>0.1</v>
      </c>
      <c r="F120" s="2856">
        <v>15</v>
      </c>
    </row>
    <row r="121" spans="1:6" ht="13.5">
      <c r="A121" s="2856">
        <v>49</v>
      </c>
      <c r="B121" s="3502"/>
      <c r="C121" s="2856" t="s">
        <v>2742</v>
      </c>
      <c r="D121" s="2830" t="s">
        <v>2743</v>
      </c>
      <c r="E121" s="2856">
        <v>0.1</v>
      </c>
      <c r="F121" s="2856">
        <v>15</v>
      </c>
    </row>
    <row r="122" spans="1:6" ht="24">
      <c r="A122" s="2856">
        <v>50</v>
      </c>
      <c r="B122" s="3500" t="s">
        <v>2744</v>
      </c>
      <c r="C122" s="2856" t="s">
        <v>2745</v>
      </c>
      <c r="D122" s="2830" t="s">
        <v>2746</v>
      </c>
      <c r="E122" s="2856">
        <v>0.1</v>
      </c>
      <c r="F122" s="2856">
        <v>15</v>
      </c>
    </row>
    <row r="123" spans="1:6" ht="24">
      <c r="A123" s="2856">
        <v>51</v>
      </c>
      <c r="B123" s="3500"/>
      <c r="C123" s="2856" t="s">
        <v>2747</v>
      </c>
      <c r="D123" s="2830" t="s">
        <v>2748</v>
      </c>
      <c r="E123" s="2856">
        <v>0.1</v>
      </c>
      <c r="F123" s="2856">
        <v>15</v>
      </c>
    </row>
    <row r="124" spans="1:6" ht="24">
      <c r="A124" s="2856">
        <v>52</v>
      </c>
      <c r="B124" s="3500" t="s">
        <v>2749</v>
      </c>
      <c r="C124" s="2856" t="s">
        <v>2750</v>
      </c>
      <c r="D124" s="2830" t="s">
        <v>2751</v>
      </c>
      <c r="E124" s="2856">
        <v>0.1</v>
      </c>
      <c r="F124" s="2856">
        <v>15</v>
      </c>
    </row>
    <row r="125" spans="1:6" ht="24">
      <c r="A125" s="2856">
        <v>53</v>
      </c>
      <c r="B125" s="3500"/>
      <c r="C125" s="2856" t="s">
        <v>2752</v>
      </c>
      <c r="D125" s="2830" t="s">
        <v>2753</v>
      </c>
      <c r="E125" s="2856">
        <v>0.1</v>
      </c>
      <c r="F125" s="2856">
        <v>15</v>
      </c>
    </row>
    <row r="126" spans="1:6" ht="13.5">
      <c r="A126" s="2856">
        <v>54</v>
      </c>
      <c r="B126" s="2856" t="s">
        <v>2754</v>
      </c>
      <c r="C126" s="2856" t="s">
        <v>2755</v>
      </c>
      <c r="D126" s="2830" t="s">
        <v>2756</v>
      </c>
      <c r="E126" s="2856">
        <v>0.1</v>
      </c>
      <c r="F126" s="2856">
        <v>15</v>
      </c>
    </row>
    <row r="127" spans="1:6" ht="13.5">
      <c r="A127" s="2856">
        <v>55</v>
      </c>
      <c r="B127" s="3500" t="s">
        <v>2757</v>
      </c>
      <c r="C127" s="2856" t="s">
        <v>2758</v>
      </c>
      <c r="D127" s="2830" t="s">
        <v>2759</v>
      </c>
      <c r="E127" s="2856">
        <v>0.1</v>
      </c>
      <c r="F127" s="2856">
        <v>15</v>
      </c>
    </row>
    <row r="128" spans="1:6" ht="13.5">
      <c r="A128" s="2856">
        <v>56</v>
      </c>
      <c r="B128" s="3500"/>
      <c r="C128" s="2856" t="s">
        <v>2760</v>
      </c>
      <c r="D128" s="2830" t="s">
        <v>2761</v>
      </c>
      <c r="E128" s="2856">
        <v>0.1</v>
      </c>
      <c r="F128" s="2856">
        <v>15</v>
      </c>
    </row>
    <row r="129" spans="1:6" ht="24">
      <c r="A129" s="2856">
        <v>57</v>
      </c>
      <c r="B129" s="3500"/>
      <c r="C129" s="2856" t="s">
        <v>2762</v>
      </c>
      <c r="D129" s="2830" t="s">
        <v>2763</v>
      </c>
      <c r="E129" s="2856">
        <v>0.1</v>
      </c>
      <c r="F129" s="2856">
        <v>15</v>
      </c>
    </row>
    <row r="130" spans="1:6" ht="24">
      <c r="A130" s="2856">
        <v>58</v>
      </c>
      <c r="B130" s="3500" t="s">
        <v>2764</v>
      </c>
      <c r="C130" s="2856" t="s">
        <v>2765</v>
      </c>
      <c r="D130" s="2830" t="s">
        <v>2766</v>
      </c>
      <c r="E130" s="2856">
        <v>0.1</v>
      </c>
      <c r="F130" s="2856">
        <v>15</v>
      </c>
    </row>
    <row r="131" spans="1:6" ht="13.5">
      <c r="A131" s="2856">
        <v>59</v>
      </c>
      <c r="B131" s="3500"/>
      <c r="C131" s="2856" t="s">
        <v>2767</v>
      </c>
      <c r="D131" s="2830" t="s">
        <v>2768</v>
      </c>
      <c r="E131" s="2856">
        <v>0.1</v>
      </c>
      <c r="F131" s="2856">
        <v>15</v>
      </c>
    </row>
    <row r="132" spans="1:6" ht="13.5">
      <c r="A132" s="2856">
        <v>60</v>
      </c>
      <c r="B132" s="3501" t="s">
        <v>2769</v>
      </c>
      <c r="C132" s="2856" t="s">
        <v>2770</v>
      </c>
      <c r="D132" s="2830" t="s">
        <v>2771</v>
      </c>
      <c r="E132" s="2856">
        <v>0.1</v>
      </c>
      <c r="F132" s="2856">
        <v>15</v>
      </c>
    </row>
    <row r="133" spans="1:6" ht="13.5">
      <c r="A133" s="2856">
        <v>61</v>
      </c>
      <c r="B133" s="3502"/>
      <c r="C133" s="2856" t="s">
        <v>2772</v>
      </c>
      <c r="D133" s="2830" t="s">
        <v>2773</v>
      </c>
      <c r="E133" s="2856">
        <v>0.1</v>
      </c>
      <c r="F133" s="2856">
        <v>15</v>
      </c>
    </row>
    <row r="134" spans="1:6" ht="24">
      <c r="A134" s="2856">
        <v>62</v>
      </c>
      <c r="B134" s="2856" t="s">
        <v>2774</v>
      </c>
      <c r="C134" s="2856" t="s">
        <v>2775</v>
      </c>
      <c r="D134" s="2830" t="s">
        <v>2776</v>
      </c>
      <c r="E134" s="2856">
        <v>0.1</v>
      </c>
      <c r="F134" s="2856">
        <v>15</v>
      </c>
    </row>
    <row r="135" spans="1:6" ht="13.5">
      <c r="A135" s="2856">
        <v>63</v>
      </c>
      <c r="B135" s="3500" t="s">
        <v>2777</v>
      </c>
      <c r="C135" s="2856" t="s">
        <v>2778</v>
      </c>
      <c r="D135" s="2830" t="s">
        <v>2779</v>
      </c>
      <c r="E135" s="2856">
        <v>0.1</v>
      </c>
      <c r="F135" s="2856">
        <v>15</v>
      </c>
    </row>
    <row r="136" spans="1:6" ht="13.5">
      <c r="A136" s="2856">
        <v>64</v>
      </c>
      <c r="B136" s="3500"/>
      <c r="C136" s="2856" t="s">
        <v>2780</v>
      </c>
      <c r="D136" s="2830" t="s">
        <v>2781</v>
      </c>
      <c r="E136" s="2856">
        <v>0.1</v>
      </c>
      <c r="F136" s="2856">
        <v>15</v>
      </c>
    </row>
    <row r="137" spans="1:6" ht="13.5">
      <c r="A137" s="2856">
        <v>65</v>
      </c>
      <c r="B137" s="2856" t="s">
        <v>2782</v>
      </c>
      <c r="C137" s="2856" t="s">
        <v>2783</v>
      </c>
      <c r="D137" s="2830" t="s">
        <v>2784</v>
      </c>
      <c r="E137" s="2856">
        <v>0.1</v>
      </c>
      <c r="F137" s="2856">
        <v>15</v>
      </c>
    </row>
    <row r="138" spans="1:6" ht="13.5">
      <c r="A138" s="2856"/>
      <c r="B138" s="2856"/>
      <c r="C138" s="2856"/>
      <c r="D138" s="2856"/>
      <c r="E138" s="2856" t="s">
        <v>2785</v>
      </c>
      <c r="F138" s="2856"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2786</v>
      </c>
      <c r="B1" s="2864"/>
      <c r="C1" s="2864"/>
      <c r="D1" s="2864"/>
      <c r="E1" s="2864"/>
      <c r="F1" s="2864"/>
      <c r="G1" s="2864"/>
      <c r="H1" s="2864"/>
      <c r="I1" s="2864"/>
      <c r="J1" s="2864"/>
      <c r="K1" s="2864"/>
      <c r="L1" s="2864"/>
      <c r="M1" s="2864"/>
      <c r="N1" s="707"/>
    </row>
    <row r="2" spans="1:20">
      <c r="A2" s="2865" t="s">
        <v>2787</v>
      </c>
      <c r="B2" s="2866" t="s">
        <v>2583</v>
      </c>
      <c r="C2" s="2866" t="s">
        <v>2584</v>
      </c>
      <c r="D2" s="2866" t="s">
        <v>2585</v>
      </c>
      <c r="E2" s="2866" t="s">
        <v>2586</v>
      </c>
      <c r="F2" s="2866" t="s">
        <v>2587</v>
      </c>
      <c r="G2" s="2866" t="s">
        <v>2588</v>
      </c>
      <c r="H2" s="2867" t="s">
        <v>2589</v>
      </c>
      <c r="I2" s="2867" t="s">
        <v>2590</v>
      </c>
      <c r="J2" s="2868" t="s">
        <v>2591</v>
      </c>
      <c r="K2" s="2868" t="s">
        <v>2592</v>
      </c>
      <c r="L2" s="2868" t="s">
        <v>2593</v>
      </c>
      <c r="M2" s="2869" t="s">
        <v>2594</v>
      </c>
      <c r="Q2" s="2879" t="s">
        <v>2792</v>
      </c>
      <c r="R2" s="2879" t="s">
        <v>2793</v>
      </c>
      <c r="S2" s="2879" t="s">
        <v>2794</v>
      </c>
      <c r="T2" s="2879" t="s">
        <v>2795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2788</v>
      </c>
      <c r="B93" s="2864"/>
      <c r="C93" s="2864"/>
      <c r="D93" s="2864"/>
      <c r="E93" s="2864"/>
      <c r="F93" s="2864"/>
      <c r="G93" s="2864"/>
      <c r="H93" s="2864"/>
      <c r="I93" s="2864"/>
      <c r="J93" s="2864"/>
      <c r="K93" s="2864"/>
      <c r="L93" s="2864"/>
      <c r="M93" s="2864"/>
    </row>
    <row r="94" spans="1:20">
      <c r="A94" s="2865" t="s">
        <v>2787</v>
      </c>
      <c r="B94" s="2866" t="s">
        <v>2583</v>
      </c>
      <c r="C94" s="2866" t="s">
        <v>2584</v>
      </c>
      <c r="D94" s="2866" t="s">
        <v>2585</v>
      </c>
      <c r="E94" s="2866" t="s">
        <v>2586</v>
      </c>
      <c r="F94" s="2866" t="s">
        <v>2587</v>
      </c>
      <c r="G94" s="2866" t="s">
        <v>2588</v>
      </c>
      <c r="H94" s="2867" t="s">
        <v>2589</v>
      </c>
      <c r="I94" s="2867" t="s">
        <v>2590</v>
      </c>
      <c r="J94" s="2868" t="s">
        <v>2591</v>
      </c>
      <c r="K94" s="2868" t="s">
        <v>2592</v>
      </c>
      <c r="L94" s="2868" t="s">
        <v>2593</v>
      </c>
      <c r="M94" s="2869" t="s">
        <v>2594</v>
      </c>
      <c r="N94">
        <f>SUMPRODUCT((A95:A184=ROUNDDOWN(基准地价修正!G3,1))*(B94:M94=基准地价修正!G2)*(B95:M184))</f>
        <v>1.0985</v>
      </c>
      <c r="Q94" s="2879" t="s">
        <v>2792</v>
      </c>
      <c r="R94" s="2879" t="s">
        <v>2793</v>
      </c>
      <c r="S94" s="2879" t="s">
        <v>2794</v>
      </c>
      <c r="T94" s="2879" t="s">
        <v>2795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2789</v>
      </c>
      <c r="B185" s="2864"/>
      <c r="C185" s="2864"/>
      <c r="D185" s="2864"/>
      <c r="E185" s="2864"/>
      <c r="F185" s="2864"/>
      <c r="G185" s="2864"/>
      <c r="H185" s="2864"/>
      <c r="I185" s="2864"/>
      <c r="J185" s="2864"/>
      <c r="K185" s="2864"/>
      <c r="L185" s="2864"/>
      <c r="M185" s="2864"/>
    </row>
    <row r="186" spans="1:20">
      <c r="A186" s="2865" t="s">
        <v>2787</v>
      </c>
      <c r="B186" s="2866" t="s">
        <v>2583</v>
      </c>
      <c r="C186" s="2866" t="s">
        <v>2584</v>
      </c>
      <c r="D186" s="2866" t="s">
        <v>2585</v>
      </c>
      <c r="E186" s="2866" t="s">
        <v>2586</v>
      </c>
      <c r="F186" s="2866" t="s">
        <v>2587</v>
      </c>
      <c r="G186" s="2866" t="s">
        <v>2588</v>
      </c>
      <c r="H186" s="2867" t="s">
        <v>2589</v>
      </c>
      <c r="I186" s="2867" t="s">
        <v>2590</v>
      </c>
      <c r="J186" s="2868" t="s">
        <v>2591</v>
      </c>
      <c r="K186" s="2868" t="s">
        <v>2592</v>
      </c>
      <c r="L186" s="2868" t="s">
        <v>2593</v>
      </c>
      <c r="M186" s="2869" t="s">
        <v>2594</v>
      </c>
      <c r="Q186" s="2879" t="s">
        <v>2792</v>
      </c>
      <c r="R186" s="2879" t="s">
        <v>2793</v>
      </c>
      <c r="S186" s="2879" t="s">
        <v>2794</v>
      </c>
      <c r="T186" s="2879" t="s">
        <v>2795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2790</v>
      </c>
      <c r="B277" s="2864"/>
      <c r="C277" s="2864"/>
      <c r="D277" s="2864"/>
      <c r="E277" s="2864"/>
      <c r="F277" s="2864"/>
      <c r="G277" s="2864"/>
      <c r="H277" s="2864"/>
      <c r="I277" s="2864"/>
      <c r="J277" s="2864"/>
      <c r="K277" s="2864"/>
      <c r="L277" s="2864"/>
      <c r="M277" s="2864"/>
    </row>
    <row r="278" spans="1:21">
      <c r="A278" s="2865" t="s">
        <v>2787</v>
      </c>
      <c r="B278" s="2866" t="s">
        <v>2583</v>
      </c>
      <c r="C278" s="2866" t="s">
        <v>2584</v>
      </c>
      <c r="D278" s="2866" t="s">
        <v>2585</v>
      </c>
      <c r="E278" s="2866" t="s">
        <v>2586</v>
      </c>
      <c r="F278" s="2866" t="s">
        <v>2587</v>
      </c>
      <c r="G278" s="2866" t="s">
        <v>2588</v>
      </c>
      <c r="H278" s="2867" t="s">
        <v>2589</v>
      </c>
      <c r="I278" s="2867" t="s">
        <v>2590</v>
      </c>
      <c r="J278" s="2868" t="s">
        <v>2591</v>
      </c>
      <c r="K278" s="2868" t="s">
        <v>2592</v>
      </c>
      <c r="L278" s="2868" t="s">
        <v>2593</v>
      </c>
      <c r="M278" s="2869" t="s">
        <v>2594</v>
      </c>
      <c r="Q278" s="2879" t="s">
        <v>2792</v>
      </c>
      <c r="R278" s="2879" t="s">
        <v>2793</v>
      </c>
      <c r="S278" s="2879" t="s">
        <v>2796</v>
      </c>
      <c r="T278" s="2879" t="s">
        <v>2797</v>
      </c>
      <c r="U278" s="2879" t="s">
        <v>2795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2791</v>
      </c>
      <c r="B369" s="2877"/>
      <c r="C369" s="2877"/>
      <c r="D369" s="2877"/>
      <c r="E369" s="2877"/>
      <c r="F369" s="2877"/>
      <c r="G369" s="2877"/>
      <c r="H369" s="2877"/>
      <c r="I369" s="2877"/>
      <c r="J369" s="2877"/>
      <c r="K369" s="2877"/>
      <c r="L369" s="2877"/>
      <c r="M369" s="2877"/>
    </row>
    <row r="370" spans="1:20">
      <c r="A370" s="2865" t="s">
        <v>2787</v>
      </c>
      <c r="B370" s="2866" t="s">
        <v>2583</v>
      </c>
      <c r="C370" s="2866" t="s">
        <v>2584</v>
      </c>
      <c r="D370" s="2866" t="s">
        <v>2585</v>
      </c>
      <c r="E370" s="2866" t="s">
        <v>2586</v>
      </c>
      <c r="F370" s="2866" t="s">
        <v>2587</v>
      </c>
      <c r="G370" s="2866" t="s">
        <v>2588</v>
      </c>
      <c r="H370" s="2867" t="s">
        <v>2589</v>
      </c>
      <c r="I370" s="2867" t="s">
        <v>2590</v>
      </c>
      <c r="J370" s="2868" t="s">
        <v>2591</v>
      </c>
      <c r="K370" s="2868" t="s">
        <v>2592</v>
      </c>
      <c r="L370" s="2868" t="s">
        <v>2593</v>
      </c>
      <c r="M370" s="2869" t="s">
        <v>2594</v>
      </c>
      <c r="N370">
        <f>SUMPRODUCT((A371:A460=ROUNDDOWN(基准地价修正!G3,1))*(B370:M370=基准地价修正!G2)*(B371:M460))</f>
        <v>1</v>
      </c>
      <c r="Q370" s="2879" t="s">
        <v>2792</v>
      </c>
      <c r="R370" s="2879" t="s">
        <v>2793</v>
      </c>
      <c r="S370" s="2879" t="s">
        <v>2794</v>
      </c>
      <c r="T370" s="2879" t="s">
        <v>2795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902</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911</v>
      </c>
      <c r="C4" s="3198"/>
      <c r="D4" s="3198"/>
      <c r="E4" s="1391"/>
    </row>
    <row r="5" spans="1:5" ht="16.5" thickTop="1">
      <c r="B5" s="3196" t="s">
        <v>903</v>
      </c>
      <c r="C5" s="1392" t="s">
        <v>904</v>
      </c>
      <c r="D5" s="797">
        <f ca="1">结果表!H101</f>
        <v>5593</v>
      </c>
    </row>
    <row r="6" spans="1:5" ht="15.75">
      <c r="B6" s="3196"/>
      <c r="C6" s="1392" t="s">
        <v>905</v>
      </c>
      <c r="D6" s="797" t="str">
        <f ca="1">NUMBERSTRING(INT(D5*10000),2)&amp;"元整"</f>
        <v>伍仟伍佰玖拾叁万元整</v>
      </c>
    </row>
    <row r="7" spans="1:5" ht="15.75">
      <c r="B7" s="3201"/>
      <c r="C7" s="1393" t="s">
        <v>906</v>
      </c>
      <c r="D7" s="798">
        <f ca="1">结果表!H102</f>
        <v>5354</v>
      </c>
    </row>
    <row r="8" spans="1:5" ht="15.75">
      <c r="B8" s="3202" t="str">
        <f>结果表!E103</f>
        <v>2.估价师知悉的法定优先受偿款</v>
      </c>
      <c r="C8" s="1394" t="s">
        <v>907</v>
      </c>
      <c r="D8" s="798">
        <f>结果表!H103</f>
        <v>0</v>
      </c>
    </row>
    <row r="9" spans="1:5" ht="15.75">
      <c r="B9" s="3204"/>
      <c r="C9" s="1392" t="s">
        <v>905</v>
      </c>
      <c r="D9" s="797" t="str">
        <f>NUMBERSTRING(INT(D8*10000),2)&amp;"元整"</f>
        <v>零元整</v>
      </c>
    </row>
    <row r="10" spans="1:5" ht="15">
      <c r="B10" s="1395" t="s">
        <v>910</v>
      </c>
      <c r="C10" s="1396" t="s">
        <v>908</v>
      </c>
      <c r="D10" s="799">
        <f>结果表!H104</f>
        <v>0</v>
      </c>
    </row>
    <row r="11" spans="1:5" ht="15">
      <c r="B11" s="1395" t="s">
        <v>912</v>
      </c>
      <c r="C11" s="1396" t="s">
        <v>913</v>
      </c>
      <c r="D11" s="799">
        <f>结果表!H105</f>
        <v>0</v>
      </c>
    </row>
    <row r="12" spans="1:5" ht="15">
      <c r="B12" s="1395" t="s">
        <v>914</v>
      </c>
      <c r="C12" s="1396" t="s">
        <v>913</v>
      </c>
      <c r="D12" s="799">
        <f>结果表!H106</f>
        <v>0</v>
      </c>
    </row>
    <row r="13" spans="1:5" ht="15.75">
      <c r="B13" s="3195" t="str">
        <f>结果表!E107</f>
        <v>3.房地产抵押价值</v>
      </c>
      <c r="C13" s="1397" t="s">
        <v>904</v>
      </c>
      <c r="D13" s="800">
        <f ca="1">结果表!H107</f>
        <v>5593</v>
      </c>
    </row>
    <row r="14" spans="1:5" ht="15.75">
      <c r="B14" s="3196"/>
      <c r="C14" s="1392" t="s">
        <v>905</v>
      </c>
      <c r="D14" s="797" t="str">
        <f ca="1">NUMBERSTRING(INT(D13*10000),2)&amp;"元整"</f>
        <v>伍仟伍佰玖拾叁万元整</v>
      </c>
    </row>
    <row r="15" spans="1:5" ht="15">
      <c r="B15" s="3201"/>
      <c r="C15" s="1393" t="s">
        <v>915</v>
      </c>
      <c r="D15" s="806">
        <f ca="1">结果表!H108</f>
        <v>5354</v>
      </c>
    </row>
    <row r="16" spans="1:5" ht="15">
      <c r="B16" s="3202" t="str">
        <f>结果表!E109</f>
        <v>——</v>
      </c>
      <c r="C16" s="1397" t="s">
        <v>916</v>
      </c>
      <c r="D16" s="1398" t="str">
        <f>结果表!H109</f>
        <v>——</v>
      </c>
    </row>
    <row r="17" spans="1:5" ht="15.75">
      <c r="B17" s="3203"/>
      <c r="C17" s="1392" t="s">
        <v>917</v>
      </c>
      <c r="D17" s="797" t="e">
        <f>NUMBERSTRING(INT(D16*10000),2)&amp;"元整"</f>
        <v>#VALUE!</v>
      </c>
    </row>
    <row r="18" spans="1:5" ht="15">
      <c r="B18" s="3204"/>
      <c r="C18" s="1393" t="s">
        <v>906</v>
      </c>
      <c r="D18" s="806" t="str">
        <f>结果表!H110</f>
        <v>——</v>
      </c>
    </row>
    <row r="19" spans="1:5" ht="15.75">
      <c r="B19" s="3195" t="str">
        <f>结果表!E111</f>
        <v>——</v>
      </c>
      <c r="C19" s="1397" t="s">
        <v>904</v>
      </c>
      <c r="D19" s="798" t="str">
        <f>结果表!H111</f>
        <v>——</v>
      </c>
    </row>
    <row r="20" spans="1:5" ht="15.75">
      <c r="B20" s="3196"/>
      <c r="C20" s="1392" t="s">
        <v>917</v>
      </c>
      <c r="D20" s="797" t="e">
        <f>NUMBERSTRING(INT(D19*10000),2)&amp;"元整"</f>
        <v>#VALUE!</v>
      </c>
    </row>
    <row r="21" spans="1:5" ht="15.75" thickBot="1">
      <c r="B21" s="3197"/>
      <c r="C21" s="1399" t="s">
        <v>915</v>
      </c>
      <c r="D21" s="807" t="str">
        <f>结果表!H112</f>
        <v>——</v>
      </c>
    </row>
    <row r="22" spans="1:5" ht="15" thickTop="1">
      <c r="B22" s="1400" t="s">
        <v>918</v>
      </c>
    </row>
    <row r="24" spans="1:5" ht="18.75">
      <c r="A24" s="1401"/>
      <c r="B24" s="1402" t="s">
        <v>909</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30622</v>
      </c>
      <c r="C2" s="2" t="s">
        <v>106</v>
      </c>
      <c r="D2" s="191"/>
      <c r="E2" s="191"/>
      <c r="F2" s="191"/>
      <c r="G2" s="191"/>
    </row>
    <row r="3" spans="1:7" s="192" customFormat="1" ht="18" customHeight="1" thickBot="1">
      <c r="A3" s="195" t="s">
        <v>58</v>
      </c>
      <c r="B3" s="196">
        <f ca="1">ROUND(B2*10000/'数据-汇总表'!E3,0)</f>
        <v>29313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209</v>
      </c>
      <c r="D10" s="795">
        <f>'数据-汇总表'!E6</f>
        <v>10446.719999999999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157</v>
      </c>
      <c r="D19" s="204">
        <f>'数据-汇总表'!E3</f>
        <v>10446.719999999999</v>
      </c>
      <c r="E19" s="203">
        <f>'数据-取费表'!B31</f>
        <v>150</v>
      </c>
      <c r="F19" s="223"/>
      <c r="G19" s="1" t="s">
        <v>436</v>
      </c>
    </row>
    <row r="20" spans="1:7" s="206" customFormat="1" ht="13.5" customHeight="1">
      <c r="A20" s="731" t="s">
        <v>419</v>
      </c>
      <c r="B20" s="202" t="s">
        <v>77</v>
      </c>
      <c r="C20" s="224">
        <f>ROUND((C5+C19)*F20,0)</f>
        <v>623</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2139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2139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4179</v>
      </c>
      <c r="D34" s="209"/>
      <c r="E34" s="212"/>
      <c r="F34" s="249">
        <f>IF('数据-取费表'!B24=0,1,'数据-取费表'!N16)</f>
        <v>1</v>
      </c>
      <c r="G34" s="211" t="s">
        <v>89</v>
      </c>
    </row>
    <row r="35" spans="1:7" ht="13.5" customHeight="1">
      <c r="A35" s="734" t="s">
        <v>351</v>
      </c>
      <c r="B35" s="207" t="s">
        <v>33</v>
      </c>
      <c r="C35" s="212">
        <f>ROUND(C34*F35,0)</f>
        <v>209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10446.719999999999</v>
      </c>
      <c r="E37" s="241">
        <f>'数据-取费表'!B35</f>
        <v>0</v>
      </c>
      <c r="F37" s="251"/>
      <c r="G37" s="253" t="s">
        <v>92</v>
      </c>
    </row>
    <row r="38" spans="1:7" ht="13.5" customHeight="1">
      <c r="A38" s="734" t="s">
        <v>354</v>
      </c>
      <c r="B38" s="207" t="s">
        <v>36</v>
      </c>
      <c r="C38" s="212">
        <f>ROUND(C34*F38,0)</f>
        <v>125</v>
      </c>
      <c r="D38" s="212"/>
      <c r="E38" s="212"/>
      <c r="F38" s="251">
        <f>'数据-取费表'!B36</f>
        <v>0.03</v>
      </c>
      <c r="G38" s="211" t="s">
        <v>90</v>
      </c>
    </row>
    <row r="39" spans="1:7" s="206" customFormat="1" ht="13.5" customHeight="1">
      <c r="A39" s="731" t="s">
        <v>338</v>
      </c>
      <c r="B39" s="202" t="s">
        <v>77</v>
      </c>
      <c r="C39" s="224">
        <f>ROUND(C33*F20,0)</f>
        <v>135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140</v>
      </c>
      <c r="D42" s="230"/>
      <c r="E42" s="230"/>
      <c r="F42" s="231"/>
      <c r="G42" s="3376" t="s">
        <v>94</v>
      </c>
    </row>
    <row r="43" spans="1:7" ht="13.5" customHeight="1">
      <c r="A43" s="734" t="s">
        <v>347</v>
      </c>
      <c r="B43" s="207" t="s">
        <v>426</v>
      </c>
      <c r="C43" s="230">
        <f ca="1">ROUND(IF('数据-取费表'!B22&lt;=1,C39*F22*'数据-取费表'!B21/2,C39*(POWER((1+F22),'数据-取费表'!B21/2)-1)),0)</f>
        <v>4</v>
      </c>
      <c r="D43" s="230"/>
      <c r="E43" s="230"/>
      <c r="F43" s="231"/>
      <c r="G43" s="3377"/>
    </row>
    <row r="44" spans="1:7" ht="13.5" customHeight="1">
      <c r="A44" s="734" t="s">
        <v>348</v>
      </c>
      <c r="B44" s="207" t="s">
        <v>428</v>
      </c>
      <c r="C44" s="230">
        <f ca="1">ROUND(IF('数据-取费表'!B22&lt;=1,C40*F22*'数据-取费表'!B21/2,C40*(POWER((1+F22),'数据-取费表'!B21/2)-1)),4)</f>
        <v>5.9999999999999995E-4</v>
      </c>
      <c r="D44" s="230"/>
      <c r="E44" s="230"/>
      <c r="F44" s="231"/>
      <c r="G44" s="3378"/>
    </row>
    <row r="45" spans="1:7" s="206" customFormat="1" ht="13.5" customHeight="1">
      <c r="A45" s="731" t="s">
        <v>341</v>
      </c>
      <c r="B45" s="236" t="s">
        <v>85</v>
      </c>
      <c r="C45" s="237">
        <f>C46</f>
        <v>465</v>
      </c>
      <c r="D45" s="227">
        <f>C47</f>
        <v>2E-3</v>
      </c>
      <c r="E45" s="228" t="s">
        <v>102</v>
      </c>
      <c r="F45" s="238"/>
      <c r="G45" s="239" t="s">
        <v>434</v>
      </c>
    </row>
    <row r="46" spans="1:7" s="206" customFormat="1" ht="13.5" customHeight="1">
      <c r="A46" s="734" t="s">
        <v>349</v>
      </c>
      <c r="B46" s="240" t="s">
        <v>427</v>
      </c>
      <c r="C46" s="241">
        <f>ROUND((C33+C39)*F27,0)</f>
        <v>465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5683</v>
      </c>
      <c r="D49" s="224"/>
      <c r="E49" s="224"/>
      <c r="F49" s="256"/>
      <c r="G49" s="226" t="s">
        <v>435</v>
      </c>
    </row>
    <row r="50" spans="1:7" s="250" customFormat="1" ht="24">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3751</v>
      </c>
      <c r="D51" s="224"/>
      <c r="E51" s="224"/>
      <c r="F51" s="256"/>
      <c r="G51" s="226" t="s">
        <v>37</v>
      </c>
    </row>
    <row r="52" spans="1:7" s="200" customFormat="1" ht="16.5" thickBot="1">
      <c r="A52" s="257" t="s">
        <v>38</v>
      </c>
      <c r="B52" s="258"/>
      <c r="C52" s="259">
        <f ca="1">C31+C51</f>
        <v>30622</v>
      </c>
      <c r="D52" s="258"/>
      <c r="E52" s="258"/>
      <c r="F52" s="258"/>
      <c r="G52" s="260"/>
    </row>
    <row r="55" spans="1:7" ht="15">
      <c r="B55" s="262" t="s">
        <v>39</v>
      </c>
      <c r="C55" s="263"/>
    </row>
    <row r="56" spans="1:7">
      <c r="B56" s="265" t="s">
        <v>40</v>
      </c>
      <c r="C56" s="266">
        <f ca="1">ROUND(C51/C52,3)</f>
        <v>0.122</v>
      </c>
    </row>
    <row r="57" spans="1:7">
      <c r="B57" s="265" t="s">
        <v>41</v>
      </c>
      <c r="C57" s="267">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4" t="s">
        <v>2827</v>
      </c>
      <c r="B1" s="3514"/>
      <c r="C1" s="3514"/>
      <c r="D1" s="3514"/>
      <c r="E1" s="3514"/>
      <c r="F1" s="3514"/>
      <c r="G1" s="3515"/>
      <c r="I1" s="2937" t="s">
        <v>2828</v>
      </c>
      <c r="J1" s="2938" t="s">
        <v>2829</v>
      </c>
      <c r="K1" s="2938" t="s">
        <v>2830</v>
      </c>
      <c r="L1" s="2938" t="s">
        <v>2831</v>
      </c>
      <c r="M1" s="2938" t="s">
        <v>2832</v>
      </c>
      <c r="N1" s="2938" t="s">
        <v>2833</v>
      </c>
      <c r="O1" s="2938" t="s">
        <v>2834</v>
      </c>
      <c r="P1" s="2938" t="s">
        <v>2835</v>
      </c>
      <c r="Q1" s="2938" t="s">
        <v>2836</v>
      </c>
      <c r="R1" s="2938" t="s">
        <v>2837</v>
      </c>
      <c r="S1" s="2938" t="s">
        <v>2838</v>
      </c>
      <c r="T1" s="2939" t="s">
        <v>2839</v>
      </c>
    </row>
    <row r="2" spans="1:20" ht="12" thickBot="1">
      <c r="A2" s="2940" t="s">
        <v>2840</v>
      </c>
      <c r="B2" s="2940"/>
      <c r="C2" s="2940"/>
      <c r="D2" s="2940"/>
      <c r="E2" s="2940"/>
      <c r="F2" s="2940"/>
      <c r="G2" s="2941" t="s">
        <v>2841</v>
      </c>
      <c r="I2" s="2942" t="s">
        <v>2842</v>
      </c>
      <c r="J2" s="2942" t="s">
        <v>2843</v>
      </c>
      <c r="K2" s="2942" t="s">
        <v>2844</v>
      </c>
      <c r="L2" s="2942" t="s">
        <v>2845</v>
      </c>
      <c r="M2" s="2942" t="s">
        <v>2846</v>
      </c>
      <c r="N2" s="2942" t="s">
        <v>2847</v>
      </c>
      <c r="O2" s="2942" t="s">
        <v>2848</v>
      </c>
      <c r="P2" s="2942" t="s">
        <v>2849</v>
      </c>
      <c r="Q2" s="2942" t="s">
        <v>2850</v>
      </c>
      <c r="R2" s="2942" t="s">
        <v>2851</v>
      </c>
      <c r="S2" s="2942" t="s">
        <v>2852</v>
      </c>
      <c r="T2" s="2942" t="s">
        <v>2853</v>
      </c>
    </row>
    <row r="3" spans="1:20" s="2948" customFormat="1">
      <c r="A3" s="3512" t="s">
        <v>2854</v>
      </c>
      <c r="B3" s="2943"/>
      <c r="C3" s="2944" t="s">
        <v>2799</v>
      </c>
      <c r="D3" s="2944" t="s">
        <v>2855</v>
      </c>
      <c r="E3" s="2944" t="s">
        <v>2801</v>
      </c>
      <c r="F3" s="2944" t="s">
        <v>2856</v>
      </c>
      <c r="G3" s="2944" t="s">
        <v>2619</v>
      </c>
      <c r="H3" s="2945"/>
      <c r="I3" s="2946" t="s">
        <v>2857</v>
      </c>
      <c r="J3" s="2947" t="s">
        <v>128</v>
      </c>
      <c r="K3" s="2947" t="s">
        <v>129</v>
      </c>
      <c r="L3" s="2946" t="s">
        <v>130</v>
      </c>
      <c r="M3" s="2946" t="s">
        <v>131</v>
      </c>
      <c r="N3" s="2946" t="s">
        <v>132</v>
      </c>
      <c r="O3" s="2946" t="s">
        <v>133</v>
      </c>
      <c r="P3" s="2946" t="s">
        <v>134</v>
      </c>
      <c r="Q3" s="2946" t="s">
        <v>135</v>
      </c>
      <c r="R3" s="2946" t="s">
        <v>136</v>
      </c>
      <c r="S3" s="2946" t="s">
        <v>2858</v>
      </c>
      <c r="T3" s="2946" t="s">
        <v>2859</v>
      </c>
    </row>
    <row r="4" spans="1:20" s="2948" customFormat="1" ht="12" thickBot="1">
      <c r="A4" s="3513"/>
      <c r="B4" s="2949" t="s">
        <v>2860</v>
      </c>
      <c r="C4" s="2949" t="s">
        <v>2861</v>
      </c>
      <c r="D4" s="2949" t="s">
        <v>2861</v>
      </c>
      <c r="E4" s="2949" t="s">
        <v>2861</v>
      </c>
      <c r="F4" s="2950" t="s">
        <v>2861</v>
      </c>
      <c r="G4" s="2950" t="s">
        <v>2861</v>
      </c>
      <c r="H4" s="2945"/>
      <c r="I4" s="2947" t="s">
        <v>137</v>
      </c>
      <c r="J4" s="2947" t="s">
        <v>111</v>
      </c>
      <c r="K4" s="2947" t="s">
        <v>138</v>
      </c>
      <c r="L4" s="2946" t="s">
        <v>139</v>
      </c>
      <c r="M4" s="2946" t="s">
        <v>140</v>
      </c>
      <c r="N4" s="2946" t="s">
        <v>141</v>
      </c>
      <c r="O4" s="2946" t="s">
        <v>142</v>
      </c>
      <c r="P4" s="2946" t="s">
        <v>143</v>
      </c>
      <c r="Q4" s="2946" t="s">
        <v>2862</v>
      </c>
      <c r="R4" s="2946" t="s">
        <v>2863</v>
      </c>
      <c r="S4" s="2946" t="s">
        <v>2864</v>
      </c>
      <c r="T4" s="2946" t="s">
        <v>2865</v>
      </c>
    </row>
    <row r="5" spans="1:20">
      <c r="A5" s="2951" t="s">
        <v>2828</v>
      </c>
      <c r="B5" s="2942" t="s">
        <v>2842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2866</v>
      </c>
      <c r="R5" s="2946" t="s">
        <v>2867</v>
      </c>
      <c r="S5" s="2946" t="s">
        <v>153</v>
      </c>
      <c r="T5" s="2946" t="s">
        <v>2868</v>
      </c>
    </row>
    <row r="6" spans="1:20" ht="12" thickBot="1">
      <c r="A6" s="2946" t="s">
        <v>144</v>
      </c>
      <c r="B6" s="2946" t="s">
        <v>2857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2869</v>
      </c>
      <c r="Q6" s="2946" t="s">
        <v>2870</v>
      </c>
      <c r="R6" s="2946" t="s">
        <v>161</v>
      </c>
      <c r="S6" s="2946" t="s">
        <v>2871</v>
      </c>
      <c r="T6" s="2946" t="s">
        <v>2872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2873</v>
      </c>
      <c r="Q7" s="2946" t="s">
        <v>2874</v>
      </c>
      <c r="R7" s="2946" t="s">
        <v>2875</v>
      </c>
      <c r="S7" s="2946" t="s">
        <v>2876</v>
      </c>
      <c r="T7" s="2946" t="s">
        <v>2877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2878</v>
      </c>
      <c r="Q8" s="2946" t="s">
        <v>174</v>
      </c>
      <c r="R8" s="2946" t="s">
        <v>2879</v>
      </c>
      <c r="S8" s="2946" t="s">
        <v>2880</v>
      </c>
      <c r="T8" s="2953" t="s">
        <v>2881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2882</v>
      </c>
      <c r="Q9" s="2946" t="s">
        <v>182</v>
      </c>
      <c r="R9" s="2946" t="s">
        <v>183</v>
      </c>
      <c r="S9" s="2946" t="s">
        <v>200</v>
      </c>
    </row>
    <row r="10" spans="1:20">
      <c r="A10" s="2951" t="s">
        <v>184</v>
      </c>
      <c r="B10" s="2942" t="s">
        <v>2843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2884</v>
      </c>
      <c r="P11" s="2946" t="s">
        <v>191</v>
      </c>
      <c r="Q11" s="2946" t="s">
        <v>199</v>
      </c>
      <c r="R11" s="2946" t="s">
        <v>2885</v>
      </c>
      <c r="S11" s="2946" t="s">
        <v>2886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2887</v>
      </c>
      <c r="P12" s="2946" t="s">
        <v>2888</v>
      </c>
      <c r="Q12" s="2946" t="s">
        <v>2889</v>
      </c>
      <c r="R12" s="2946" t="s">
        <v>2890</v>
      </c>
      <c r="S12" s="2946" t="s">
        <v>2891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2893</v>
      </c>
      <c r="K14" s="2947" t="s">
        <v>215</v>
      </c>
      <c r="L14" s="2946" t="s">
        <v>216</v>
      </c>
      <c r="M14" s="2946" t="s">
        <v>217</v>
      </c>
      <c r="N14" s="2946" t="s">
        <v>218</v>
      </c>
      <c r="O14" s="2946" t="s">
        <v>240</v>
      </c>
      <c r="P14" s="2946" t="s">
        <v>213</v>
      </c>
      <c r="Q14" s="2946" t="s">
        <v>2894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2895</v>
      </c>
      <c r="P15" s="2946" t="s">
        <v>2896</v>
      </c>
      <c r="Q15" s="2946" t="s">
        <v>242</v>
      </c>
      <c r="R15" s="2946" t="s">
        <v>2897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2898</v>
      </c>
      <c r="P16" s="2946" t="s">
        <v>227</v>
      </c>
      <c r="Q16" s="2946" t="s">
        <v>250</v>
      </c>
      <c r="R16" s="2946" t="s">
        <v>207</v>
      </c>
      <c r="S16" s="2946" t="s">
        <v>2899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2900</v>
      </c>
      <c r="P17" s="2946" t="s">
        <v>2901</v>
      </c>
      <c r="Q17" s="2946" t="s">
        <v>256</v>
      </c>
      <c r="R17" s="2946" t="s">
        <v>2902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2903</v>
      </c>
      <c r="P18" s="2946" t="s">
        <v>241</v>
      </c>
      <c r="Q18" s="2946" t="s">
        <v>2904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2905</v>
      </c>
      <c r="P19" s="2946" t="s">
        <v>249</v>
      </c>
      <c r="Q19" s="2946" t="s">
        <v>2906</v>
      </c>
      <c r="R19" s="2946" t="s">
        <v>265</v>
      </c>
      <c r="S19" s="2946" t="s">
        <v>2907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2908</v>
      </c>
      <c r="P20" s="2946" t="s">
        <v>2909</v>
      </c>
      <c r="Q20" s="2946" t="s">
        <v>290</v>
      </c>
      <c r="R20" s="2946" t="s">
        <v>2910</v>
      </c>
      <c r="S20" s="2946" t="s">
        <v>277</v>
      </c>
    </row>
    <row r="21" spans="1:19" ht="14.25" customHeight="1" thickBot="1">
      <c r="A21" s="2946" t="s">
        <v>184</v>
      </c>
      <c r="B21" s="2947" t="s">
        <v>208</v>
      </c>
      <c r="C21" s="2946">
        <v>32370</v>
      </c>
      <c r="D21" s="2946">
        <v>26730</v>
      </c>
      <c r="E21" s="2946">
        <v>26640</v>
      </c>
      <c r="F21" s="2946"/>
      <c r="G21" s="2946">
        <v>19440</v>
      </c>
      <c r="J21" s="2953" t="s">
        <v>2911</v>
      </c>
      <c r="K21" s="2947" t="s">
        <v>267</v>
      </c>
      <c r="L21" s="2946" t="s">
        <v>268</v>
      </c>
      <c r="M21" s="2946" t="s">
        <v>269</v>
      </c>
      <c r="N21" s="2946" t="s">
        <v>270</v>
      </c>
      <c r="O21" s="2946" t="s">
        <v>264</v>
      </c>
      <c r="P21" s="2946" t="s">
        <v>283</v>
      </c>
      <c r="Q21" s="2946" t="s">
        <v>293</v>
      </c>
      <c r="R21" s="2946" t="s">
        <v>2912</v>
      </c>
      <c r="S21" s="2953" t="s">
        <v>2913</v>
      </c>
    </row>
    <row r="22" spans="1:19" ht="14.25" customHeight="1">
      <c r="A22" s="2946" t="s">
        <v>184</v>
      </c>
      <c r="B22" s="2947" t="s">
        <v>2893</v>
      </c>
      <c r="C22" s="2946">
        <v>29830</v>
      </c>
      <c r="D22" s="2946">
        <v>27600</v>
      </c>
      <c r="E22" s="2946">
        <v>28150</v>
      </c>
      <c r="F22" s="2946"/>
      <c r="G22" s="2946">
        <v>20080</v>
      </c>
      <c r="K22" s="2947" t="s">
        <v>2914</v>
      </c>
      <c r="L22" s="2946" t="s">
        <v>272</v>
      </c>
      <c r="M22" s="2946" t="s">
        <v>273</v>
      </c>
      <c r="N22" s="2946" t="s">
        <v>274</v>
      </c>
      <c r="O22" s="2946" t="s">
        <v>2915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2916</v>
      </c>
      <c r="L23" s="2946" t="s">
        <v>278</v>
      </c>
      <c r="M23" s="2946" t="s">
        <v>279</v>
      </c>
      <c r="N23" s="2946" t="s">
        <v>2917</v>
      </c>
      <c r="O23" s="2946" t="s">
        <v>2918</v>
      </c>
      <c r="P23" s="2946" t="s">
        <v>289</v>
      </c>
      <c r="Q23" s="2946" t="s">
        <v>298</v>
      </c>
      <c r="R23" s="2946" t="s">
        <v>2919</v>
      </c>
    </row>
    <row r="24" spans="1:19" ht="14.25" customHeight="1">
      <c r="A24" s="2946" t="s">
        <v>184</v>
      </c>
      <c r="B24" s="2947" t="s">
        <v>230</v>
      </c>
      <c r="C24" s="2946">
        <v>27930</v>
      </c>
      <c r="D24" s="2946">
        <v>32260</v>
      </c>
      <c r="E24" s="2946">
        <v>32120</v>
      </c>
      <c r="F24" s="2946"/>
      <c r="G24" s="2946">
        <v>23470</v>
      </c>
      <c r="K24" s="2947" t="s">
        <v>2920</v>
      </c>
      <c r="L24" s="2946" t="s">
        <v>281</v>
      </c>
      <c r="M24" s="2946" t="s">
        <v>282</v>
      </c>
      <c r="N24" s="2946" t="s">
        <v>2921</v>
      </c>
      <c r="O24" s="2946" t="s">
        <v>285</v>
      </c>
      <c r="P24" s="2946" t="s">
        <v>2922</v>
      </c>
      <c r="Q24" s="2955" t="s">
        <v>2923</v>
      </c>
      <c r="R24" s="2946" t="s">
        <v>2924</v>
      </c>
    </row>
    <row r="25" spans="1:19" ht="14.25" customHeight="1">
      <c r="A25" s="2946" t="s">
        <v>184</v>
      </c>
      <c r="B25" s="2947" t="s">
        <v>235</v>
      </c>
      <c r="C25" s="2946">
        <v>32230</v>
      </c>
      <c r="D25" s="2946">
        <v>29640</v>
      </c>
      <c r="E25" s="2946">
        <v>29510</v>
      </c>
      <c r="F25" s="2946"/>
      <c r="G25" s="2946">
        <v>21560</v>
      </c>
      <c r="K25" s="2947" t="s">
        <v>2925</v>
      </c>
      <c r="L25" s="2946" t="s">
        <v>2926</v>
      </c>
      <c r="M25" s="2946" t="s">
        <v>284</v>
      </c>
      <c r="N25" s="2946" t="s">
        <v>292</v>
      </c>
      <c r="O25" s="2946" t="s">
        <v>288</v>
      </c>
      <c r="P25" s="2946" t="s">
        <v>275</v>
      </c>
      <c r="Q25" s="2955" t="s">
        <v>271</v>
      </c>
      <c r="R25" s="2946" t="s">
        <v>2927</v>
      </c>
    </row>
    <row r="26" spans="1:19" ht="14.25" customHeight="1" thickBot="1">
      <c r="A26" s="2946" t="s">
        <v>184</v>
      </c>
      <c r="B26" s="2947" t="s">
        <v>244</v>
      </c>
      <c r="C26" s="2946">
        <v>31690</v>
      </c>
      <c r="D26" s="2946">
        <v>27650</v>
      </c>
      <c r="E26" s="2946">
        <v>28200</v>
      </c>
      <c r="F26" s="2946"/>
      <c r="G26" s="2946">
        <v>20110</v>
      </c>
      <c r="K26" s="2952" t="s">
        <v>2928</v>
      </c>
      <c r="L26" s="2946" t="s">
        <v>2929</v>
      </c>
      <c r="M26" s="2946" t="s">
        <v>287</v>
      </c>
      <c r="N26" s="2946" t="s">
        <v>294</v>
      </c>
      <c r="O26" s="2946" t="s">
        <v>2930</v>
      </c>
      <c r="P26" s="2946" t="s">
        <v>2931</v>
      </c>
      <c r="Q26" s="2955" t="s">
        <v>276</v>
      </c>
      <c r="R26" s="2946" t="s">
        <v>2932</v>
      </c>
    </row>
    <row r="27" spans="1:19" ht="14.25" customHeight="1">
      <c r="A27" s="2946" t="s">
        <v>184</v>
      </c>
      <c r="B27" s="2947" t="s">
        <v>251</v>
      </c>
      <c r="C27" s="2946">
        <v>29610</v>
      </c>
      <c r="D27" s="2946">
        <v>27770</v>
      </c>
      <c r="E27" s="2946">
        <v>28300</v>
      </c>
      <c r="F27" s="2946"/>
      <c r="G27" s="2946">
        <v>20210</v>
      </c>
      <c r="L27" s="2946" t="s">
        <v>2933</v>
      </c>
      <c r="M27" s="2946" t="s">
        <v>291</v>
      </c>
      <c r="N27" s="2946" t="s">
        <v>297</v>
      </c>
      <c r="O27" s="2946" t="s">
        <v>2934</v>
      </c>
      <c r="P27" s="2946" t="s">
        <v>2935</v>
      </c>
      <c r="Q27" s="2946" t="s">
        <v>2936</v>
      </c>
      <c r="R27" s="2946" t="s">
        <v>2937</v>
      </c>
    </row>
    <row r="28" spans="1:19" ht="14.25" customHeight="1">
      <c r="A28" s="2946" t="s">
        <v>184</v>
      </c>
      <c r="B28" s="2947" t="s">
        <v>259</v>
      </c>
      <c r="C28" s="2946"/>
      <c r="D28" s="2946">
        <v>31520</v>
      </c>
      <c r="E28" s="2946">
        <v>31410</v>
      </c>
      <c r="F28" s="2946"/>
      <c r="G28" s="2946">
        <v>22940</v>
      </c>
      <c r="L28" s="2946" t="s">
        <v>2938</v>
      </c>
      <c r="M28" s="2946" t="s">
        <v>2939</v>
      </c>
      <c r="N28" s="2946" t="s">
        <v>2940</v>
      </c>
      <c r="O28" s="2946" t="s">
        <v>2941</v>
      </c>
      <c r="P28" s="2946" t="s">
        <v>2942</v>
      </c>
      <c r="Q28" s="2946" t="s">
        <v>2943</v>
      </c>
      <c r="R28" s="2946" t="s">
        <v>2944</v>
      </c>
    </row>
    <row r="29" spans="1:19" ht="14.25" customHeight="1" thickBot="1">
      <c r="A29" s="2954" t="s">
        <v>184</v>
      </c>
      <c r="B29" s="2956" t="s">
        <v>2911</v>
      </c>
      <c r="C29" s="2957"/>
      <c r="D29" s="2957">
        <v>29460</v>
      </c>
      <c r="E29" s="2957">
        <v>28640</v>
      </c>
      <c r="F29" s="2957"/>
      <c r="G29" s="2957">
        <v>21430</v>
      </c>
      <c r="L29" s="2946" t="s">
        <v>2945</v>
      </c>
      <c r="M29" s="2946" t="s">
        <v>2946</v>
      </c>
      <c r="N29" s="2946" t="s">
        <v>2947</v>
      </c>
      <c r="O29" s="2946" t="s">
        <v>2948</v>
      </c>
      <c r="P29" s="2946" t="s">
        <v>2949</v>
      </c>
      <c r="Q29" s="2946" t="s">
        <v>2950</v>
      </c>
      <c r="R29" s="2946" t="s">
        <v>280</v>
      </c>
    </row>
    <row r="30" spans="1:19" ht="14.25" customHeight="1">
      <c r="A30" s="2951" t="s">
        <v>296</v>
      </c>
      <c r="B30" s="2942" t="s">
        <v>2844</v>
      </c>
      <c r="C30" s="2942">
        <v>26890</v>
      </c>
      <c r="D30" s="2942">
        <v>26770</v>
      </c>
      <c r="E30" s="2942">
        <v>25700</v>
      </c>
      <c r="F30" s="2942">
        <v>8180</v>
      </c>
      <c r="G30" s="2958">
        <v>18740</v>
      </c>
      <c r="L30" s="2946" t="s">
        <v>2951</v>
      </c>
      <c r="M30" s="2946" t="s">
        <v>2952</v>
      </c>
      <c r="N30" s="2946" t="s">
        <v>2953</v>
      </c>
      <c r="O30" s="2946" t="s">
        <v>2954</v>
      </c>
      <c r="P30" s="2946" t="s">
        <v>2955</v>
      </c>
      <c r="Q30" s="2946" t="s">
        <v>2956</v>
      </c>
      <c r="R30" s="2946" t="s">
        <v>2957</v>
      </c>
    </row>
    <row r="31" spans="1:19" ht="14.25" customHeight="1">
      <c r="A31" s="2946" t="s">
        <v>296</v>
      </c>
      <c r="B31" s="2947" t="s">
        <v>129</v>
      </c>
      <c r="C31" s="2946">
        <v>24550</v>
      </c>
      <c r="D31" s="2946">
        <v>23990</v>
      </c>
      <c r="E31" s="2946">
        <v>22930</v>
      </c>
      <c r="F31" s="2946">
        <v>7470</v>
      </c>
      <c r="G31" s="2959">
        <v>16790</v>
      </c>
      <c r="L31" s="2946" t="s">
        <v>2958</v>
      </c>
      <c r="M31" s="2946" t="s">
        <v>2959</v>
      </c>
      <c r="N31" s="2946" t="s">
        <v>2960</v>
      </c>
      <c r="O31" s="2946" t="s">
        <v>2961</v>
      </c>
      <c r="P31" s="2946" t="s">
        <v>2962</v>
      </c>
      <c r="Q31" s="2946" t="s">
        <v>2963</v>
      </c>
      <c r="R31" s="2946" t="s">
        <v>2964</v>
      </c>
    </row>
    <row r="32" spans="1:19" ht="14.25" customHeight="1" thickBot="1">
      <c r="A32" s="2946" t="s">
        <v>296</v>
      </c>
      <c r="B32" s="2947" t="s">
        <v>138</v>
      </c>
      <c r="C32" s="2946">
        <v>27210</v>
      </c>
      <c r="D32" s="2946">
        <v>23240</v>
      </c>
      <c r="E32" s="2946">
        <v>23260</v>
      </c>
      <c r="F32" s="2946">
        <v>7130</v>
      </c>
      <c r="G32" s="2959">
        <v>16270</v>
      </c>
      <c r="L32" s="2946" t="s">
        <v>2965</v>
      </c>
      <c r="M32" s="2946" t="s">
        <v>2966</v>
      </c>
      <c r="N32" s="2946" t="s">
        <v>300</v>
      </c>
      <c r="O32" s="2946" t="s">
        <v>2967</v>
      </c>
      <c r="P32" s="2946" t="s">
        <v>299</v>
      </c>
      <c r="Q32" s="2946" t="s">
        <v>2968</v>
      </c>
      <c r="R32" s="2953" t="s">
        <v>2969</v>
      </c>
    </row>
    <row r="33" spans="1:17" ht="14.25" customHeight="1" thickBot="1">
      <c r="A33" s="2946" t="s">
        <v>296</v>
      </c>
      <c r="B33" s="2947" t="s">
        <v>147</v>
      </c>
      <c r="C33" s="2946">
        <v>27300</v>
      </c>
      <c r="D33" s="2946">
        <v>22980</v>
      </c>
      <c r="E33" s="2946">
        <v>24260</v>
      </c>
      <c r="F33" s="2946">
        <v>5860</v>
      </c>
      <c r="G33" s="2959">
        <v>16090</v>
      </c>
      <c r="L33" s="2953" t="s">
        <v>2970</v>
      </c>
      <c r="M33" s="2946" t="s">
        <v>2971</v>
      </c>
      <c r="N33" s="2946" t="s">
        <v>301</v>
      </c>
      <c r="O33" s="2946" t="s">
        <v>2972</v>
      </c>
      <c r="P33" s="2946" t="s">
        <v>2973</v>
      </c>
      <c r="Q33" s="2946" t="s">
        <v>2974</v>
      </c>
    </row>
    <row r="34" spans="1:17" ht="14.25" customHeight="1">
      <c r="A34" s="2946" t="s">
        <v>296</v>
      </c>
      <c r="B34" s="2947" t="s">
        <v>156</v>
      </c>
      <c r="C34" s="2946">
        <v>23090</v>
      </c>
      <c r="D34" s="2946">
        <v>23390</v>
      </c>
      <c r="E34" s="2946">
        <v>23510</v>
      </c>
      <c r="F34" s="2946">
        <v>6700</v>
      </c>
      <c r="G34" s="2959">
        <v>16370</v>
      </c>
      <c r="M34" s="2946" t="s">
        <v>2975</v>
      </c>
      <c r="N34" s="2946" t="s">
        <v>302</v>
      </c>
      <c r="O34" s="2946" t="s">
        <v>2976</v>
      </c>
      <c r="P34" s="2946" t="s">
        <v>2977</v>
      </c>
      <c r="Q34" s="2946" t="s">
        <v>2978</v>
      </c>
    </row>
    <row r="35" spans="1:17" ht="14.25" customHeight="1">
      <c r="A35" s="2946" t="s">
        <v>296</v>
      </c>
      <c r="B35" s="2947" t="s">
        <v>163</v>
      </c>
      <c r="C35" s="2946">
        <v>27270</v>
      </c>
      <c r="D35" s="2946">
        <v>24270</v>
      </c>
      <c r="E35" s="2946">
        <v>24950</v>
      </c>
      <c r="F35" s="2946">
        <v>6600</v>
      </c>
      <c r="G35" s="2959">
        <v>16990</v>
      </c>
      <c r="M35" s="2946" t="s">
        <v>2979</v>
      </c>
      <c r="N35" s="2946" t="s">
        <v>2980</v>
      </c>
      <c r="O35" s="2946" t="s">
        <v>2981</v>
      </c>
      <c r="P35" s="2946" t="s">
        <v>2982</v>
      </c>
      <c r="Q35" s="2946" t="s">
        <v>2983</v>
      </c>
    </row>
    <row r="36" spans="1:17" ht="14.25" customHeight="1">
      <c r="A36" s="2946" t="s">
        <v>296</v>
      </c>
      <c r="B36" s="2947" t="s">
        <v>169</v>
      </c>
      <c r="C36" s="2946">
        <v>23490</v>
      </c>
      <c r="D36" s="2946">
        <v>23020</v>
      </c>
      <c r="E36" s="2946">
        <v>25230</v>
      </c>
      <c r="F36" s="2946">
        <v>6780</v>
      </c>
      <c r="G36" s="2959">
        <v>16120</v>
      </c>
      <c r="M36" s="2946" t="s">
        <v>2984</v>
      </c>
      <c r="N36" s="2946" t="s">
        <v>2985</v>
      </c>
      <c r="O36" s="2946" t="s">
        <v>2986</v>
      </c>
      <c r="P36" s="2946" t="s">
        <v>2987</v>
      </c>
      <c r="Q36" s="2946" t="s">
        <v>2988</v>
      </c>
    </row>
    <row r="37" spans="1:17" ht="14.25" customHeight="1">
      <c r="A37" s="2946" t="s">
        <v>296</v>
      </c>
      <c r="B37" s="2947" t="s">
        <v>176</v>
      </c>
      <c r="C37" s="2946">
        <v>24380</v>
      </c>
      <c r="D37" s="2946">
        <v>22240</v>
      </c>
      <c r="E37" s="2946">
        <v>25980</v>
      </c>
      <c r="F37" s="2946">
        <v>8160</v>
      </c>
      <c r="G37" s="2959">
        <v>15570</v>
      </c>
      <c r="M37" s="2946" t="s">
        <v>2989</v>
      </c>
      <c r="N37" s="2946" t="s">
        <v>2990</v>
      </c>
      <c r="O37" s="2946" t="s">
        <v>2991</v>
      </c>
      <c r="P37" s="2946" t="s">
        <v>2992</v>
      </c>
      <c r="Q37" s="2946" t="s">
        <v>2993</v>
      </c>
    </row>
    <row r="38" spans="1:17" ht="14.25" customHeight="1">
      <c r="A38" s="2946" t="s">
        <v>296</v>
      </c>
      <c r="B38" s="2947" t="s">
        <v>186</v>
      </c>
      <c r="C38" s="2946">
        <v>23120</v>
      </c>
      <c r="D38" s="2946">
        <v>24630</v>
      </c>
      <c r="E38" s="2946">
        <v>25030</v>
      </c>
      <c r="F38" s="2946">
        <v>7710</v>
      </c>
      <c r="G38" s="2959">
        <v>17240</v>
      </c>
      <c r="M38" s="2946" t="s">
        <v>2994</v>
      </c>
      <c r="N38" s="2946" t="s">
        <v>2995</v>
      </c>
      <c r="O38" s="2946" t="s">
        <v>2996</v>
      </c>
      <c r="P38" s="2946" t="s">
        <v>2997</v>
      </c>
      <c r="Q38" s="2946" t="s">
        <v>2998</v>
      </c>
    </row>
    <row r="39" spans="1:17" ht="14.25" customHeight="1">
      <c r="A39" s="2946" t="s">
        <v>296</v>
      </c>
      <c r="B39" s="2947" t="s">
        <v>195</v>
      </c>
      <c r="C39" s="2946">
        <v>22330</v>
      </c>
      <c r="D39" s="2946">
        <v>21140</v>
      </c>
      <c r="E39" s="2946">
        <v>23970</v>
      </c>
      <c r="F39" s="2946">
        <v>7940</v>
      </c>
      <c r="G39" s="2959">
        <v>14790</v>
      </c>
      <c r="M39" s="2946" t="s">
        <v>2999</v>
      </c>
      <c r="N39" s="2946" t="s">
        <v>3000</v>
      </c>
      <c r="O39" s="2946" t="s">
        <v>3001</v>
      </c>
      <c r="P39" s="2946" t="s">
        <v>3002</v>
      </c>
      <c r="Q39" s="2946" t="s">
        <v>3003</v>
      </c>
    </row>
    <row r="40" spans="1:17" ht="14.25" customHeight="1">
      <c r="A40" s="2946" t="s">
        <v>296</v>
      </c>
      <c r="B40" s="2947" t="s">
        <v>202</v>
      </c>
      <c r="C40" s="2946">
        <v>24740</v>
      </c>
      <c r="D40" s="2946">
        <v>24690</v>
      </c>
      <c r="E40" s="2946">
        <v>22610</v>
      </c>
      <c r="F40" s="2946"/>
      <c r="G40" s="2959">
        <v>17280</v>
      </c>
      <c r="M40" s="2946" t="s">
        <v>3004</v>
      </c>
      <c r="N40" s="2946" t="s">
        <v>3005</v>
      </c>
      <c r="O40" s="2946" t="s">
        <v>3006</v>
      </c>
      <c r="P40" s="2946" t="s">
        <v>3007</v>
      </c>
      <c r="Q40" s="2946" t="s">
        <v>3008</v>
      </c>
    </row>
    <row r="41" spans="1:17" ht="14.25" customHeight="1" thickBot="1">
      <c r="A41" s="2946" t="s">
        <v>296</v>
      </c>
      <c r="B41" s="2947" t="s">
        <v>209</v>
      </c>
      <c r="C41" s="2946">
        <v>21220</v>
      </c>
      <c r="D41" s="2946">
        <v>21120</v>
      </c>
      <c r="E41" s="2946">
        <v>22590</v>
      </c>
      <c r="F41" s="2946"/>
      <c r="G41" s="2959">
        <v>14780</v>
      </c>
      <c r="M41" s="2953" t="s">
        <v>3009</v>
      </c>
      <c r="N41" s="2946" t="s">
        <v>3010</v>
      </c>
      <c r="O41" s="2946" t="s">
        <v>3011</v>
      </c>
      <c r="P41" s="2946" t="s">
        <v>3012</v>
      </c>
      <c r="Q41" s="2946" t="s">
        <v>3013</v>
      </c>
    </row>
    <row r="42" spans="1:17" ht="14.25" customHeight="1">
      <c r="A42" s="2946" t="s">
        <v>296</v>
      </c>
      <c r="B42" s="2947" t="s">
        <v>215</v>
      </c>
      <c r="C42" s="2946">
        <v>24800</v>
      </c>
      <c r="D42" s="2946">
        <v>22280</v>
      </c>
      <c r="E42" s="2946">
        <v>24350</v>
      </c>
      <c r="F42" s="2946"/>
      <c r="G42" s="2959">
        <v>15590</v>
      </c>
      <c r="N42" s="2946" t="s">
        <v>3014</v>
      </c>
      <c r="O42" s="2946" t="s">
        <v>3015</v>
      </c>
      <c r="P42" s="2946" t="s">
        <v>3016</v>
      </c>
      <c r="Q42" s="2946" t="s">
        <v>3017</v>
      </c>
    </row>
    <row r="43" spans="1:17" ht="14.25" customHeight="1">
      <c r="A43" s="2946" t="s">
        <v>3018</v>
      </c>
      <c r="B43" s="2947" t="s">
        <v>223</v>
      </c>
      <c r="C43" s="2946">
        <v>21210</v>
      </c>
      <c r="D43" s="2946">
        <v>21160</v>
      </c>
      <c r="E43" s="2946">
        <v>22650</v>
      </c>
      <c r="F43" s="2946"/>
      <c r="G43" s="2959">
        <v>14800</v>
      </c>
      <c r="N43" s="2946" t="s">
        <v>3019</v>
      </c>
      <c r="O43" s="2946" t="s">
        <v>3020</v>
      </c>
      <c r="P43" s="2946" t="s">
        <v>3021</v>
      </c>
      <c r="Q43" s="2946" t="s">
        <v>3022</v>
      </c>
    </row>
    <row r="44" spans="1:17" ht="14.25" customHeight="1" thickBot="1">
      <c r="A44" s="2946" t="s">
        <v>296</v>
      </c>
      <c r="B44" s="2947" t="s">
        <v>231</v>
      </c>
      <c r="C44" s="2946">
        <v>22370</v>
      </c>
      <c r="D44" s="2946">
        <v>23140</v>
      </c>
      <c r="E44" s="2946">
        <v>25090</v>
      </c>
      <c r="F44" s="2946"/>
      <c r="G44" s="2959">
        <v>16190</v>
      </c>
      <c r="N44" s="2946" t="s">
        <v>3023</v>
      </c>
      <c r="O44" s="2946" t="s">
        <v>3024</v>
      </c>
      <c r="P44" s="2953" t="s">
        <v>3025</v>
      </c>
      <c r="Q44" s="2946" t="s">
        <v>3026</v>
      </c>
    </row>
    <row r="45" spans="1:17" ht="14.25" customHeight="1" thickBot="1">
      <c r="A45" s="2946" t="s">
        <v>296</v>
      </c>
      <c r="B45" s="2947" t="s">
        <v>236</v>
      </c>
      <c r="C45" s="2946">
        <v>21240</v>
      </c>
      <c r="D45" s="2946">
        <v>27050</v>
      </c>
      <c r="E45" s="2946">
        <v>28000</v>
      </c>
      <c r="F45" s="2946"/>
      <c r="G45" s="2959">
        <v>18940</v>
      </c>
      <c r="N45" s="2946" t="s">
        <v>3027</v>
      </c>
      <c r="O45" s="2953" t="s">
        <v>3028</v>
      </c>
      <c r="Q45" s="2946" t="s">
        <v>3029</v>
      </c>
    </row>
    <row r="46" spans="1:17" ht="14.25" customHeight="1">
      <c r="A46" s="2946" t="s">
        <v>296</v>
      </c>
      <c r="B46" s="2947" t="s">
        <v>245</v>
      </c>
      <c r="C46" s="2946">
        <v>23240</v>
      </c>
      <c r="D46" s="2946">
        <v>23000</v>
      </c>
      <c r="E46" s="2946">
        <v>24980</v>
      </c>
      <c r="F46" s="2946"/>
      <c r="G46" s="2959">
        <v>16100</v>
      </c>
      <c r="N46" s="2946" t="s">
        <v>3030</v>
      </c>
      <c r="Q46" s="2946" t="s">
        <v>3031</v>
      </c>
    </row>
    <row r="47" spans="1:17" ht="14.25" customHeight="1">
      <c r="A47" s="2946" t="s">
        <v>296</v>
      </c>
      <c r="B47" s="2947" t="s">
        <v>252</v>
      </c>
      <c r="C47" s="2946">
        <v>27150</v>
      </c>
      <c r="D47" s="2946">
        <v>23310</v>
      </c>
      <c r="E47" s="2946">
        <v>25150</v>
      </c>
      <c r="F47" s="2946"/>
      <c r="G47" s="2959">
        <v>16310</v>
      </c>
      <c r="N47" s="2946" t="s">
        <v>3032</v>
      </c>
      <c r="Q47" s="2946" t="s">
        <v>3033</v>
      </c>
    </row>
    <row r="48" spans="1:17" ht="14.25" customHeight="1">
      <c r="A48" s="2946" t="s">
        <v>296</v>
      </c>
      <c r="B48" s="2947" t="s">
        <v>260</v>
      </c>
      <c r="C48" s="2946">
        <v>23100</v>
      </c>
      <c r="D48" s="2946">
        <v>21110</v>
      </c>
      <c r="E48" s="2946">
        <v>23080</v>
      </c>
      <c r="F48" s="2946"/>
      <c r="G48" s="2959">
        <v>14780</v>
      </c>
      <c r="N48" s="2946" t="s">
        <v>3034</v>
      </c>
      <c r="Q48" s="2946" t="s">
        <v>3035</v>
      </c>
    </row>
    <row r="49" spans="1:17" ht="14.25" customHeight="1">
      <c r="A49" s="2946" t="s">
        <v>296</v>
      </c>
      <c r="B49" s="2947" t="s">
        <v>267</v>
      </c>
      <c r="C49" s="2946">
        <v>23400</v>
      </c>
      <c r="D49" s="2946">
        <v>22920</v>
      </c>
      <c r="E49" s="2946">
        <v>24900</v>
      </c>
      <c r="F49" s="2946"/>
      <c r="G49" s="2959">
        <v>16040</v>
      </c>
      <c r="N49" s="2946" t="s">
        <v>3036</v>
      </c>
      <c r="Q49" s="2946" t="s">
        <v>3037</v>
      </c>
    </row>
    <row r="50" spans="1:17" ht="14.25" customHeight="1">
      <c r="A50" s="2946" t="s">
        <v>296</v>
      </c>
      <c r="B50" s="2947" t="s">
        <v>2914</v>
      </c>
      <c r="C50" s="2946">
        <v>21200</v>
      </c>
      <c r="D50" s="2946">
        <v>26540</v>
      </c>
      <c r="E50" s="2946">
        <v>23200</v>
      </c>
      <c r="F50" s="2946"/>
      <c r="G50" s="2959">
        <v>18580</v>
      </c>
      <c r="N50" s="2946" t="s">
        <v>3038</v>
      </c>
      <c r="Q50" s="2947" t="s">
        <v>3039</v>
      </c>
    </row>
    <row r="51" spans="1:17" ht="14.25" customHeight="1" thickBot="1">
      <c r="A51" s="2946" t="s">
        <v>296</v>
      </c>
      <c r="B51" s="2947" t="s">
        <v>2916</v>
      </c>
      <c r="C51" s="2946">
        <v>23000</v>
      </c>
      <c r="D51" s="2946">
        <v>23460</v>
      </c>
      <c r="E51" s="2946">
        <v>25290</v>
      </c>
      <c r="F51" s="2946"/>
      <c r="G51" s="2959">
        <v>16420</v>
      </c>
      <c r="N51" s="2946" t="s">
        <v>3040</v>
      </c>
      <c r="Q51" s="2953" t="s">
        <v>3041</v>
      </c>
    </row>
    <row r="52" spans="1:17" ht="14.25" customHeight="1">
      <c r="A52" s="2946" t="s">
        <v>296</v>
      </c>
      <c r="B52" s="2947" t="s">
        <v>2920</v>
      </c>
      <c r="C52" s="2946">
        <v>26660</v>
      </c>
      <c r="D52" s="2946">
        <v>22350</v>
      </c>
      <c r="E52" s="2946">
        <v>22920</v>
      </c>
      <c r="F52" s="2946"/>
      <c r="G52" s="2959">
        <v>15640</v>
      </c>
      <c r="N52" s="2946" t="s">
        <v>3042</v>
      </c>
    </row>
    <row r="53" spans="1:17" ht="14.25" customHeight="1">
      <c r="A53" s="2946" t="s">
        <v>296</v>
      </c>
      <c r="B53" s="2947" t="s">
        <v>2925</v>
      </c>
      <c r="C53" s="2946">
        <v>23580</v>
      </c>
      <c r="D53" s="2946"/>
      <c r="E53" s="2946">
        <v>24280</v>
      </c>
      <c r="F53" s="2946"/>
      <c r="G53" s="2959"/>
      <c r="N53" s="2946" t="s">
        <v>3043</v>
      </c>
    </row>
    <row r="54" spans="1:17" ht="14.25" customHeight="1" thickBot="1">
      <c r="A54" s="2960" t="s">
        <v>296</v>
      </c>
      <c r="B54" s="2952" t="s">
        <v>2928</v>
      </c>
      <c r="C54" s="2953">
        <v>22460</v>
      </c>
      <c r="D54" s="2953"/>
      <c r="E54" s="2953"/>
      <c r="F54" s="2953"/>
      <c r="G54" s="2961"/>
      <c r="N54" s="2946" t="s">
        <v>3044</v>
      </c>
    </row>
    <row r="55" spans="1:17" ht="14.25" customHeight="1">
      <c r="A55" s="2951" t="s">
        <v>110</v>
      </c>
      <c r="B55" s="2942" t="s">
        <v>3045</v>
      </c>
      <c r="C55" s="2946">
        <v>21970</v>
      </c>
      <c r="D55" s="2946">
        <v>20370</v>
      </c>
      <c r="E55" s="2946">
        <v>20180</v>
      </c>
      <c r="F55" s="2946">
        <v>5730</v>
      </c>
      <c r="G55" s="2946">
        <v>13820</v>
      </c>
      <c r="N55" s="2946" t="s">
        <v>3046</v>
      </c>
    </row>
    <row r="56" spans="1:17" ht="14.25" customHeight="1">
      <c r="A56" s="2946" t="s">
        <v>110</v>
      </c>
      <c r="B56" s="2946" t="s">
        <v>130</v>
      </c>
      <c r="C56" s="2946">
        <v>20470</v>
      </c>
      <c r="D56" s="2946">
        <v>20700</v>
      </c>
      <c r="E56" s="2946">
        <v>20380</v>
      </c>
      <c r="F56" s="2946">
        <v>4760</v>
      </c>
      <c r="G56" s="2946">
        <v>14050</v>
      </c>
      <c r="N56" s="2946" t="s">
        <v>3047</v>
      </c>
    </row>
    <row r="57" spans="1:17" ht="14.25" customHeight="1">
      <c r="A57" s="2946" t="s">
        <v>110</v>
      </c>
      <c r="B57" s="2946" t="s">
        <v>139</v>
      </c>
      <c r="C57" s="2946">
        <v>20790</v>
      </c>
      <c r="D57" s="2946">
        <v>21370</v>
      </c>
      <c r="E57" s="2946">
        <v>20890</v>
      </c>
      <c r="F57" s="2946">
        <v>4910</v>
      </c>
      <c r="G57" s="2946">
        <v>14510</v>
      </c>
      <c r="N57" s="2946" t="s">
        <v>3048</v>
      </c>
    </row>
    <row r="58" spans="1:17" ht="14.25" customHeight="1">
      <c r="A58" s="2946" t="s">
        <v>110</v>
      </c>
      <c r="B58" s="2946" t="s">
        <v>148</v>
      </c>
      <c r="C58" s="2946">
        <v>21460</v>
      </c>
      <c r="D58" s="2946">
        <v>20920</v>
      </c>
      <c r="E58" s="2946">
        <v>23410</v>
      </c>
      <c r="F58" s="2946">
        <v>5100</v>
      </c>
      <c r="G58" s="2946">
        <v>14200</v>
      </c>
      <c r="N58" s="2946" t="s">
        <v>3049</v>
      </c>
    </row>
    <row r="59" spans="1:17" ht="14.25" customHeight="1">
      <c r="A59" s="2946" t="s">
        <v>110</v>
      </c>
      <c r="B59" s="2946" t="s">
        <v>157</v>
      </c>
      <c r="C59" s="2946">
        <v>21000</v>
      </c>
      <c r="D59" s="2946">
        <v>21550</v>
      </c>
      <c r="E59" s="2946">
        <v>21150</v>
      </c>
      <c r="F59" s="2946">
        <v>5250</v>
      </c>
      <c r="G59" s="2946">
        <v>14630</v>
      </c>
      <c r="N59" s="2946" t="s">
        <v>3050</v>
      </c>
    </row>
    <row r="60" spans="1:17" ht="14.25" customHeight="1">
      <c r="A60" s="2946" t="s">
        <v>110</v>
      </c>
      <c r="B60" s="2946" t="s">
        <v>164</v>
      </c>
      <c r="C60" s="2946">
        <v>21640</v>
      </c>
      <c r="D60" s="2946">
        <v>21260</v>
      </c>
      <c r="E60" s="2946">
        <v>24040</v>
      </c>
      <c r="F60" s="2946">
        <v>4470</v>
      </c>
      <c r="G60" s="2946">
        <v>14430</v>
      </c>
      <c r="N60" s="2946" t="s">
        <v>3051</v>
      </c>
    </row>
    <row r="61" spans="1:17" ht="14.25" customHeight="1">
      <c r="A61" s="2946" t="s">
        <v>110</v>
      </c>
      <c r="B61" s="2946" t="s">
        <v>170</v>
      </c>
      <c r="C61" s="2946">
        <v>21330</v>
      </c>
      <c r="D61" s="2946">
        <v>18640</v>
      </c>
      <c r="E61" s="2946">
        <v>21190</v>
      </c>
      <c r="F61" s="2946">
        <v>4180</v>
      </c>
      <c r="G61" s="2946">
        <v>12650</v>
      </c>
      <c r="N61" s="2946" t="s">
        <v>3052</v>
      </c>
    </row>
    <row r="62" spans="1:17" ht="14.25" customHeight="1">
      <c r="A62" s="2946" t="s">
        <v>110</v>
      </c>
      <c r="B62" s="2946" t="s">
        <v>177</v>
      </c>
      <c r="C62" s="2946">
        <v>18710</v>
      </c>
      <c r="D62" s="2946">
        <v>19400</v>
      </c>
      <c r="E62" s="2946">
        <v>23750</v>
      </c>
      <c r="F62" s="2946">
        <v>4860</v>
      </c>
      <c r="G62" s="2946">
        <v>13170</v>
      </c>
      <c r="N62" s="2946" t="s">
        <v>3053</v>
      </c>
    </row>
    <row r="63" spans="1:17" ht="14.25" customHeight="1">
      <c r="A63" s="2946" t="s">
        <v>110</v>
      </c>
      <c r="B63" s="2946" t="s">
        <v>187</v>
      </c>
      <c r="C63" s="2946">
        <v>19480</v>
      </c>
      <c r="D63" s="2946">
        <v>16830</v>
      </c>
      <c r="E63" s="2946">
        <v>21590</v>
      </c>
      <c r="F63" s="2946">
        <v>4560</v>
      </c>
      <c r="G63" s="2946">
        <v>11420</v>
      </c>
      <c r="N63" s="2946" t="s">
        <v>3054</v>
      </c>
    </row>
    <row r="64" spans="1:17" ht="14.25" customHeight="1" thickBot="1">
      <c r="A64" s="2946" t="s">
        <v>110</v>
      </c>
      <c r="B64" s="2946" t="s">
        <v>196</v>
      </c>
      <c r="C64" s="2946">
        <v>16920</v>
      </c>
      <c r="D64" s="2946">
        <v>19190</v>
      </c>
      <c r="E64" s="2946">
        <v>22200</v>
      </c>
      <c r="F64" s="2946">
        <v>4390</v>
      </c>
      <c r="G64" s="2946">
        <v>13030</v>
      </c>
      <c r="N64" s="2953" t="s">
        <v>3055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2926</v>
      </c>
      <c r="C78" s="2946">
        <v>19820</v>
      </c>
      <c r="D78" s="2946">
        <v>19780</v>
      </c>
      <c r="E78" s="2946">
        <v>18560</v>
      </c>
      <c r="F78" s="2946"/>
      <c r="G78" s="2946">
        <v>13430</v>
      </c>
    </row>
    <row r="79" spans="1:7" s="2780" customFormat="1" ht="14.25" customHeight="1">
      <c r="A79" s="2946" t="s">
        <v>110</v>
      </c>
      <c r="B79" s="2946" t="s">
        <v>2929</v>
      </c>
      <c r="C79" s="2946">
        <v>21660</v>
      </c>
      <c r="D79" s="2946">
        <v>18000</v>
      </c>
      <c r="E79" s="2946">
        <v>22570</v>
      </c>
      <c r="F79" s="2946"/>
      <c r="G79" s="2946">
        <v>12220</v>
      </c>
    </row>
    <row r="80" spans="1:7" s="2780" customFormat="1" ht="14.25" customHeight="1">
      <c r="A80" s="2946" t="s">
        <v>110</v>
      </c>
      <c r="B80" s="2946" t="s">
        <v>2933</v>
      </c>
      <c r="C80" s="2946">
        <v>19850</v>
      </c>
      <c r="D80" s="2946"/>
      <c r="E80" s="2946">
        <v>21700</v>
      </c>
      <c r="F80" s="2946"/>
      <c r="G80" s="2946"/>
    </row>
    <row r="81" spans="1:7" s="2780" customFormat="1" ht="14.25" customHeight="1">
      <c r="A81" s="2946" t="s">
        <v>110</v>
      </c>
      <c r="B81" s="2946" t="s">
        <v>2938</v>
      </c>
      <c r="C81" s="2946">
        <v>18080</v>
      </c>
      <c r="D81" s="2946"/>
      <c r="E81" s="2946">
        <v>20900</v>
      </c>
      <c r="F81" s="2946"/>
      <c r="G81" s="2946"/>
    </row>
    <row r="82" spans="1:7" s="2780" customFormat="1" ht="14.25" customHeight="1">
      <c r="A82" s="2946" t="s">
        <v>110</v>
      </c>
      <c r="B82" s="2946" t="s">
        <v>2945</v>
      </c>
      <c r="C82" s="2946"/>
      <c r="D82" s="2946"/>
      <c r="E82" s="2946">
        <v>20840</v>
      </c>
      <c r="F82" s="2946"/>
      <c r="G82" s="2946"/>
    </row>
    <row r="83" spans="1:7" s="2780" customFormat="1" ht="14.25" customHeight="1">
      <c r="A83" s="2946" t="s">
        <v>110</v>
      </c>
      <c r="B83" s="2946" t="s">
        <v>3056</v>
      </c>
      <c r="C83" s="2946"/>
      <c r="D83" s="2946"/>
      <c r="E83" s="2946"/>
      <c r="F83" s="2946">
        <v>4770</v>
      </c>
      <c r="G83" s="2946"/>
    </row>
    <row r="84" spans="1:7" s="2780" customFormat="1" ht="14.25" customHeight="1">
      <c r="A84" s="2946" t="s">
        <v>110</v>
      </c>
      <c r="B84" s="2946" t="s">
        <v>3057</v>
      </c>
      <c r="C84" s="2946"/>
      <c r="D84" s="2946"/>
      <c r="E84" s="2946"/>
      <c r="F84" s="2946">
        <v>4600</v>
      </c>
      <c r="G84" s="2946"/>
    </row>
    <row r="85" spans="1:7" s="2780" customFormat="1" ht="14.25" customHeight="1">
      <c r="A85" s="2946" t="s">
        <v>110</v>
      </c>
      <c r="B85" s="2946" t="s">
        <v>3058</v>
      </c>
      <c r="C85" s="2946"/>
      <c r="D85" s="2946"/>
      <c r="E85" s="2946"/>
      <c r="F85" s="2946">
        <v>4680</v>
      </c>
      <c r="G85" s="2946"/>
    </row>
    <row r="86" spans="1:7" s="2780" customFormat="1" ht="14.25" customHeight="1" thickBot="1">
      <c r="A86" s="2954" t="s">
        <v>110</v>
      </c>
      <c r="B86" s="2956" t="s">
        <v>3059</v>
      </c>
      <c r="C86" s="2957">
        <v>16610</v>
      </c>
      <c r="D86" s="2957">
        <v>16540</v>
      </c>
      <c r="E86" s="2957">
        <v>18850</v>
      </c>
      <c r="F86" s="2957"/>
      <c r="G86" s="2957">
        <v>11220</v>
      </c>
    </row>
    <row r="87" spans="1:7" s="2780" customFormat="1" ht="14.25" customHeight="1">
      <c r="A87" s="2951" t="s">
        <v>303</v>
      </c>
      <c r="B87" s="2942" t="s">
        <v>3060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2939</v>
      </c>
      <c r="C113" s="2946">
        <v>15520</v>
      </c>
      <c r="D113" s="2946">
        <v>15450</v>
      </c>
      <c r="E113" s="2946"/>
      <c r="F113" s="2946"/>
      <c r="G113" s="2959">
        <v>10210</v>
      </c>
    </row>
    <row r="114" spans="1:7" s="2780" customFormat="1" ht="14.25" customHeight="1">
      <c r="A114" s="2946" t="s">
        <v>303</v>
      </c>
      <c r="B114" s="2946" t="s">
        <v>2946</v>
      </c>
      <c r="C114" s="2946">
        <v>13110</v>
      </c>
      <c r="D114" s="2946">
        <v>13050</v>
      </c>
      <c r="E114" s="2946"/>
      <c r="F114" s="2946"/>
      <c r="G114" s="2959">
        <v>8620</v>
      </c>
    </row>
    <row r="115" spans="1:7" s="2780" customFormat="1" ht="14.25" customHeight="1">
      <c r="A115" s="2946" t="s">
        <v>303</v>
      </c>
      <c r="B115" s="2946" t="s">
        <v>2952</v>
      </c>
      <c r="C115" s="2946">
        <v>12460</v>
      </c>
      <c r="D115" s="2946">
        <v>12390</v>
      </c>
      <c r="E115" s="2946"/>
      <c r="F115" s="2946"/>
      <c r="G115" s="2959">
        <v>8190</v>
      </c>
    </row>
    <row r="116" spans="1:7" s="2780" customFormat="1" ht="14.25" customHeight="1">
      <c r="A116" s="2946" t="s">
        <v>303</v>
      </c>
      <c r="B116" s="2946" t="s">
        <v>2959</v>
      </c>
      <c r="C116" s="2946">
        <v>13580</v>
      </c>
      <c r="D116" s="2946">
        <v>13520</v>
      </c>
      <c r="E116" s="2946"/>
      <c r="F116" s="2946"/>
      <c r="G116" s="2959">
        <v>8930</v>
      </c>
    </row>
    <row r="117" spans="1:7" s="2780" customFormat="1" ht="14.25" customHeight="1">
      <c r="A117" s="2946" t="s">
        <v>303</v>
      </c>
      <c r="B117" s="2946" t="s">
        <v>2966</v>
      </c>
      <c r="C117" s="2946">
        <v>17120</v>
      </c>
      <c r="D117" s="2946">
        <v>17040</v>
      </c>
      <c r="E117" s="2946"/>
      <c r="F117" s="2946"/>
      <c r="G117" s="2959">
        <v>11260</v>
      </c>
    </row>
    <row r="118" spans="1:7" s="2780" customFormat="1" ht="14.25" customHeight="1">
      <c r="A118" s="2946" t="s">
        <v>303</v>
      </c>
      <c r="B118" s="2946" t="s">
        <v>2971</v>
      </c>
      <c r="C118" s="2946">
        <v>14860</v>
      </c>
      <c r="D118" s="2946">
        <v>14790</v>
      </c>
      <c r="E118" s="2946"/>
      <c r="F118" s="2946"/>
      <c r="G118" s="2959">
        <v>9780</v>
      </c>
    </row>
    <row r="119" spans="1:7" s="2780" customFormat="1" ht="14.25" customHeight="1">
      <c r="A119" s="2946" t="s">
        <v>303</v>
      </c>
      <c r="B119" s="2946" t="s">
        <v>2975</v>
      </c>
      <c r="C119" s="2946">
        <v>16470</v>
      </c>
      <c r="D119" s="2946">
        <v>16400</v>
      </c>
      <c r="E119" s="2946"/>
      <c r="F119" s="2946"/>
      <c r="G119" s="2959">
        <v>10840</v>
      </c>
    </row>
    <row r="120" spans="1:7" s="2780" customFormat="1" ht="14.25" customHeight="1">
      <c r="A120" s="2946" t="s">
        <v>303</v>
      </c>
      <c r="B120" s="2946" t="s">
        <v>3061</v>
      </c>
      <c r="C120" s="2946"/>
      <c r="D120" s="2946"/>
      <c r="E120" s="2946"/>
      <c r="F120" s="2946">
        <v>4160</v>
      </c>
      <c r="G120" s="2959"/>
    </row>
    <row r="121" spans="1:7" s="2780" customFormat="1" ht="14.25" customHeight="1">
      <c r="A121" s="2946" t="s">
        <v>303</v>
      </c>
      <c r="B121" s="2946" t="s">
        <v>3062</v>
      </c>
      <c r="C121" s="2946"/>
      <c r="D121" s="2946"/>
      <c r="E121" s="2946"/>
      <c r="F121" s="2946">
        <v>3880</v>
      </c>
      <c r="G121" s="2959"/>
    </row>
    <row r="122" spans="1:7" s="2780" customFormat="1" ht="14.25" customHeight="1">
      <c r="A122" s="2946" t="s">
        <v>303</v>
      </c>
      <c r="B122" s="2946" t="s">
        <v>3063</v>
      </c>
      <c r="C122" s="2946">
        <v>13750</v>
      </c>
      <c r="D122" s="2946">
        <v>13680</v>
      </c>
      <c r="E122" s="2946">
        <v>16460</v>
      </c>
      <c r="F122" s="2946">
        <v>2880</v>
      </c>
      <c r="G122" s="2959">
        <v>9040</v>
      </c>
    </row>
    <row r="123" spans="1:7" s="2780" customFormat="1" ht="14.25" customHeight="1">
      <c r="A123" s="2946" t="s">
        <v>303</v>
      </c>
      <c r="B123" s="2946" t="s">
        <v>2994</v>
      </c>
      <c r="C123" s="2946">
        <v>13590</v>
      </c>
      <c r="D123" s="2946">
        <v>13520</v>
      </c>
      <c r="E123" s="2946">
        <v>16290</v>
      </c>
      <c r="F123" s="2946">
        <v>2790</v>
      </c>
      <c r="G123" s="2959">
        <v>8930</v>
      </c>
    </row>
    <row r="124" spans="1:7" s="2780" customFormat="1" ht="14.25" customHeight="1">
      <c r="A124" s="2946" t="s">
        <v>303</v>
      </c>
      <c r="B124" s="2946" t="s">
        <v>2999</v>
      </c>
      <c r="C124" s="2946">
        <v>13400</v>
      </c>
      <c r="D124" s="2946">
        <v>13320</v>
      </c>
      <c r="E124" s="2946">
        <v>16100</v>
      </c>
      <c r="F124" s="2946">
        <v>2320</v>
      </c>
      <c r="G124" s="2959">
        <v>8800</v>
      </c>
    </row>
    <row r="125" spans="1:7" s="2780" customFormat="1" ht="14.25" customHeight="1">
      <c r="A125" s="2946" t="s">
        <v>303</v>
      </c>
      <c r="B125" s="2946" t="s">
        <v>3004</v>
      </c>
      <c r="C125" s="2946">
        <v>12860</v>
      </c>
      <c r="D125" s="2946">
        <v>12790</v>
      </c>
      <c r="E125" s="2946">
        <v>15370</v>
      </c>
      <c r="F125" s="2946">
        <v>2280</v>
      </c>
      <c r="G125" s="2959">
        <v>8450</v>
      </c>
    </row>
    <row r="126" spans="1:7" s="2780" customFormat="1" ht="14.25" customHeight="1" thickBot="1">
      <c r="A126" s="2960" t="s">
        <v>303</v>
      </c>
      <c r="B126" s="2953" t="s">
        <v>3009</v>
      </c>
      <c r="C126" s="2953">
        <v>12960</v>
      </c>
      <c r="D126" s="2953">
        <v>12890</v>
      </c>
      <c r="E126" s="2953">
        <v>15530</v>
      </c>
      <c r="F126" s="2953">
        <v>2910</v>
      </c>
      <c r="G126" s="2961">
        <v>8520</v>
      </c>
    </row>
    <row r="127" spans="1:7" s="2780" customFormat="1" ht="14.25" customHeight="1">
      <c r="A127" s="2951" t="s">
        <v>29</v>
      </c>
      <c r="B127" s="2942" t="s">
        <v>3064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3065</v>
      </c>
      <c r="C148" s="2946">
        <v>10370</v>
      </c>
      <c r="D148" s="2946">
        <v>10310</v>
      </c>
      <c r="E148" s="2946">
        <v>12970</v>
      </c>
      <c r="F148" s="2946"/>
      <c r="G148" s="2946">
        <v>6630</v>
      </c>
    </row>
    <row r="149" spans="1:7" s="2780" customFormat="1" ht="14.25" customHeight="1">
      <c r="A149" s="2946" t="s">
        <v>29</v>
      </c>
      <c r="B149" s="2946" t="s">
        <v>3066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2940</v>
      </c>
      <c r="C153" s="2946">
        <v>10880</v>
      </c>
      <c r="D153" s="2946">
        <v>10820</v>
      </c>
      <c r="E153" s="2946">
        <v>13660</v>
      </c>
      <c r="F153" s="2946">
        <v>2260</v>
      </c>
      <c r="G153" s="2946">
        <v>6970</v>
      </c>
    </row>
    <row r="154" spans="1:7" s="2780" customFormat="1" ht="14.25" customHeight="1">
      <c r="A154" s="2946" t="s">
        <v>29</v>
      </c>
      <c r="B154" s="2946" t="s">
        <v>3067</v>
      </c>
      <c r="C154" s="2946">
        <v>11220</v>
      </c>
      <c r="D154" s="2946">
        <v>11160</v>
      </c>
      <c r="E154" s="2946">
        <v>14130</v>
      </c>
      <c r="F154" s="2946">
        <v>2230</v>
      </c>
      <c r="G154" s="2946">
        <v>7180</v>
      </c>
    </row>
    <row r="155" spans="1:7" s="2780" customFormat="1" ht="14.25" customHeight="1">
      <c r="A155" s="2946" t="s">
        <v>29</v>
      </c>
      <c r="B155" s="2946" t="s">
        <v>2953</v>
      </c>
      <c r="C155" s="2946">
        <v>10430</v>
      </c>
      <c r="D155" s="2946">
        <v>10380</v>
      </c>
      <c r="E155" s="2946">
        <v>13140</v>
      </c>
      <c r="F155" s="2946">
        <v>2080</v>
      </c>
      <c r="G155" s="2946">
        <v>6650</v>
      </c>
    </row>
    <row r="156" spans="1:7" s="2780" customFormat="1" ht="14.25" customHeight="1">
      <c r="A156" s="2946" t="s">
        <v>29</v>
      </c>
      <c r="B156" s="2946" t="s">
        <v>3068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3069</v>
      </c>
      <c r="C160" s="2946">
        <v>11180</v>
      </c>
      <c r="D160" s="2946">
        <v>11140</v>
      </c>
      <c r="E160" s="2946">
        <v>14050</v>
      </c>
      <c r="F160" s="2946">
        <v>2270</v>
      </c>
      <c r="G160" s="2946">
        <v>7170</v>
      </c>
    </row>
    <row r="161" spans="1:7" s="2780" customFormat="1" ht="14.25" customHeight="1">
      <c r="A161" s="2946" t="s">
        <v>29</v>
      </c>
      <c r="B161" s="2946" t="s">
        <v>2985</v>
      </c>
      <c r="C161" s="2946">
        <v>11160</v>
      </c>
      <c r="D161" s="2946">
        <v>11120</v>
      </c>
      <c r="E161" s="2946">
        <v>14020</v>
      </c>
      <c r="F161" s="2946">
        <v>2150</v>
      </c>
      <c r="G161" s="2946">
        <v>7160</v>
      </c>
    </row>
    <row r="162" spans="1:7" s="2780" customFormat="1" ht="14.25" customHeight="1">
      <c r="A162" s="2946" t="s">
        <v>29</v>
      </c>
      <c r="B162" s="2946" t="s">
        <v>2990</v>
      </c>
      <c r="C162" s="2946">
        <v>9620</v>
      </c>
      <c r="D162" s="2946">
        <v>9570</v>
      </c>
      <c r="E162" s="2946">
        <v>12320</v>
      </c>
      <c r="F162" s="2946">
        <v>2010</v>
      </c>
      <c r="G162" s="2946">
        <v>6160</v>
      </c>
    </row>
    <row r="163" spans="1:7" s="2780" customFormat="1" ht="14.25" customHeight="1">
      <c r="A163" s="2946" t="s">
        <v>29</v>
      </c>
      <c r="B163" s="2946" t="s">
        <v>2995</v>
      </c>
      <c r="C163" s="2946">
        <v>9320</v>
      </c>
      <c r="D163" s="2946">
        <v>9270</v>
      </c>
      <c r="E163" s="2946">
        <v>11790</v>
      </c>
      <c r="F163" s="2946">
        <v>1920</v>
      </c>
      <c r="G163" s="2946">
        <v>5960</v>
      </c>
    </row>
    <row r="164" spans="1:7" s="2780" customFormat="1" ht="14.25" customHeight="1">
      <c r="A164" s="2946" t="s">
        <v>29</v>
      </c>
      <c r="B164" s="2946" t="s">
        <v>3000</v>
      </c>
      <c r="C164" s="2946"/>
      <c r="D164" s="2946"/>
      <c r="E164" s="2946"/>
      <c r="F164" s="2946">
        <v>1980</v>
      </c>
      <c r="G164" s="2946"/>
    </row>
    <row r="165" spans="1:7" s="2780" customFormat="1" ht="14.25" customHeight="1">
      <c r="A165" s="2946" t="s">
        <v>29</v>
      </c>
      <c r="B165" s="2946" t="s">
        <v>3070</v>
      </c>
      <c r="C165" s="2946">
        <v>11060</v>
      </c>
      <c r="D165" s="2946">
        <v>11030</v>
      </c>
      <c r="E165" s="2946">
        <v>13850</v>
      </c>
      <c r="F165" s="2946">
        <v>2170</v>
      </c>
      <c r="G165" s="2946">
        <v>7090</v>
      </c>
    </row>
    <row r="166" spans="1:7" s="2780" customFormat="1" ht="14.25" customHeight="1">
      <c r="A166" s="2946" t="s">
        <v>29</v>
      </c>
      <c r="B166" s="2946" t="s">
        <v>3010</v>
      </c>
      <c r="C166" s="2946">
        <v>11050</v>
      </c>
      <c r="D166" s="2946">
        <v>11010</v>
      </c>
      <c r="E166" s="2946">
        <v>13920</v>
      </c>
      <c r="F166" s="2946">
        <v>2140</v>
      </c>
      <c r="G166" s="2946">
        <v>7080</v>
      </c>
    </row>
    <row r="167" spans="1:7" s="2780" customFormat="1" ht="14.25" customHeight="1">
      <c r="A167" s="2946" t="s">
        <v>29</v>
      </c>
      <c r="B167" s="2946" t="s">
        <v>3014</v>
      </c>
      <c r="C167" s="2946">
        <v>10930</v>
      </c>
      <c r="D167" s="2946">
        <v>10890</v>
      </c>
      <c r="E167" s="2946">
        <v>13790</v>
      </c>
      <c r="F167" s="2946">
        <v>2010</v>
      </c>
      <c r="G167" s="2946">
        <v>7000</v>
      </c>
    </row>
    <row r="168" spans="1:7" s="2780" customFormat="1" ht="14.25" customHeight="1">
      <c r="A168" s="2946" t="s">
        <v>29</v>
      </c>
      <c r="B168" s="2946" t="s">
        <v>3019</v>
      </c>
      <c r="C168" s="2946">
        <v>9420</v>
      </c>
      <c r="D168" s="2946">
        <v>9380</v>
      </c>
      <c r="E168" s="2946">
        <v>11970</v>
      </c>
      <c r="F168" s="2946"/>
      <c r="G168" s="2946">
        <v>6040</v>
      </c>
    </row>
    <row r="169" spans="1:7" s="2780" customFormat="1" ht="14.25" customHeight="1">
      <c r="A169" s="2946" t="s">
        <v>29</v>
      </c>
      <c r="B169" s="2946" t="s">
        <v>3071</v>
      </c>
      <c r="C169" s="2946"/>
      <c r="D169" s="2946"/>
      <c r="E169" s="2946"/>
      <c r="F169" s="2946">
        <v>2880</v>
      </c>
      <c r="G169" s="2946"/>
    </row>
    <row r="170" spans="1:7" s="2780" customFormat="1" ht="14.25" customHeight="1">
      <c r="A170" s="2946" t="s">
        <v>29</v>
      </c>
      <c r="B170" s="2946" t="s">
        <v>3027</v>
      </c>
      <c r="C170" s="2946"/>
      <c r="D170" s="2946"/>
      <c r="E170" s="2946"/>
      <c r="F170" s="2946">
        <v>2880</v>
      </c>
      <c r="G170" s="2946"/>
    </row>
    <row r="171" spans="1:7" s="2780" customFormat="1" ht="14.25" customHeight="1">
      <c r="A171" s="2946" t="s">
        <v>29</v>
      </c>
      <c r="B171" s="2946" t="s">
        <v>3030</v>
      </c>
      <c r="C171" s="2946"/>
      <c r="D171" s="2946"/>
      <c r="E171" s="2946"/>
      <c r="F171" s="2946">
        <v>2880</v>
      </c>
      <c r="G171" s="2946"/>
    </row>
    <row r="172" spans="1:7" s="2780" customFormat="1" ht="14.25" customHeight="1">
      <c r="A172" s="2946" t="s">
        <v>29</v>
      </c>
      <c r="B172" s="2946" t="s">
        <v>3032</v>
      </c>
      <c r="C172" s="2946"/>
      <c r="D172" s="2946"/>
      <c r="E172" s="2946"/>
      <c r="F172" s="2946">
        <v>2880</v>
      </c>
      <c r="G172" s="2946"/>
    </row>
    <row r="173" spans="1:7" s="2780" customFormat="1" ht="14.25" customHeight="1">
      <c r="A173" s="2946" t="s">
        <v>29</v>
      </c>
      <c r="B173" s="2946" t="s">
        <v>3034</v>
      </c>
      <c r="C173" s="2946"/>
      <c r="D173" s="2946"/>
      <c r="E173" s="2946"/>
      <c r="F173" s="2946">
        <v>2150</v>
      </c>
      <c r="G173" s="2946"/>
    </row>
    <row r="174" spans="1:7" s="2780" customFormat="1" ht="14.25" customHeight="1">
      <c r="A174" s="2946" t="s">
        <v>29</v>
      </c>
      <c r="B174" s="2946" t="s">
        <v>3036</v>
      </c>
      <c r="C174" s="2946"/>
      <c r="D174" s="2946"/>
      <c r="E174" s="2946"/>
      <c r="F174" s="2946">
        <v>2030</v>
      </c>
      <c r="G174" s="2946"/>
    </row>
    <row r="175" spans="1:7" s="2780" customFormat="1" ht="14.25" customHeight="1">
      <c r="A175" s="2946" t="s">
        <v>29</v>
      </c>
      <c r="B175" s="2946" t="s">
        <v>3038</v>
      </c>
      <c r="C175" s="2946"/>
      <c r="D175" s="2946"/>
      <c r="E175" s="2946"/>
      <c r="F175" s="2946">
        <v>2780</v>
      </c>
      <c r="G175" s="2946"/>
    </row>
    <row r="176" spans="1:7" s="2780" customFormat="1" ht="14.25" customHeight="1">
      <c r="A176" s="2946" t="s">
        <v>29</v>
      </c>
      <c r="B176" s="2946" t="s">
        <v>3040</v>
      </c>
      <c r="C176" s="2946"/>
      <c r="D176" s="2946"/>
      <c r="E176" s="2946"/>
      <c r="F176" s="2946">
        <v>2780</v>
      </c>
      <c r="G176" s="2946"/>
    </row>
    <row r="177" spans="1:7" s="2780" customFormat="1" ht="14.25" customHeight="1">
      <c r="A177" s="2946" t="s">
        <v>29</v>
      </c>
      <c r="B177" s="2946" t="s">
        <v>3072</v>
      </c>
      <c r="C177" s="2946"/>
      <c r="D177" s="2946"/>
      <c r="E177" s="2946"/>
      <c r="F177" s="2946">
        <v>2780</v>
      </c>
      <c r="G177" s="2946"/>
    </row>
    <row r="178" spans="1:7" s="2780" customFormat="1" ht="14.25" customHeight="1">
      <c r="A178" s="2946" t="s">
        <v>29</v>
      </c>
      <c r="B178" s="2946" t="s">
        <v>3073</v>
      </c>
      <c r="C178" s="2946"/>
      <c r="D178" s="2946"/>
      <c r="E178" s="2946"/>
      <c r="F178" s="2946">
        <v>2060</v>
      </c>
      <c r="G178" s="2946"/>
    </row>
    <row r="179" spans="1:7" s="2780" customFormat="1" ht="14.25" customHeight="1">
      <c r="A179" s="2946" t="s">
        <v>29</v>
      </c>
      <c r="B179" s="2946" t="s">
        <v>3074</v>
      </c>
      <c r="C179" s="2946"/>
      <c r="D179" s="2946"/>
      <c r="E179" s="2946"/>
      <c r="F179" s="2946">
        <v>2120</v>
      </c>
      <c r="G179" s="2946"/>
    </row>
    <row r="180" spans="1:7" s="2780" customFormat="1" ht="14.25" customHeight="1">
      <c r="A180" s="2946" t="s">
        <v>29</v>
      </c>
      <c r="B180" s="2946" t="s">
        <v>3046</v>
      </c>
      <c r="C180" s="2946"/>
      <c r="D180" s="2946"/>
      <c r="E180" s="2946"/>
      <c r="F180" s="2946">
        <v>2340</v>
      </c>
      <c r="G180" s="2946"/>
    </row>
    <row r="181" spans="1:7" s="2780" customFormat="1" ht="14.25" customHeight="1">
      <c r="A181" s="2946" t="s">
        <v>29</v>
      </c>
      <c r="B181" s="2946" t="s">
        <v>3047</v>
      </c>
      <c r="C181" s="2946"/>
      <c r="D181" s="2946"/>
      <c r="E181" s="2946"/>
      <c r="F181" s="2946">
        <v>2340</v>
      </c>
      <c r="G181" s="2946"/>
    </row>
    <row r="182" spans="1:7" s="2780" customFormat="1" ht="14.25" customHeight="1">
      <c r="A182" s="2946" t="s">
        <v>29</v>
      </c>
      <c r="B182" s="2946" t="s">
        <v>3048</v>
      </c>
      <c r="C182" s="2946"/>
      <c r="D182" s="2946"/>
      <c r="E182" s="2946"/>
      <c r="F182" s="2946">
        <v>2340</v>
      </c>
      <c r="G182" s="2946"/>
    </row>
    <row r="183" spans="1:7" s="2780" customFormat="1" ht="14.25" customHeight="1">
      <c r="A183" s="2946" t="s">
        <v>29</v>
      </c>
      <c r="B183" s="2946" t="s">
        <v>3049</v>
      </c>
      <c r="C183" s="2946"/>
      <c r="D183" s="2946"/>
      <c r="E183" s="2946"/>
      <c r="F183" s="2946">
        <v>2340</v>
      </c>
      <c r="G183" s="2946"/>
    </row>
    <row r="184" spans="1:7" s="2780" customFormat="1" ht="14.25" customHeight="1">
      <c r="A184" s="2946" t="s">
        <v>29</v>
      </c>
      <c r="B184" s="2946" t="s">
        <v>3050</v>
      </c>
      <c r="C184" s="2946"/>
      <c r="D184" s="2946"/>
      <c r="E184" s="2946"/>
      <c r="F184" s="2946">
        <v>2340</v>
      </c>
      <c r="G184" s="2946"/>
    </row>
    <row r="185" spans="1:7" s="2780" customFormat="1" ht="14.25" customHeight="1">
      <c r="A185" s="2946" t="s">
        <v>29</v>
      </c>
      <c r="B185" s="2946" t="s">
        <v>3051</v>
      </c>
      <c r="C185" s="2946"/>
      <c r="D185" s="2946"/>
      <c r="E185" s="2946"/>
      <c r="F185" s="2946">
        <v>2530</v>
      </c>
      <c r="G185" s="2946"/>
    </row>
    <row r="186" spans="1:7" s="2780" customFormat="1" ht="14.25" customHeight="1">
      <c r="A186" s="2946" t="s">
        <v>29</v>
      </c>
      <c r="B186" s="2946" t="s">
        <v>3052</v>
      </c>
      <c r="C186" s="2946"/>
      <c r="D186" s="2946"/>
      <c r="E186" s="2946"/>
      <c r="F186" s="2946">
        <v>2550</v>
      </c>
      <c r="G186" s="2946"/>
    </row>
    <row r="187" spans="1:7" s="2780" customFormat="1" ht="14.25" customHeight="1">
      <c r="A187" s="2946" t="s">
        <v>29</v>
      </c>
      <c r="B187" s="2946" t="s">
        <v>3053</v>
      </c>
      <c r="C187" s="2946"/>
      <c r="D187" s="2946"/>
      <c r="E187" s="2946"/>
      <c r="F187" s="2946">
        <v>2070</v>
      </c>
      <c r="G187" s="2946"/>
    </row>
    <row r="188" spans="1:7" s="2780" customFormat="1" ht="14.25" customHeight="1">
      <c r="A188" s="2946" t="s">
        <v>29</v>
      </c>
      <c r="B188" s="2946" t="s">
        <v>3054</v>
      </c>
      <c r="C188" s="2946"/>
      <c r="D188" s="2946"/>
      <c r="E188" s="2946"/>
      <c r="F188" s="2946">
        <v>2340</v>
      </c>
      <c r="G188" s="2946"/>
    </row>
    <row r="189" spans="1:7" s="2780" customFormat="1" ht="14.25" customHeight="1" thickBot="1">
      <c r="A189" s="2954" t="s">
        <v>29</v>
      </c>
      <c r="B189" s="2957" t="s">
        <v>3055</v>
      </c>
      <c r="C189" s="2957"/>
      <c r="D189" s="2957"/>
      <c r="E189" s="2957"/>
      <c r="F189" s="2957">
        <v>2050</v>
      </c>
      <c r="G189" s="2957"/>
    </row>
    <row r="190" spans="1:7" s="2780" customFormat="1" ht="14.25" customHeight="1">
      <c r="A190" s="2951" t="s">
        <v>304</v>
      </c>
      <c r="B190" s="2942" t="s">
        <v>3075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3076</v>
      </c>
      <c r="C199" s="2946">
        <v>8690</v>
      </c>
      <c r="D199" s="2946">
        <v>8630</v>
      </c>
      <c r="E199" s="2946">
        <v>11350</v>
      </c>
      <c r="F199" s="2946">
        <v>1600</v>
      </c>
      <c r="G199" s="2959">
        <v>5450</v>
      </c>
    </row>
    <row r="200" spans="1:7" s="2780" customFormat="1" ht="14.25" customHeight="1">
      <c r="A200" s="2946" t="s">
        <v>304</v>
      </c>
      <c r="B200" s="2946" t="s">
        <v>2887</v>
      </c>
      <c r="C200" s="2946"/>
      <c r="D200" s="2946"/>
      <c r="E200" s="2946"/>
      <c r="F200" s="2946">
        <v>1510</v>
      </c>
      <c r="G200" s="2959"/>
    </row>
    <row r="201" spans="1:7" s="2780" customFormat="1" ht="14.25" customHeight="1">
      <c r="A201" s="2946" t="s">
        <v>304</v>
      </c>
      <c r="B201" s="2946" t="s">
        <v>3077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3078</v>
      </c>
      <c r="C203" s="2946">
        <v>8130</v>
      </c>
      <c r="D203" s="2946">
        <v>8070</v>
      </c>
      <c r="E203" s="2946">
        <v>10820</v>
      </c>
      <c r="F203" s="2946">
        <v>1690</v>
      </c>
      <c r="G203" s="2959">
        <v>5100</v>
      </c>
    </row>
    <row r="204" spans="1:7" s="2780" customFormat="1" ht="14.25" customHeight="1">
      <c r="A204" s="2946" t="s">
        <v>304</v>
      </c>
      <c r="B204" s="2946" t="s">
        <v>2898</v>
      </c>
      <c r="C204" s="2946">
        <v>8350</v>
      </c>
      <c r="D204" s="2946">
        <v>8290</v>
      </c>
      <c r="E204" s="2946">
        <v>11080</v>
      </c>
      <c r="F204" s="2946">
        <v>1450</v>
      </c>
      <c r="G204" s="2959">
        <v>5240</v>
      </c>
    </row>
    <row r="205" spans="1:7" s="2780" customFormat="1" ht="14.25" customHeight="1">
      <c r="A205" s="2946" t="s">
        <v>304</v>
      </c>
      <c r="B205" s="2946" t="s">
        <v>2900</v>
      </c>
      <c r="C205" s="2946">
        <v>7190</v>
      </c>
      <c r="D205" s="2946">
        <v>7130</v>
      </c>
      <c r="E205" s="2946">
        <v>9490</v>
      </c>
      <c r="F205" s="2946">
        <v>1470</v>
      </c>
      <c r="G205" s="2959">
        <v>4510</v>
      </c>
    </row>
    <row r="206" spans="1:7" s="2780" customFormat="1" ht="14.25" customHeight="1">
      <c r="A206" s="2946" t="s">
        <v>304</v>
      </c>
      <c r="B206" s="2946" t="s">
        <v>2903</v>
      </c>
      <c r="C206" s="2946">
        <v>7000</v>
      </c>
      <c r="D206" s="2946">
        <v>6950</v>
      </c>
      <c r="E206" s="2946">
        <v>9170</v>
      </c>
      <c r="F206" s="2946">
        <v>1400</v>
      </c>
      <c r="G206" s="2959">
        <v>4380</v>
      </c>
    </row>
    <row r="207" spans="1:7" s="2780" customFormat="1" ht="14.25" customHeight="1">
      <c r="A207" s="2946" t="s">
        <v>304</v>
      </c>
      <c r="B207" s="2946" t="s">
        <v>2905</v>
      </c>
      <c r="C207" s="2946">
        <v>6950</v>
      </c>
      <c r="D207" s="2946">
        <v>6900</v>
      </c>
      <c r="E207" s="2946">
        <v>9110</v>
      </c>
      <c r="F207" s="2946">
        <v>1790</v>
      </c>
      <c r="G207" s="2959">
        <v>4360</v>
      </c>
    </row>
    <row r="208" spans="1:7" s="2780" customFormat="1" ht="14.25" customHeight="1">
      <c r="A208" s="2946" t="s">
        <v>304</v>
      </c>
      <c r="B208" s="2946" t="s">
        <v>3079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2915</v>
      </c>
      <c r="C210" s="2946">
        <v>8710</v>
      </c>
      <c r="D210" s="2946">
        <v>8660</v>
      </c>
      <c r="E210" s="2946">
        <v>11440</v>
      </c>
      <c r="F210" s="2946">
        <v>1740</v>
      </c>
      <c r="G210" s="2959">
        <v>5470</v>
      </c>
    </row>
    <row r="211" spans="1:7" s="2780" customFormat="1" ht="14.25" customHeight="1">
      <c r="A211" s="2946" t="s">
        <v>304</v>
      </c>
      <c r="B211" s="2946" t="s">
        <v>3080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3081</v>
      </c>
      <c r="C214" s="2946">
        <v>8090</v>
      </c>
      <c r="D214" s="2946">
        <v>8030</v>
      </c>
      <c r="E214" s="2946">
        <v>10780</v>
      </c>
      <c r="F214" s="2946">
        <v>1570</v>
      </c>
      <c r="G214" s="2959">
        <v>5070</v>
      </c>
    </row>
    <row r="215" spans="1:7" s="2780" customFormat="1" ht="14.25" customHeight="1">
      <c r="A215" s="2946" t="s">
        <v>304</v>
      </c>
      <c r="B215" s="2946" t="s">
        <v>3082</v>
      </c>
      <c r="C215" s="2946">
        <v>7950</v>
      </c>
      <c r="D215" s="2946">
        <v>7900</v>
      </c>
      <c r="E215" s="2946">
        <v>10560</v>
      </c>
      <c r="F215" s="2946">
        <v>1630</v>
      </c>
      <c r="G215" s="2959">
        <v>4990</v>
      </c>
    </row>
    <row r="216" spans="1:7" s="2780" customFormat="1" ht="14.25" customHeight="1">
      <c r="A216" s="2946" t="s">
        <v>304</v>
      </c>
      <c r="B216" s="2946" t="s">
        <v>3083</v>
      </c>
      <c r="C216" s="2946">
        <v>8490</v>
      </c>
      <c r="D216" s="2946">
        <v>8440</v>
      </c>
      <c r="E216" s="2946">
        <v>11260</v>
      </c>
      <c r="F216" s="2946">
        <v>1690</v>
      </c>
      <c r="G216" s="2959">
        <v>5330</v>
      </c>
    </row>
    <row r="217" spans="1:7" s="2780" customFormat="1" ht="14.25" customHeight="1">
      <c r="A217" s="2946" t="s">
        <v>304</v>
      </c>
      <c r="B217" s="2946" t="s">
        <v>2948</v>
      </c>
      <c r="C217" s="2946">
        <v>8200</v>
      </c>
      <c r="D217" s="2946">
        <v>8150</v>
      </c>
      <c r="E217" s="2946">
        <v>10910</v>
      </c>
      <c r="F217" s="2946">
        <v>1670</v>
      </c>
      <c r="G217" s="2959">
        <v>5150</v>
      </c>
    </row>
    <row r="218" spans="1:7" s="2780" customFormat="1" ht="14.25" customHeight="1">
      <c r="A218" s="2946" t="s">
        <v>304</v>
      </c>
      <c r="B218" s="2946" t="s">
        <v>3084</v>
      </c>
      <c r="C218" s="2946"/>
      <c r="D218" s="2946"/>
      <c r="E218" s="2946"/>
      <c r="F218" s="2946">
        <v>2040</v>
      </c>
      <c r="G218" s="2959"/>
    </row>
    <row r="219" spans="1:7" s="2780" customFormat="1" ht="14.25" customHeight="1">
      <c r="A219" s="2946" t="s">
        <v>304</v>
      </c>
      <c r="B219" s="2946" t="s">
        <v>3085</v>
      </c>
      <c r="C219" s="2946"/>
      <c r="D219" s="2946"/>
      <c r="E219" s="2946"/>
      <c r="F219" s="2946">
        <v>2040</v>
      </c>
      <c r="G219" s="2959"/>
    </row>
    <row r="220" spans="1:7" s="2780" customFormat="1" ht="14.25" customHeight="1">
      <c r="A220" s="2946" t="s">
        <v>304</v>
      </c>
      <c r="B220" s="2946" t="s">
        <v>3086</v>
      </c>
      <c r="C220" s="2946"/>
      <c r="D220" s="2946"/>
      <c r="E220" s="2946"/>
      <c r="F220" s="2946">
        <v>2040</v>
      </c>
      <c r="G220" s="2959"/>
    </row>
    <row r="221" spans="1:7" s="2780" customFormat="1" ht="14.25" customHeight="1">
      <c r="A221" s="2946" t="s">
        <v>304</v>
      </c>
      <c r="B221" s="2946" t="s">
        <v>3087</v>
      </c>
      <c r="C221" s="2946"/>
      <c r="D221" s="2946"/>
      <c r="E221" s="2946"/>
      <c r="F221" s="2946">
        <v>2040</v>
      </c>
      <c r="G221" s="2959"/>
    </row>
    <row r="222" spans="1:7" s="2780" customFormat="1" ht="14.25" customHeight="1">
      <c r="A222" s="2946" t="s">
        <v>304</v>
      </c>
      <c r="B222" s="2946" t="s">
        <v>3088</v>
      </c>
      <c r="C222" s="2946"/>
      <c r="D222" s="2946"/>
      <c r="E222" s="2946"/>
      <c r="F222" s="2946">
        <v>2040</v>
      </c>
      <c r="G222" s="2959"/>
    </row>
    <row r="223" spans="1:7" s="2780" customFormat="1" ht="14.25" customHeight="1">
      <c r="A223" s="2946" t="s">
        <v>304</v>
      </c>
      <c r="B223" s="2946" t="s">
        <v>3089</v>
      </c>
      <c r="C223" s="2946"/>
      <c r="D223" s="2946"/>
      <c r="E223" s="2946"/>
      <c r="F223" s="2946">
        <v>1930</v>
      </c>
      <c r="G223" s="2959"/>
    </row>
    <row r="224" spans="1:7" s="2780" customFormat="1" ht="14.25" customHeight="1">
      <c r="A224" s="2946" t="s">
        <v>304</v>
      </c>
      <c r="B224" s="2946" t="s">
        <v>3090</v>
      </c>
      <c r="C224" s="2946"/>
      <c r="D224" s="2946"/>
      <c r="E224" s="2946"/>
      <c r="F224" s="2946">
        <v>1930</v>
      </c>
      <c r="G224" s="2959"/>
    </row>
    <row r="225" spans="1:7" s="2780" customFormat="1" ht="14.25" customHeight="1">
      <c r="A225" s="2946" t="s">
        <v>304</v>
      </c>
      <c r="B225" s="2946" t="s">
        <v>3091</v>
      </c>
      <c r="C225" s="2946"/>
      <c r="D225" s="2946"/>
      <c r="E225" s="2946"/>
      <c r="F225" s="2946">
        <v>1930</v>
      </c>
      <c r="G225" s="2959"/>
    </row>
    <row r="226" spans="1:7" s="2780" customFormat="1" ht="14.25" customHeight="1">
      <c r="A226" s="2946" t="s">
        <v>304</v>
      </c>
      <c r="B226" s="2946" t="s">
        <v>3092</v>
      </c>
      <c r="C226" s="2946"/>
      <c r="D226" s="2946"/>
      <c r="E226" s="2946"/>
      <c r="F226" s="2946">
        <v>1700</v>
      </c>
      <c r="G226" s="2959"/>
    </row>
    <row r="227" spans="1:7" s="2780" customFormat="1" ht="14.25" customHeight="1">
      <c r="A227" s="2946" t="s">
        <v>304</v>
      </c>
      <c r="B227" s="2946" t="s">
        <v>3093</v>
      </c>
      <c r="C227" s="2946"/>
      <c r="D227" s="2946"/>
      <c r="E227" s="2946"/>
      <c r="F227" s="2946">
        <v>1520</v>
      </c>
      <c r="G227" s="2959"/>
    </row>
    <row r="228" spans="1:7" s="2780" customFormat="1" ht="14.25" customHeight="1">
      <c r="A228" s="2946" t="s">
        <v>304</v>
      </c>
      <c r="B228" s="2946" t="s">
        <v>3094</v>
      </c>
      <c r="C228" s="2946"/>
      <c r="D228" s="2946"/>
      <c r="E228" s="2946"/>
      <c r="F228" s="2946">
        <v>1520</v>
      </c>
      <c r="G228" s="2959"/>
    </row>
    <row r="229" spans="1:7" s="2780" customFormat="1" ht="14.25" customHeight="1">
      <c r="A229" s="2946" t="s">
        <v>304</v>
      </c>
      <c r="B229" s="2946" t="s">
        <v>3011</v>
      </c>
      <c r="C229" s="2946"/>
      <c r="D229" s="2946"/>
      <c r="E229" s="2946"/>
      <c r="F229" s="2946">
        <v>1520</v>
      </c>
      <c r="G229" s="2959"/>
    </row>
    <row r="230" spans="1:7" s="2780" customFormat="1" ht="14.25" customHeight="1">
      <c r="A230" s="2946" t="s">
        <v>304</v>
      </c>
      <c r="B230" s="2946" t="s">
        <v>3095</v>
      </c>
      <c r="C230" s="2946"/>
      <c r="D230" s="2946"/>
      <c r="E230" s="2946"/>
      <c r="F230" s="2946">
        <v>1820</v>
      </c>
      <c r="G230" s="2959"/>
    </row>
    <row r="231" spans="1:7" s="2780" customFormat="1" ht="14.25" customHeight="1">
      <c r="A231" s="2946" t="s">
        <v>304</v>
      </c>
      <c r="B231" s="2946" t="s">
        <v>3096</v>
      </c>
      <c r="C231" s="2946"/>
      <c r="D231" s="2946"/>
      <c r="E231" s="2946"/>
      <c r="F231" s="2946">
        <v>1760</v>
      </c>
      <c r="G231" s="2959"/>
    </row>
    <row r="232" spans="1:7" s="2780" customFormat="1" ht="14.25" customHeight="1">
      <c r="A232" s="2946" t="s">
        <v>304</v>
      </c>
      <c r="B232" s="2946" t="s">
        <v>3097</v>
      </c>
      <c r="C232" s="2946"/>
      <c r="D232" s="2946"/>
      <c r="E232" s="2946"/>
      <c r="F232" s="2946">
        <v>1840</v>
      </c>
      <c r="G232" s="2959"/>
    </row>
    <row r="233" spans="1:7" s="2780" customFormat="1" ht="14.25" customHeight="1" thickBot="1">
      <c r="A233" s="2960" t="s">
        <v>304</v>
      </c>
      <c r="B233" s="2953" t="s">
        <v>3028</v>
      </c>
      <c r="C233" s="2953"/>
      <c r="D233" s="2953"/>
      <c r="E233" s="2953"/>
      <c r="F233" s="2953">
        <v>1770</v>
      </c>
      <c r="G233" s="2961"/>
    </row>
    <row r="234" spans="1:7" s="2780" customFormat="1" ht="14.25" customHeight="1">
      <c r="A234" s="2951" t="s">
        <v>305</v>
      </c>
      <c r="B234" s="2942" t="s">
        <v>3098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2869</v>
      </c>
      <c r="C238" s="2946">
        <v>6920</v>
      </c>
      <c r="D238" s="2946">
        <v>6890</v>
      </c>
      <c r="E238" s="2946">
        <v>8640</v>
      </c>
      <c r="F238" s="2946">
        <v>1310</v>
      </c>
      <c r="G238" s="2946">
        <v>4230</v>
      </c>
    </row>
    <row r="239" spans="1:7" s="2780" customFormat="1" ht="14.25" customHeight="1">
      <c r="A239" s="2946" t="s">
        <v>305</v>
      </c>
      <c r="B239" s="2946" t="s">
        <v>3099</v>
      </c>
      <c r="C239" s="2946">
        <v>6780</v>
      </c>
      <c r="D239" s="2946">
        <v>6750</v>
      </c>
      <c r="E239" s="2946">
        <v>8440</v>
      </c>
      <c r="F239" s="2946">
        <v>1160</v>
      </c>
      <c r="G239" s="2946">
        <v>4140</v>
      </c>
    </row>
    <row r="240" spans="1:7" s="2780" customFormat="1" ht="14.25" customHeight="1">
      <c r="A240" s="2946" t="s">
        <v>305</v>
      </c>
      <c r="B240" s="2946" t="s">
        <v>3100</v>
      </c>
      <c r="C240" s="2946">
        <v>5420</v>
      </c>
      <c r="D240" s="2946">
        <v>5380</v>
      </c>
      <c r="E240" s="2946">
        <v>6640</v>
      </c>
      <c r="F240" s="2946">
        <v>1020</v>
      </c>
      <c r="G240" s="2946">
        <v>3300</v>
      </c>
    </row>
    <row r="241" spans="1:7" s="2780" customFormat="1" ht="14.25" customHeight="1">
      <c r="A241" s="2946" t="s">
        <v>305</v>
      </c>
      <c r="B241" s="2946" t="s">
        <v>3101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2931</v>
      </c>
      <c r="C258" s="2946">
        <v>6190</v>
      </c>
      <c r="D258" s="2946">
        <v>6160</v>
      </c>
      <c r="E258" s="2946">
        <v>7680</v>
      </c>
      <c r="F258" s="2946">
        <v>1170</v>
      </c>
      <c r="G258" s="2946">
        <v>3780</v>
      </c>
    </row>
    <row r="259" spans="1:7" s="2780" customFormat="1" ht="14.25" customHeight="1">
      <c r="A259" s="2946" t="s">
        <v>305</v>
      </c>
      <c r="B259" s="2946" t="s">
        <v>3107</v>
      </c>
      <c r="C259" s="2946">
        <v>7610</v>
      </c>
      <c r="D259" s="2946">
        <v>7570</v>
      </c>
      <c r="E259" s="2946">
        <v>9350</v>
      </c>
      <c r="F259" s="2946">
        <v>1350</v>
      </c>
      <c r="G259" s="2946">
        <v>4650</v>
      </c>
    </row>
    <row r="260" spans="1:7" s="2780" customFormat="1" ht="14.25" customHeight="1">
      <c r="A260" s="2946" t="s">
        <v>305</v>
      </c>
      <c r="B260" s="2946" t="s">
        <v>3108</v>
      </c>
      <c r="C260" s="2946">
        <v>6920</v>
      </c>
      <c r="D260" s="2946">
        <v>6880</v>
      </c>
      <c r="E260" s="2946">
        <v>8380</v>
      </c>
      <c r="F260" s="2946">
        <v>1160</v>
      </c>
      <c r="G260" s="2946">
        <v>4220</v>
      </c>
    </row>
    <row r="261" spans="1:7" s="2780" customFormat="1" ht="14.25" customHeight="1">
      <c r="A261" s="2946" t="s">
        <v>305</v>
      </c>
      <c r="B261" s="2946" t="s">
        <v>3109</v>
      </c>
      <c r="C261" s="2946">
        <v>6850</v>
      </c>
      <c r="D261" s="2946">
        <v>6810</v>
      </c>
      <c r="E261" s="2946">
        <v>8290</v>
      </c>
      <c r="F261" s="2946">
        <v>1130</v>
      </c>
      <c r="G261" s="2946">
        <v>4180</v>
      </c>
    </row>
    <row r="262" spans="1:7" s="2780" customFormat="1" ht="14.25" customHeight="1">
      <c r="A262" s="2946" t="s">
        <v>305</v>
      </c>
      <c r="B262" s="2946" t="s">
        <v>3110</v>
      </c>
      <c r="C262" s="2946">
        <v>5860</v>
      </c>
      <c r="D262" s="2946">
        <v>5820</v>
      </c>
      <c r="E262" s="2946">
        <v>7640</v>
      </c>
      <c r="F262" s="2946">
        <v>1070</v>
      </c>
      <c r="G262" s="2946">
        <v>3570</v>
      </c>
    </row>
    <row r="263" spans="1:7" s="2780" customFormat="1" ht="14.25" customHeight="1">
      <c r="A263" s="2946" t="s">
        <v>305</v>
      </c>
      <c r="B263" s="2946" t="s">
        <v>3111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3112</v>
      </c>
      <c r="C265" s="2946"/>
      <c r="D265" s="2946"/>
      <c r="E265" s="2946"/>
      <c r="F265" s="2946">
        <v>1500</v>
      </c>
      <c r="G265" s="2946"/>
    </row>
    <row r="266" spans="1:7" s="2780" customFormat="1" ht="14.25" customHeight="1">
      <c r="A266" s="2946" t="s">
        <v>305</v>
      </c>
      <c r="B266" s="2946" t="s">
        <v>3113</v>
      </c>
      <c r="C266" s="2946"/>
      <c r="D266" s="2946"/>
      <c r="E266" s="2946"/>
      <c r="F266" s="2946">
        <v>1500</v>
      </c>
      <c r="G266" s="2946"/>
    </row>
    <row r="267" spans="1:7" s="2780" customFormat="1" ht="14.25" customHeight="1">
      <c r="A267" s="2946" t="s">
        <v>305</v>
      </c>
      <c r="B267" s="2946" t="s">
        <v>3114</v>
      </c>
      <c r="C267" s="2946"/>
      <c r="D267" s="2946"/>
      <c r="E267" s="2946"/>
      <c r="F267" s="2946">
        <v>1500</v>
      </c>
      <c r="G267" s="2946"/>
    </row>
    <row r="268" spans="1:7" s="2780" customFormat="1" ht="14.25" customHeight="1">
      <c r="A268" s="2946" t="s">
        <v>305</v>
      </c>
      <c r="B268" s="2946" t="s">
        <v>3115</v>
      </c>
      <c r="C268" s="2946"/>
      <c r="D268" s="2946"/>
      <c r="E268" s="2946"/>
      <c r="F268" s="2946">
        <v>1290</v>
      </c>
      <c r="G268" s="2946"/>
    </row>
    <row r="269" spans="1:7" s="2780" customFormat="1" ht="14.25" customHeight="1">
      <c r="A269" s="2946" t="s">
        <v>305</v>
      </c>
      <c r="B269" s="2946" t="s">
        <v>3116</v>
      </c>
      <c r="C269" s="2946"/>
      <c r="D269" s="2946"/>
      <c r="E269" s="2946"/>
      <c r="F269" s="2946">
        <v>1150</v>
      </c>
      <c r="G269" s="2946"/>
    </row>
    <row r="270" spans="1:7" s="2780" customFormat="1" ht="14.25" customHeight="1">
      <c r="A270" s="2946" t="s">
        <v>305</v>
      </c>
      <c r="B270" s="2946" t="s">
        <v>3117</v>
      </c>
      <c r="C270" s="2946"/>
      <c r="D270" s="2946"/>
      <c r="E270" s="2946"/>
      <c r="F270" s="2946">
        <v>1380</v>
      </c>
      <c r="G270" s="2946"/>
    </row>
    <row r="271" spans="1:7" s="2780" customFormat="1" ht="14.25" customHeight="1">
      <c r="A271" s="2946" t="s">
        <v>305</v>
      </c>
      <c r="B271" s="2946" t="s">
        <v>3118</v>
      </c>
      <c r="C271" s="2946"/>
      <c r="D271" s="2946"/>
      <c r="E271" s="2946"/>
      <c r="F271" s="2946">
        <v>1460</v>
      </c>
      <c r="G271" s="2946"/>
    </row>
    <row r="272" spans="1:7" s="2780" customFormat="1" ht="14.25" customHeight="1">
      <c r="A272" s="2946" t="s">
        <v>305</v>
      </c>
      <c r="B272" s="2946" t="s">
        <v>3119</v>
      </c>
      <c r="C272" s="2946"/>
      <c r="D272" s="2946"/>
      <c r="E272" s="2946"/>
      <c r="F272" s="2946">
        <v>1460</v>
      </c>
      <c r="G272" s="2946"/>
    </row>
    <row r="273" spans="1:7" s="2780" customFormat="1" ht="14.25" customHeight="1">
      <c r="A273" s="2946" t="s">
        <v>305</v>
      </c>
      <c r="B273" s="2946" t="s">
        <v>3012</v>
      </c>
      <c r="C273" s="2946"/>
      <c r="D273" s="2946"/>
      <c r="E273" s="2946"/>
      <c r="F273" s="2946">
        <v>1490</v>
      </c>
      <c r="G273" s="2946"/>
    </row>
    <row r="274" spans="1:7" s="2780" customFormat="1" ht="14.25" customHeight="1">
      <c r="A274" s="2946" t="s">
        <v>305</v>
      </c>
      <c r="B274" s="2946" t="s">
        <v>3120</v>
      </c>
      <c r="C274" s="2946"/>
      <c r="D274" s="2946"/>
      <c r="E274" s="2946"/>
      <c r="F274" s="2946">
        <v>1490</v>
      </c>
      <c r="G274" s="2946"/>
    </row>
    <row r="275" spans="1:7" s="2780" customFormat="1" ht="14.25" customHeight="1">
      <c r="A275" s="2946" t="s">
        <v>305</v>
      </c>
      <c r="B275" s="2946" t="s">
        <v>3121</v>
      </c>
      <c r="C275" s="2946"/>
      <c r="D275" s="2946"/>
      <c r="E275" s="2946"/>
      <c r="F275" s="2946">
        <v>1220</v>
      </c>
      <c r="G275" s="2946"/>
    </row>
    <row r="276" spans="1:7" s="2780" customFormat="1" ht="14.25" customHeight="1" thickBot="1">
      <c r="A276" s="2954" t="s">
        <v>305</v>
      </c>
      <c r="B276" s="2956" t="s">
        <v>3122</v>
      </c>
      <c r="C276" s="2957"/>
      <c r="D276" s="2957"/>
      <c r="E276" s="2957"/>
      <c r="F276" s="2957">
        <v>1380</v>
      </c>
      <c r="G276" s="2957"/>
    </row>
    <row r="277" spans="1:7" s="2780" customFormat="1" ht="14.25" customHeight="1">
      <c r="A277" s="2951" t="s">
        <v>306</v>
      </c>
      <c r="B277" s="2942" t="s">
        <v>3123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3124</v>
      </c>
      <c r="C279" s="2946">
        <v>4760</v>
      </c>
      <c r="D279" s="2946">
        <v>4720</v>
      </c>
      <c r="E279" s="2946">
        <v>5540</v>
      </c>
      <c r="F279" s="2946">
        <v>810</v>
      </c>
      <c r="G279" s="2959">
        <v>2850</v>
      </c>
    </row>
    <row r="280" spans="1:7" s="2780" customFormat="1" ht="14.25" customHeight="1">
      <c r="A280" s="2946" t="s">
        <v>306</v>
      </c>
      <c r="B280" s="2946" t="s">
        <v>3125</v>
      </c>
      <c r="C280" s="2946">
        <v>4010</v>
      </c>
      <c r="D280" s="2946">
        <v>3950</v>
      </c>
      <c r="E280" s="2946">
        <v>4710</v>
      </c>
      <c r="F280" s="2946">
        <v>800</v>
      </c>
      <c r="G280" s="2959">
        <v>2390</v>
      </c>
    </row>
    <row r="281" spans="1:7" s="2780" customFormat="1" ht="14.25" customHeight="1">
      <c r="A281" s="2946" t="s">
        <v>306</v>
      </c>
      <c r="B281" s="2946" t="s">
        <v>3126</v>
      </c>
      <c r="C281" s="2946">
        <v>4480</v>
      </c>
      <c r="D281" s="2946">
        <v>4420</v>
      </c>
      <c r="E281" s="2946">
        <v>5230</v>
      </c>
      <c r="F281" s="2946">
        <v>870</v>
      </c>
      <c r="G281" s="2959">
        <v>2660</v>
      </c>
    </row>
    <row r="282" spans="1:7" s="2780" customFormat="1" ht="14.25" customHeight="1">
      <c r="A282" s="2946" t="s">
        <v>306</v>
      </c>
      <c r="B282" s="2946" t="s">
        <v>3127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2904</v>
      </c>
      <c r="C293" s="2946">
        <v>5320</v>
      </c>
      <c r="D293" s="2946">
        <v>5270</v>
      </c>
      <c r="E293" s="2946">
        <v>6160</v>
      </c>
      <c r="F293" s="2946">
        <v>990</v>
      </c>
      <c r="G293" s="2959">
        <v>3170</v>
      </c>
    </row>
    <row r="294" spans="1:7" s="2780" customFormat="1" ht="14.25" customHeight="1">
      <c r="A294" s="2946" t="s">
        <v>306</v>
      </c>
      <c r="B294" s="2946" t="s">
        <v>3130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3131</v>
      </c>
      <c r="C302" s="2946">
        <v>5520</v>
      </c>
      <c r="D302" s="2946">
        <v>5470</v>
      </c>
      <c r="E302" s="2946">
        <v>6410</v>
      </c>
      <c r="F302" s="2946">
        <v>950</v>
      </c>
      <c r="G302" s="2959">
        <v>3300</v>
      </c>
    </row>
    <row r="303" spans="1:7" s="2780" customFormat="1" ht="14.25" customHeight="1">
      <c r="A303" s="2946" t="s">
        <v>306</v>
      </c>
      <c r="B303" s="2946" t="s">
        <v>2943</v>
      </c>
      <c r="C303" s="2946">
        <v>5630</v>
      </c>
      <c r="D303" s="2946">
        <v>5590</v>
      </c>
      <c r="E303" s="2946">
        <v>6550</v>
      </c>
      <c r="F303" s="2946">
        <v>1010</v>
      </c>
      <c r="G303" s="2959">
        <v>3370</v>
      </c>
    </row>
    <row r="304" spans="1:7" s="2780" customFormat="1" ht="14.25" customHeight="1">
      <c r="A304" s="2946" t="s">
        <v>306</v>
      </c>
      <c r="B304" s="2946" t="s">
        <v>2950</v>
      </c>
      <c r="C304" s="2946">
        <v>5680</v>
      </c>
      <c r="D304" s="2946">
        <v>5620</v>
      </c>
      <c r="E304" s="2946">
        <v>6620</v>
      </c>
      <c r="F304" s="2946">
        <v>1050</v>
      </c>
      <c r="G304" s="2959">
        <v>3390</v>
      </c>
    </row>
    <row r="305" spans="1:7" s="2780" customFormat="1" ht="14.25" customHeight="1">
      <c r="A305" s="2946" t="s">
        <v>306</v>
      </c>
      <c r="B305" s="2946" t="s">
        <v>2956</v>
      </c>
      <c r="C305" s="2946">
        <v>5590</v>
      </c>
      <c r="D305" s="2946">
        <v>5530</v>
      </c>
      <c r="E305" s="2946">
        <v>6460</v>
      </c>
      <c r="F305" s="2946">
        <v>900</v>
      </c>
      <c r="G305" s="2959">
        <v>3340</v>
      </c>
    </row>
    <row r="306" spans="1:7" s="2780" customFormat="1" ht="14.25" customHeight="1">
      <c r="A306" s="2946" t="s">
        <v>306</v>
      </c>
      <c r="B306" s="2946" t="s">
        <v>3132</v>
      </c>
      <c r="C306" s="2946">
        <v>5560</v>
      </c>
      <c r="D306" s="2946">
        <v>5510</v>
      </c>
      <c r="E306" s="2946">
        <v>6440</v>
      </c>
      <c r="F306" s="2946">
        <v>900</v>
      </c>
      <c r="G306" s="2959">
        <v>3320</v>
      </c>
    </row>
    <row r="307" spans="1:7" s="2780" customFormat="1" ht="14.25" customHeight="1">
      <c r="A307" s="2946" t="s">
        <v>306</v>
      </c>
      <c r="B307" s="2946" t="s">
        <v>2968</v>
      </c>
      <c r="C307" s="2946">
        <v>5650</v>
      </c>
      <c r="D307" s="2946">
        <v>5600</v>
      </c>
      <c r="E307" s="2946">
        <v>6590</v>
      </c>
      <c r="F307" s="2946">
        <v>930</v>
      </c>
      <c r="G307" s="2959">
        <v>3380</v>
      </c>
    </row>
    <row r="308" spans="1:7" s="2780" customFormat="1" ht="14.25" customHeight="1">
      <c r="A308" s="2946" t="s">
        <v>306</v>
      </c>
      <c r="B308" s="2946" t="s">
        <v>3133</v>
      </c>
      <c r="C308" s="2946">
        <v>5620</v>
      </c>
      <c r="D308" s="2946">
        <v>5580</v>
      </c>
      <c r="E308" s="2946">
        <v>6540</v>
      </c>
      <c r="F308" s="2946">
        <v>910</v>
      </c>
      <c r="G308" s="2959">
        <v>3370</v>
      </c>
    </row>
    <row r="309" spans="1:7" s="2780" customFormat="1" ht="14.25" customHeight="1">
      <c r="A309" s="2946" t="s">
        <v>306</v>
      </c>
      <c r="B309" s="2946" t="s">
        <v>3134</v>
      </c>
      <c r="C309" s="2946">
        <v>5060</v>
      </c>
      <c r="D309" s="2946">
        <v>5020</v>
      </c>
      <c r="E309" s="2946">
        <v>6370</v>
      </c>
      <c r="F309" s="2946">
        <v>800</v>
      </c>
      <c r="G309" s="2959">
        <v>3020</v>
      </c>
    </row>
    <row r="310" spans="1:7" s="2780" customFormat="1" ht="14.25" customHeight="1">
      <c r="A310" s="2946" t="s">
        <v>306</v>
      </c>
      <c r="B310" s="2946" t="s">
        <v>2983</v>
      </c>
      <c r="C310" s="2946">
        <v>5150</v>
      </c>
      <c r="D310" s="2946">
        <v>5110</v>
      </c>
      <c r="E310" s="2946">
        <v>6500</v>
      </c>
      <c r="F310" s="2946">
        <v>880</v>
      </c>
      <c r="G310" s="2959">
        <v>3080</v>
      </c>
    </row>
    <row r="311" spans="1:7" s="2780" customFormat="1" ht="14.25" customHeight="1">
      <c r="A311" s="2946" t="s">
        <v>306</v>
      </c>
      <c r="B311" s="2946" t="s">
        <v>3135</v>
      </c>
      <c r="C311" s="2946">
        <v>4750</v>
      </c>
      <c r="D311" s="2946">
        <v>4710</v>
      </c>
      <c r="E311" s="2946">
        <v>5510</v>
      </c>
      <c r="F311" s="2946">
        <v>880</v>
      </c>
      <c r="G311" s="2959">
        <v>2840</v>
      </c>
    </row>
    <row r="312" spans="1:7" s="2780" customFormat="1" ht="14.25" customHeight="1">
      <c r="A312" s="2946" t="s">
        <v>306</v>
      </c>
      <c r="B312" s="2946" t="s">
        <v>2993</v>
      </c>
      <c r="C312" s="2946">
        <v>4690</v>
      </c>
      <c r="D312" s="2946">
        <v>4640</v>
      </c>
      <c r="E312" s="2946">
        <v>5420</v>
      </c>
      <c r="F312" s="2946">
        <v>800</v>
      </c>
      <c r="G312" s="2959">
        <v>2800</v>
      </c>
    </row>
    <row r="313" spans="1:7" s="2780" customFormat="1" ht="14.25" customHeight="1">
      <c r="A313" s="2946" t="s">
        <v>306</v>
      </c>
      <c r="B313" s="2946" t="s">
        <v>2998</v>
      </c>
      <c r="C313" s="2946">
        <v>4810</v>
      </c>
      <c r="D313" s="2946">
        <v>4760</v>
      </c>
      <c r="E313" s="2946">
        <v>5550</v>
      </c>
      <c r="F313" s="2946">
        <v>920</v>
      </c>
      <c r="G313" s="2959">
        <v>2870</v>
      </c>
    </row>
    <row r="314" spans="1:7" s="2780" customFormat="1" ht="14.25" customHeight="1">
      <c r="A314" s="2946" t="s">
        <v>306</v>
      </c>
      <c r="B314" s="2946" t="s">
        <v>3136</v>
      </c>
      <c r="C314" s="2946"/>
      <c r="D314" s="2946"/>
      <c r="E314" s="2946"/>
      <c r="F314" s="2946">
        <v>1020</v>
      </c>
      <c r="G314" s="2959"/>
    </row>
    <row r="315" spans="1:7" s="2780" customFormat="1" ht="14.25" customHeight="1">
      <c r="A315" s="2946" t="s">
        <v>306</v>
      </c>
      <c r="B315" s="2946" t="s">
        <v>3137</v>
      </c>
      <c r="C315" s="2946"/>
      <c r="D315" s="2946"/>
      <c r="E315" s="2946"/>
      <c r="F315" s="2946">
        <v>1050</v>
      </c>
      <c r="G315" s="2959"/>
    </row>
    <row r="316" spans="1:7" s="2780" customFormat="1" ht="14.25" customHeight="1">
      <c r="A316" s="2946" t="s">
        <v>306</v>
      </c>
      <c r="B316" s="2946" t="s">
        <v>3013</v>
      </c>
      <c r="C316" s="2946"/>
      <c r="D316" s="2946"/>
      <c r="E316" s="2946"/>
      <c r="F316" s="2946">
        <v>900</v>
      </c>
      <c r="G316" s="2959"/>
    </row>
    <row r="317" spans="1:7" s="2780" customFormat="1" ht="14.25" customHeight="1">
      <c r="A317" s="2946" t="s">
        <v>306</v>
      </c>
      <c r="B317" s="2946" t="s">
        <v>3138</v>
      </c>
      <c r="C317" s="2946"/>
      <c r="D317" s="2946"/>
      <c r="E317" s="2946"/>
      <c r="F317" s="2946">
        <v>920</v>
      </c>
      <c r="G317" s="2959"/>
    </row>
    <row r="318" spans="1:7" s="2780" customFormat="1" ht="14.25" customHeight="1">
      <c r="A318" s="2946" t="s">
        <v>306</v>
      </c>
      <c r="B318" s="2946" t="s">
        <v>3139</v>
      </c>
      <c r="C318" s="2946"/>
      <c r="D318" s="2946"/>
      <c r="E318" s="2946"/>
      <c r="F318" s="2946">
        <v>1080</v>
      </c>
      <c r="G318" s="2959"/>
    </row>
    <row r="319" spans="1:7" s="2780" customFormat="1" ht="14.25" customHeight="1">
      <c r="A319" s="2946" t="s">
        <v>306</v>
      </c>
      <c r="B319" s="2946" t="s">
        <v>3026</v>
      </c>
      <c r="C319" s="2946"/>
      <c r="D319" s="2946"/>
      <c r="E319" s="2946"/>
      <c r="F319" s="2946">
        <v>1020</v>
      </c>
      <c r="G319" s="2959"/>
    </row>
    <row r="320" spans="1:7" s="2780" customFormat="1" ht="14.25" customHeight="1">
      <c r="A320" s="2946" t="s">
        <v>306</v>
      </c>
      <c r="B320" s="2946" t="s">
        <v>3029</v>
      </c>
      <c r="C320" s="2946"/>
      <c r="D320" s="2946"/>
      <c r="E320" s="2946"/>
      <c r="F320" s="2946">
        <v>1050</v>
      </c>
      <c r="G320" s="2959"/>
    </row>
    <row r="321" spans="1:7" s="2780" customFormat="1" ht="14.25" customHeight="1">
      <c r="A321" s="2946" t="s">
        <v>306</v>
      </c>
      <c r="B321" s="2946" t="s">
        <v>3031</v>
      </c>
      <c r="C321" s="2946"/>
      <c r="D321" s="2946"/>
      <c r="E321" s="2946"/>
      <c r="F321" s="2946">
        <v>960</v>
      </c>
      <c r="G321" s="2959"/>
    </row>
    <row r="322" spans="1:7" s="2780" customFormat="1" ht="14.25" customHeight="1">
      <c r="A322" s="2946" t="s">
        <v>306</v>
      </c>
      <c r="B322" s="2946" t="s">
        <v>3033</v>
      </c>
      <c r="C322" s="2946"/>
      <c r="D322" s="2946"/>
      <c r="E322" s="2946"/>
      <c r="F322" s="2946">
        <v>960</v>
      </c>
      <c r="G322" s="2959"/>
    </row>
    <row r="323" spans="1:7" s="2780" customFormat="1" ht="14.25" customHeight="1">
      <c r="A323" s="2946" t="s">
        <v>306</v>
      </c>
      <c r="B323" s="2946" t="s">
        <v>3035</v>
      </c>
      <c r="C323" s="2946"/>
      <c r="D323" s="2946"/>
      <c r="E323" s="2946"/>
      <c r="F323" s="2946">
        <v>880</v>
      </c>
      <c r="G323" s="2959"/>
    </row>
    <row r="324" spans="1:7" s="2780" customFormat="1" ht="14.25" customHeight="1">
      <c r="A324" s="2946" t="s">
        <v>306</v>
      </c>
      <c r="B324" s="2946" t="s">
        <v>3037</v>
      </c>
      <c r="C324" s="2946"/>
      <c r="D324" s="2946"/>
      <c r="E324" s="2946"/>
      <c r="F324" s="2946">
        <v>930</v>
      </c>
      <c r="G324" s="2959"/>
    </row>
    <row r="325" spans="1:7" s="2780" customFormat="1" ht="14.25" customHeight="1">
      <c r="A325" s="2946" t="s">
        <v>306</v>
      </c>
      <c r="B325" s="2947" t="s">
        <v>3039</v>
      </c>
      <c r="C325" s="2946"/>
      <c r="D325" s="2946"/>
      <c r="E325" s="2946"/>
      <c r="F325" s="2946">
        <v>900</v>
      </c>
      <c r="G325" s="2959"/>
    </row>
    <row r="326" spans="1:7" s="2780" customFormat="1" ht="14.25" customHeight="1" thickBot="1">
      <c r="A326" s="2960" t="s">
        <v>306</v>
      </c>
      <c r="B326" s="2953" t="s">
        <v>3041</v>
      </c>
      <c r="C326" s="2953"/>
      <c r="D326" s="2953"/>
      <c r="E326" s="2953"/>
      <c r="F326" s="2953">
        <v>790</v>
      </c>
      <c r="G326" s="2961"/>
    </row>
    <row r="327" spans="1:7" s="2780" customFormat="1" ht="14.25" customHeight="1">
      <c r="A327" s="2951" t="s">
        <v>307</v>
      </c>
      <c r="B327" s="2942" t="s">
        <v>3140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3141</v>
      </c>
      <c r="C329" s="2946">
        <v>2730</v>
      </c>
      <c r="D329" s="2946">
        <v>2690</v>
      </c>
      <c r="E329" s="2946">
        <v>3100</v>
      </c>
      <c r="F329" s="2946">
        <v>660</v>
      </c>
      <c r="G329" s="2946">
        <v>1610</v>
      </c>
    </row>
    <row r="330" spans="1:7" s="2780" customFormat="1" ht="14.25" customHeight="1">
      <c r="A330" s="2946" t="s">
        <v>307</v>
      </c>
      <c r="B330" s="2946" t="s">
        <v>3142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2875</v>
      </c>
      <c r="C332" s="2946">
        <v>3520</v>
      </c>
      <c r="D332" s="2946">
        <v>3480</v>
      </c>
      <c r="E332" s="2946">
        <v>3830</v>
      </c>
      <c r="F332" s="2946">
        <v>720</v>
      </c>
      <c r="G332" s="2946">
        <v>2090</v>
      </c>
    </row>
    <row r="333" spans="1:7" s="2780" customFormat="1" ht="14.25" customHeight="1">
      <c r="A333" s="2946" t="s">
        <v>307</v>
      </c>
      <c r="B333" s="2946" t="s">
        <v>3143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2885</v>
      </c>
      <c r="C336" s="2946">
        <v>3570</v>
      </c>
      <c r="D336" s="2946">
        <v>3530</v>
      </c>
      <c r="E336" s="2946">
        <v>3880</v>
      </c>
      <c r="F336" s="2946">
        <v>770</v>
      </c>
      <c r="G336" s="2946">
        <v>2110</v>
      </c>
    </row>
    <row r="337" spans="1:10" s="2780" customFormat="1" ht="14.25" customHeight="1">
      <c r="A337" s="2946" t="s">
        <v>307</v>
      </c>
      <c r="B337" s="2946" t="s">
        <v>3144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2910</v>
      </c>
      <c r="C345" s="2946">
        <v>3190</v>
      </c>
      <c r="D345" s="2946">
        <v>3140</v>
      </c>
      <c r="E345" s="2946">
        <v>3450</v>
      </c>
      <c r="F345" s="2946">
        <v>720</v>
      </c>
      <c r="G345" s="2946">
        <v>1880</v>
      </c>
      <c r="J345" s="2780"/>
    </row>
    <row r="346" spans="1:10">
      <c r="A346" s="2946" t="s">
        <v>307</v>
      </c>
      <c r="B346" s="2946" t="s">
        <v>3147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2919</v>
      </c>
      <c r="C348" s="2946">
        <v>4000</v>
      </c>
      <c r="D348" s="2946">
        <v>3950</v>
      </c>
      <c r="E348" s="2946">
        <v>4430</v>
      </c>
      <c r="F348" s="2946">
        <v>760</v>
      </c>
      <c r="G348" s="2946">
        <v>2360</v>
      </c>
      <c r="J348" s="2780"/>
    </row>
    <row r="349" spans="1:10">
      <c r="A349" s="2946" t="s">
        <v>307</v>
      </c>
      <c r="B349" s="2946" t="s">
        <v>2924</v>
      </c>
      <c r="C349" s="2946">
        <v>3820</v>
      </c>
      <c r="D349" s="2946">
        <v>3780</v>
      </c>
      <c r="E349" s="2946">
        <v>4170</v>
      </c>
      <c r="F349" s="2946">
        <v>710</v>
      </c>
      <c r="G349" s="2946">
        <v>2260</v>
      </c>
      <c r="J349" s="2780"/>
    </row>
    <row r="350" spans="1:10">
      <c r="A350" s="2946" t="s">
        <v>307</v>
      </c>
      <c r="B350" s="2946" t="s">
        <v>3148</v>
      </c>
      <c r="C350" s="2946">
        <v>3760</v>
      </c>
      <c r="D350" s="2946">
        <v>3730</v>
      </c>
      <c r="E350" s="2946">
        <v>4100</v>
      </c>
      <c r="F350" s="2946">
        <v>800</v>
      </c>
      <c r="G350" s="2946">
        <v>2230</v>
      </c>
      <c r="J350" s="2780"/>
    </row>
    <row r="351" spans="1:10">
      <c r="A351" s="2946" t="s">
        <v>307</v>
      </c>
      <c r="B351" s="2946" t="s">
        <v>2932</v>
      </c>
      <c r="C351" s="2946">
        <v>3610</v>
      </c>
      <c r="D351" s="2946">
        <v>3580</v>
      </c>
      <c r="E351" s="2946">
        <v>3930</v>
      </c>
      <c r="F351" s="2946">
        <v>700</v>
      </c>
      <c r="G351" s="2946">
        <v>2140</v>
      </c>
      <c r="J351" s="2780"/>
    </row>
    <row r="352" spans="1:10">
      <c r="A352" s="2946" t="s">
        <v>307</v>
      </c>
      <c r="B352" s="2946" t="s">
        <v>2937</v>
      </c>
      <c r="C352" s="2946">
        <v>3670</v>
      </c>
      <c r="D352" s="2946">
        <v>3630</v>
      </c>
      <c r="E352" s="2946">
        <v>4000</v>
      </c>
      <c r="F352" s="2946">
        <v>750</v>
      </c>
      <c r="G352" s="2946">
        <v>2180</v>
      </c>
    </row>
    <row r="353" spans="1:7" s="2781" customFormat="1">
      <c r="A353" s="2946" t="s">
        <v>307</v>
      </c>
      <c r="B353" s="2946" t="s">
        <v>3149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2957</v>
      </c>
      <c r="C355" s="2946">
        <v>3650</v>
      </c>
      <c r="D355" s="2946">
        <v>3610</v>
      </c>
      <c r="E355" s="2946">
        <v>4200</v>
      </c>
      <c r="F355" s="2946">
        <v>640</v>
      </c>
      <c r="G355" s="2946">
        <v>2160</v>
      </c>
    </row>
    <row r="356" spans="1:7" s="2781" customFormat="1">
      <c r="A356" s="2946" t="s">
        <v>307</v>
      </c>
      <c r="B356" s="2946" t="s">
        <v>2964</v>
      </c>
      <c r="C356" s="2946">
        <v>3260</v>
      </c>
      <c r="D356" s="2946">
        <v>3230</v>
      </c>
      <c r="E356" s="2946">
        <v>3740</v>
      </c>
      <c r="F356" s="2946">
        <v>600</v>
      </c>
      <c r="G356" s="2946">
        <v>1930</v>
      </c>
    </row>
    <row r="357" spans="1:7" s="2781" customFormat="1" ht="12" thickBot="1">
      <c r="A357" s="2954" t="s">
        <v>307</v>
      </c>
      <c r="B357" s="2957" t="s">
        <v>3150</v>
      </c>
      <c r="C357" s="2957">
        <v>3690</v>
      </c>
      <c r="D357" s="2957">
        <v>3650</v>
      </c>
      <c r="E357" s="2957">
        <v>4020</v>
      </c>
      <c r="F357" s="2957">
        <v>700</v>
      </c>
      <c r="G357" s="2957">
        <v>2190</v>
      </c>
    </row>
    <row r="358" spans="1:7" s="2781" customFormat="1">
      <c r="A358" s="2951" t="s">
        <v>3151</v>
      </c>
      <c r="B358" s="2942" t="s">
        <v>3152</v>
      </c>
      <c r="C358" s="2942">
        <v>2080</v>
      </c>
      <c r="D358" s="2942">
        <v>2040</v>
      </c>
      <c r="E358" s="2942">
        <v>2010</v>
      </c>
      <c r="F358" s="2942">
        <v>530</v>
      </c>
      <c r="G358" s="2958">
        <v>1230</v>
      </c>
    </row>
    <row r="359" spans="1:7" s="2781" customFormat="1">
      <c r="A359" s="2946" t="s">
        <v>3151</v>
      </c>
      <c r="B359" s="2946" t="s">
        <v>3153</v>
      </c>
      <c r="C359" s="2946">
        <v>1850</v>
      </c>
      <c r="D359" s="2946">
        <v>1820</v>
      </c>
      <c r="E359" s="2946">
        <v>1780</v>
      </c>
      <c r="F359" s="2946">
        <v>520</v>
      </c>
      <c r="G359" s="2959">
        <v>1100</v>
      </c>
    </row>
    <row r="360" spans="1:7" s="2781" customFormat="1">
      <c r="A360" s="2946" t="s">
        <v>3151</v>
      </c>
      <c r="B360" s="2946" t="s">
        <v>3154</v>
      </c>
      <c r="C360" s="2946">
        <v>2020</v>
      </c>
      <c r="D360" s="2946">
        <v>1990</v>
      </c>
      <c r="E360" s="2946">
        <v>1950</v>
      </c>
      <c r="F360" s="2946">
        <v>500</v>
      </c>
      <c r="G360" s="2959">
        <v>1200</v>
      </c>
    </row>
    <row r="361" spans="1:7" s="2781" customFormat="1">
      <c r="A361" s="2946" t="s">
        <v>3151</v>
      </c>
      <c r="B361" s="2946" t="s">
        <v>153</v>
      </c>
      <c r="C361" s="2946">
        <v>2260</v>
      </c>
      <c r="D361" s="2946">
        <v>2220</v>
      </c>
      <c r="E361" s="2946">
        <v>2180</v>
      </c>
      <c r="F361" s="2946">
        <v>580</v>
      </c>
      <c r="G361" s="2959">
        <v>1340</v>
      </c>
    </row>
    <row r="362" spans="1:7" s="2781" customFormat="1">
      <c r="A362" s="2946" t="s">
        <v>3151</v>
      </c>
      <c r="B362" s="2946" t="s">
        <v>3155</v>
      </c>
      <c r="C362" s="2946">
        <v>2650</v>
      </c>
      <c r="D362" s="2946">
        <v>2610</v>
      </c>
      <c r="E362" s="2946">
        <v>2570</v>
      </c>
      <c r="F362" s="2946">
        <v>630</v>
      </c>
      <c r="G362" s="2959">
        <v>1570</v>
      </c>
    </row>
    <row r="363" spans="1:7" s="2781" customFormat="1">
      <c r="A363" s="2946" t="s">
        <v>3151</v>
      </c>
      <c r="B363" s="2946" t="s">
        <v>2876</v>
      </c>
      <c r="C363" s="2946">
        <v>2390</v>
      </c>
      <c r="D363" s="2946">
        <v>2360</v>
      </c>
      <c r="E363" s="2946">
        <v>2320</v>
      </c>
      <c r="F363" s="2946">
        <v>600</v>
      </c>
      <c r="G363" s="2959">
        <v>1420</v>
      </c>
    </row>
    <row r="364" spans="1:7" s="2781" customFormat="1">
      <c r="A364" s="2946" t="s">
        <v>3151</v>
      </c>
      <c r="B364" s="2946" t="s">
        <v>3156</v>
      </c>
      <c r="C364" s="2946">
        <v>2050</v>
      </c>
      <c r="D364" s="2946">
        <v>2030</v>
      </c>
      <c r="E364" s="2946">
        <v>1990</v>
      </c>
      <c r="F364" s="2946">
        <v>550</v>
      </c>
      <c r="G364" s="2959">
        <v>1220</v>
      </c>
    </row>
    <row r="365" spans="1:7" s="2781" customFormat="1">
      <c r="A365" s="2946" t="s">
        <v>3151</v>
      </c>
      <c r="B365" s="2946" t="s">
        <v>200</v>
      </c>
      <c r="C365" s="2946">
        <v>2140</v>
      </c>
      <c r="D365" s="2946">
        <v>2100</v>
      </c>
      <c r="E365" s="2946">
        <v>2060</v>
      </c>
      <c r="F365" s="2946">
        <v>540</v>
      </c>
      <c r="G365" s="2959">
        <v>1270</v>
      </c>
    </row>
    <row r="366" spans="1:7" s="2781" customFormat="1">
      <c r="A366" s="2946" t="s">
        <v>3151</v>
      </c>
      <c r="B366" s="2946" t="s">
        <v>2883</v>
      </c>
      <c r="C366" s="2946">
        <v>2410</v>
      </c>
      <c r="D366" s="2946">
        <v>2370</v>
      </c>
      <c r="E366" s="2946">
        <v>2330</v>
      </c>
      <c r="F366" s="2946">
        <v>570</v>
      </c>
      <c r="G366" s="2959">
        <v>1440</v>
      </c>
    </row>
    <row r="367" spans="1:7" s="2781" customFormat="1">
      <c r="A367" s="2946" t="s">
        <v>3151</v>
      </c>
      <c r="B367" s="2946" t="s">
        <v>3157</v>
      </c>
      <c r="C367" s="2946">
        <v>2300</v>
      </c>
      <c r="D367" s="2946">
        <v>2260</v>
      </c>
      <c r="E367" s="2946">
        <v>2220</v>
      </c>
      <c r="F367" s="2946">
        <v>560</v>
      </c>
      <c r="G367" s="2959">
        <v>1370</v>
      </c>
    </row>
    <row r="368" spans="1:7" s="2781" customFormat="1">
      <c r="A368" s="2946" t="s">
        <v>3151</v>
      </c>
      <c r="B368" s="2946" t="s">
        <v>3158</v>
      </c>
      <c r="C368" s="2946">
        <v>2430</v>
      </c>
      <c r="D368" s="2946">
        <v>2390</v>
      </c>
      <c r="E368" s="2946">
        <v>2350</v>
      </c>
      <c r="F368" s="2946">
        <v>570</v>
      </c>
      <c r="G368" s="2959">
        <v>1450</v>
      </c>
    </row>
    <row r="369" spans="1:7" s="2781" customFormat="1">
      <c r="A369" s="2946" t="s">
        <v>3151</v>
      </c>
      <c r="B369" s="2946" t="s">
        <v>214</v>
      </c>
      <c r="C369" s="2946">
        <v>2320</v>
      </c>
      <c r="D369" s="2946">
        <v>2290</v>
      </c>
      <c r="E369" s="2946">
        <v>2250</v>
      </c>
      <c r="F369" s="2946">
        <v>550</v>
      </c>
      <c r="G369" s="2959">
        <v>1380</v>
      </c>
    </row>
    <row r="370" spans="1:7" s="2781" customFormat="1">
      <c r="A370" s="2946" t="s">
        <v>3151</v>
      </c>
      <c r="B370" s="2946" t="s">
        <v>221</v>
      </c>
      <c r="C370" s="2946">
        <v>2190</v>
      </c>
      <c r="D370" s="2946">
        <v>2170</v>
      </c>
      <c r="E370" s="2946">
        <v>2130</v>
      </c>
      <c r="F370" s="2946">
        <v>530</v>
      </c>
      <c r="G370" s="2959">
        <v>1310</v>
      </c>
    </row>
    <row r="371" spans="1:7" s="2781" customFormat="1">
      <c r="A371" s="2946" t="s">
        <v>3151</v>
      </c>
      <c r="B371" s="2946" t="s">
        <v>229</v>
      </c>
      <c r="C371" s="2946">
        <v>2460</v>
      </c>
      <c r="D371" s="2946">
        <v>2420</v>
      </c>
      <c r="E371" s="2946">
        <v>2370</v>
      </c>
      <c r="F371" s="2946">
        <v>560</v>
      </c>
      <c r="G371" s="2959">
        <v>1470</v>
      </c>
    </row>
    <row r="372" spans="1:7" s="2781" customFormat="1">
      <c r="A372" s="2946" t="s">
        <v>3151</v>
      </c>
      <c r="B372" s="2946" t="s">
        <v>3159</v>
      </c>
      <c r="C372" s="2946">
        <v>2250</v>
      </c>
      <c r="D372" s="2946">
        <v>2210</v>
      </c>
      <c r="E372" s="2946">
        <v>2180</v>
      </c>
      <c r="F372" s="2946">
        <v>550</v>
      </c>
      <c r="G372" s="2959">
        <v>1340</v>
      </c>
    </row>
    <row r="373" spans="1:7" s="2781" customFormat="1">
      <c r="A373" s="2946" t="s">
        <v>3151</v>
      </c>
      <c r="B373" s="2946" t="s">
        <v>258</v>
      </c>
      <c r="C373" s="2946">
        <v>2210</v>
      </c>
      <c r="D373" s="2946">
        <v>2190</v>
      </c>
      <c r="E373" s="2946">
        <v>2150</v>
      </c>
      <c r="F373" s="2946">
        <v>530</v>
      </c>
      <c r="G373" s="2959">
        <v>1320</v>
      </c>
    </row>
    <row r="374" spans="1:7" s="2781" customFormat="1">
      <c r="A374" s="2946" t="s">
        <v>3151</v>
      </c>
      <c r="B374" s="2946" t="s">
        <v>266</v>
      </c>
      <c r="C374" s="2946">
        <v>2320</v>
      </c>
      <c r="D374" s="2946">
        <v>2280</v>
      </c>
      <c r="E374" s="2946">
        <v>2230</v>
      </c>
      <c r="F374" s="2946">
        <v>580</v>
      </c>
      <c r="G374" s="2959">
        <v>1380</v>
      </c>
    </row>
    <row r="375" spans="1:7" s="2781" customFormat="1">
      <c r="A375" s="2946" t="s">
        <v>3151</v>
      </c>
      <c r="B375" s="2946" t="s">
        <v>3160</v>
      </c>
      <c r="C375" s="2946">
        <v>2090</v>
      </c>
      <c r="D375" s="2946">
        <v>2050</v>
      </c>
      <c r="E375" s="2946">
        <v>2020</v>
      </c>
      <c r="F375" s="2946">
        <v>520</v>
      </c>
      <c r="G375" s="2959">
        <v>1240</v>
      </c>
    </row>
    <row r="376" spans="1:7" s="2781" customFormat="1">
      <c r="A376" s="2946" t="s">
        <v>3151</v>
      </c>
      <c r="B376" s="2946" t="s">
        <v>277</v>
      </c>
      <c r="C376" s="2946">
        <v>2010</v>
      </c>
      <c r="D376" s="2946">
        <v>1980</v>
      </c>
      <c r="E376" s="2946">
        <v>1940</v>
      </c>
      <c r="F376" s="2946">
        <v>540</v>
      </c>
      <c r="G376" s="2959">
        <v>1190</v>
      </c>
    </row>
    <row r="377" spans="1:7" s="2781" customFormat="1" ht="12" thickBot="1">
      <c r="A377" s="2954" t="s">
        <v>3151</v>
      </c>
      <c r="B377" s="2957" t="s">
        <v>2913</v>
      </c>
      <c r="C377" s="2957">
        <v>1930</v>
      </c>
      <c r="D377" s="2957">
        <v>1890</v>
      </c>
      <c r="E377" s="2957">
        <v>1860</v>
      </c>
      <c r="F377" s="2957">
        <v>530</v>
      </c>
      <c r="G377" s="2962">
        <v>1150</v>
      </c>
    </row>
    <row r="378" spans="1:7" s="2781" customFormat="1">
      <c r="A378" s="2963" t="s">
        <v>3161</v>
      </c>
      <c r="B378" s="2942" t="s">
        <v>3162</v>
      </c>
      <c r="C378" s="2942">
        <v>1520</v>
      </c>
      <c r="D378" s="2942">
        <v>1490</v>
      </c>
      <c r="E378" s="2942">
        <v>1460</v>
      </c>
      <c r="F378" s="2942">
        <v>460</v>
      </c>
      <c r="G378" s="2958">
        <v>940</v>
      </c>
    </row>
    <row r="379" spans="1:7" s="2781" customFormat="1">
      <c r="A379" s="2964" t="s">
        <v>3161</v>
      </c>
      <c r="B379" s="2946" t="s">
        <v>3163</v>
      </c>
      <c r="C379" s="2946">
        <v>1500</v>
      </c>
      <c r="D379" s="2946">
        <v>1470</v>
      </c>
      <c r="E379" s="2946">
        <v>1430</v>
      </c>
      <c r="F379" s="2946">
        <v>460</v>
      </c>
      <c r="G379" s="2959">
        <v>920</v>
      </c>
    </row>
    <row r="380" spans="1:7" s="2781" customFormat="1">
      <c r="A380" s="2964" t="s">
        <v>3161</v>
      </c>
      <c r="B380" s="2946" t="s">
        <v>3164</v>
      </c>
      <c r="C380" s="2946">
        <v>1620</v>
      </c>
      <c r="D380" s="2946">
        <v>1590</v>
      </c>
      <c r="E380" s="2946">
        <v>1560</v>
      </c>
      <c r="F380" s="2946">
        <v>480</v>
      </c>
      <c r="G380" s="2959">
        <v>1000</v>
      </c>
    </row>
    <row r="381" spans="1:7" s="2781" customFormat="1">
      <c r="A381" s="2964" t="s">
        <v>3161</v>
      </c>
      <c r="B381" s="2946" t="s">
        <v>3165</v>
      </c>
      <c r="C381" s="2946">
        <v>1460</v>
      </c>
      <c r="D381" s="2946">
        <v>1430</v>
      </c>
      <c r="E381" s="2946">
        <v>1390</v>
      </c>
      <c r="F381" s="2946">
        <v>450</v>
      </c>
      <c r="G381" s="2959">
        <v>900</v>
      </c>
    </row>
    <row r="382" spans="1:7" s="2781" customFormat="1">
      <c r="A382" s="2964" t="s">
        <v>3161</v>
      </c>
      <c r="B382" s="2946" t="s">
        <v>3166</v>
      </c>
      <c r="C382" s="2946">
        <v>1310</v>
      </c>
      <c r="D382" s="2946">
        <v>1280</v>
      </c>
      <c r="E382" s="2946">
        <v>1250</v>
      </c>
      <c r="F382" s="2946">
        <v>440</v>
      </c>
      <c r="G382" s="2959">
        <v>800</v>
      </c>
    </row>
    <row r="383" spans="1:7" s="2781" customFormat="1">
      <c r="A383" s="2964" t="s">
        <v>3161</v>
      </c>
      <c r="B383" s="2946" t="s">
        <v>3167</v>
      </c>
      <c r="C383" s="2946">
        <v>1260</v>
      </c>
      <c r="D383" s="2946">
        <v>1230</v>
      </c>
      <c r="E383" s="2946">
        <v>1200</v>
      </c>
      <c r="F383" s="2946">
        <v>420</v>
      </c>
      <c r="G383" s="2959">
        <v>770</v>
      </c>
    </row>
    <row r="384" spans="1:7" s="2781" customFormat="1" ht="12" thickBot="1">
      <c r="A384" s="2965" t="s">
        <v>3161</v>
      </c>
      <c r="B384" s="2953" t="s">
        <v>3168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6" t="s">
        <v>3169</v>
      </c>
      <c r="B1" s="3516"/>
    </row>
    <row r="2" spans="1:7" ht="14.25" thickBot="1">
      <c r="A2" s="2967"/>
      <c r="B2" s="2967"/>
    </row>
    <row r="3" spans="1:7" ht="14.25" thickBot="1">
      <c r="A3" s="2967"/>
      <c r="B3" s="2967"/>
      <c r="C3" s="2968" t="s">
        <v>2799</v>
      </c>
      <c r="D3" s="2968" t="s">
        <v>2855</v>
      </c>
      <c r="E3" s="2968" t="s">
        <v>2801</v>
      </c>
      <c r="F3" s="2968" t="s">
        <v>2856</v>
      </c>
      <c r="G3" s="2968" t="s">
        <v>2619</v>
      </c>
    </row>
    <row r="4" spans="1:7" ht="14.25" thickBot="1">
      <c r="A4" s="2969" t="s">
        <v>2854</v>
      </c>
      <c r="B4" s="2970" t="s">
        <v>2860</v>
      </c>
      <c r="C4" s="2968"/>
      <c r="D4" s="2968"/>
      <c r="E4" s="2968"/>
      <c r="F4" s="2968"/>
      <c r="G4" s="2968"/>
    </row>
    <row r="5" spans="1:7">
      <c r="A5" s="2971" t="s">
        <v>2828</v>
      </c>
      <c r="B5" s="2972" t="s">
        <v>2842</v>
      </c>
      <c r="C5" s="2973">
        <v>9.8000000000000004E-2</v>
      </c>
      <c r="D5" s="2973">
        <v>8.6999999999999994E-2</v>
      </c>
      <c r="E5" s="2973">
        <v>8.6999999999999994E-2</v>
      </c>
      <c r="F5" s="2973">
        <v>9.8000000000000004E-2</v>
      </c>
      <c r="G5" s="2974">
        <v>9.5000000000000001E-2</v>
      </c>
    </row>
    <row r="6" spans="1:7">
      <c r="A6" s="2975" t="s">
        <v>144</v>
      </c>
      <c r="B6" s="2976" t="s">
        <v>2857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2911</v>
      </c>
      <c r="C29" s="2985"/>
      <c r="D29" s="2981">
        <v>5.1999999999999998E-2</v>
      </c>
      <c r="E29" s="2981">
        <v>7.0000000000000007E-2</v>
      </c>
      <c r="F29" s="2985"/>
      <c r="G29" s="2983">
        <v>7.0999999999999994E-2</v>
      </c>
    </row>
    <row r="30" spans="1:7">
      <c r="A30" s="2986" t="s">
        <v>296</v>
      </c>
      <c r="B30" s="2972" t="s">
        <v>2844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2914</v>
      </c>
      <c r="C50" s="2977">
        <v>9.8000000000000004E-2</v>
      </c>
      <c r="D50" s="2977">
        <v>7.2999999999999995E-2</v>
      </c>
      <c r="E50" s="2977">
        <v>7.0999999999999994E-2</v>
      </c>
      <c r="F50" s="2988"/>
      <c r="G50" s="2978">
        <v>7.2999999999999995E-2</v>
      </c>
    </row>
    <row r="51" spans="1:7">
      <c r="A51" s="2987" t="s">
        <v>296</v>
      </c>
      <c r="B51" s="2976" t="s">
        <v>2916</v>
      </c>
      <c r="C51" s="2977">
        <v>9.9000000000000005E-2</v>
      </c>
      <c r="D51" s="2977">
        <v>8.5000000000000006E-2</v>
      </c>
      <c r="E51" s="2977">
        <v>6.3E-2</v>
      </c>
      <c r="F51" s="2988"/>
      <c r="G51" s="2978">
        <v>9.6000000000000002E-2</v>
      </c>
    </row>
    <row r="52" spans="1:7">
      <c r="A52" s="2987" t="s">
        <v>296</v>
      </c>
      <c r="B52" s="2976" t="s">
        <v>2920</v>
      </c>
      <c r="C52" s="2977">
        <v>7.3999999999999996E-2</v>
      </c>
      <c r="D52" s="2977">
        <v>9.6000000000000002E-2</v>
      </c>
      <c r="E52" s="2977">
        <v>0.05</v>
      </c>
      <c r="F52" s="2988"/>
      <c r="G52" s="2978">
        <v>9.8000000000000004E-2</v>
      </c>
    </row>
    <row r="53" spans="1:7">
      <c r="A53" s="2987" t="s">
        <v>296</v>
      </c>
      <c r="B53" s="2976" t="s">
        <v>2925</v>
      </c>
      <c r="C53" s="2977">
        <v>8.5999999999999993E-2</v>
      </c>
      <c r="D53" s="2988"/>
      <c r="E53" s="2977">
        <v>9.1999999999999998E-2</v>
      </c>
      <c r="F53" s="2988"/>
      <c r="G53" s="2989"/>
    </row>
    <row r="54" spans="1:7" ht="14.25" thickBot="1">
      <c r="A54" s="2990" t="s">
        <v>296</v>
      </c>
      <c r="B54" s="2980" t="s">
        <v>2928</v>
      </c>
      <c r="C54" s="2981">
        <v>9.6000000000000002E-2</v>
      </c>
      <c r="D54" s="2982"/>
      <c r="E54" s="2991"/>
      <c r="F54" s="2982"/>
      <c r="G54" s="2992"/>
    </row>
    <row r="55" spans="1:7">
      <c r="A55" s="2986" t="s">
        <v>110</v>
      </c>
      <c r="B55" s="2972" t="s">
        <v>2845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2926</v>
      </c>
      <c r="C78" s="2977">
        <v>0.1</v>
      </c>
      <c r="D78" s="2977">
        <v>8.5000000000000006E-2</v>
      </c>
      <c r="E78" s="2977">
        <v>9.6000000000000002E-2</v>
      </c>
      <c r="F78" s="2988"/>
      <c r="G78" s="2978">
        <v>9.6000000000000002E-2</v>
      </c>
    </row>
    <row r="79" spans="1:7">
      <c r="A79" s="2987" t="s">
        <v>110</v>
      </c>
      <c r="B79" s="2976" t="s">
        <v>2929</v>
      </c>
      <c r="C79" s="2977">
        <v>0.05</v>
      </c>
      <c r="D79" s="2977">
        <v>9.6000000000000002E-2</v>
      </c>
      <c r="E79" s="2977">
        <v>9.5000000000000001E-2</v>
      </c>
      <c r="F79" s="2988"/>
      <c r="G79" s="2978">
        <v>9.8000000000000004E-2</v>
      </c>
    </row>
    <row r="80" spans="1:7">
      <c r="A80" s="2987" t="s">
        <v>110</v>
      </c>
      <c r="B80" s="2976" t="s">
        <v>2933</v>
      </c>
      <c r="C80" s="2977">
        <v>8.5999999999999993E-2</v>
      </c>
      <c r="D80" s="2993"/>
      <c r="E80" s="2977">
        <v>0.1</v>
      </c>
      <c r="F80" s="2988"/>
      <c r="G80" s="2989"/>
    </row>
    <row r="81" spans="1:7">
      <c r="A81" s="2987" t="s">
        <v>110</v>
      </c>
      <c r="B81" s="2976" t="s">
        <v>2938</v>
      </c>
      <c r="C81" s="2977">
        <v>9.6000000000000002E-2</v>
      </c>
      <c r="D81" s="2988"/>
      <c r="E81" s="2977">
        <v>9.8000000000000004E-2</v>
      </c>
      <c r="F81" s="2988"/>
      <c r="G81" s="2989"/>
    </row>
    <row r="82" spans="1:7">
      <c r="A82" s="2987" t="s">
        <v>110</v>
      </c>
      <c r="B82" s="2976" t="s">
        <v>2945</v>
      </c>
      <c r="C82" s="2993"/>
      <c r="D82" s="2988"/>
      <c r="E82" s="2977">
        <v>7.6999999999999999E-2</v>
      </c>
      <c r="F82" s="2988"/>
      <c r="G82" s="2989"/>
    </row>
    <row r="83" spans="1:7">
      <c r="A83" s="2987" t="s">
        <v>110</v>
      </c>
      <c r="B83" s="2976" t="s">
        <v>2951</v>
      </c>
      <c r="C83" s="2988"/>
      <c r="D83" s="2988"/>
      <c r="E83" s="2988"/>
      <c r="F83" s="2977">
        <v>0.1</v>
      </c>
      <c r="G83" s="2994"/>
    </row>
    <row r="84" spans="1:7">
      <c r="A84" s="2987" t="s">
        <v>110</v>
      </c>
      <c r="B84" s="2976" t="s">
        <v>2958</v>
      </c>
      <c r="C84" s="2988"/>
      <c r="D84" s="2988"/>
      <c r="E84" s="2988"/>
      <c r="F84" s="2977">
        <v>0.1</v>
      </c>
      <c r="G84" s="2994"/>
    </row>
    <row r="85" spans="1:7">
      <c r="A85" s="2987" t="s">
        <v>110</v>
      </c>
      <c r="B85" s="2976" t="s">
        <v>2965</v>
      </c>
      <c r="C85" s="2988"/>
      <c r="D85" s="2988"/>
      <c r="E85" s="2988"/>
      <c r="F85" s="2977">
        <v>0.1</v>
      </c>
      <c r="G85" s="2994"/>
    </row>
    <row r="86" spans="1:7" ht="14.25" thickBot="1">
      <c r="A86" s="2990" t="s">
        <v>110</v>
      </c>
      <c r="B86" s="2980" t="s">
        <v>2970</v>
      </c>
      <c r="C86" s="2981">
        <v>9.8000000000000004E-2</v>
      </c>
      <c r="D86" s="2981">
        <v>9.8000000000000004E-2</v>
      </c>
      <c r="E86" s="2981">
        <v>9.6000000000000002E-2</v>
      </c>
      <c r="F86" s="2991"/>
      <c r="G86" s="2983">
        <v>0.1</v>
      </c>
    </row>
    <row r="87" spans="1:7">
      <c r="A87" s="2986" t="s">
        <v>303</v>
      </c>
      <c r="B87" s="2972" t="s">
        <v>2846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2939</v>
      </c>
      <c r="C113" s="2977">
        <v>0.1</v>
      </c>
      <c r="D113" s="2977">
        <v>0.1</v>
      </c>
      <c r="E113" s="2988"/>
      <c r="F113" s="2988"/>
      <c r="G113" s="2978">
        <v>0.1</v>
      </c>
    </row>
    <row r="114" spans="1:7">
      <c r="A114" s="2987" t="s">
        <v>303</v>
      </c>
      <c r="B114" s="2976" t="s">
        <v>2946</v>
      </c>
      <c r="C114" s="2977">
        <v>9.7000000000000003E-2</v>
      </c>
      <c r="D114" s="2977">
        <v>9.7000000000000003E-2</v>
      </c>
      <c r="E114" s="2988"/>
      <c r="F114" s="2988"/>
      <c r="G114" s="2978">
        <v>9.9000000000000005E-2</v>
      </c>
    </row>
    <row r="115" spans="1:7">
      <c r="A115" s="2987" t="s">
        <v>303</v>
      </c>
      <c r="B115" s="2976" t="s">
        <v>2952</v>
      </c>
      <c r="C115" s="2977">
        <v>0.1</v>
      </c>
      <c r="D115" s="2977">
        <v>0.1</v>
      </c>
      <c r="E115" s="2988"/>
      <c r="F115" s="2988"/>
      <c r="G115" s="2978">
        <v>0.1</v>
      </c>
    </row>
    <row r="116" spans="1:7">
      <c r="A116" s="2987" t="s">
        <v>303</v>
      </c>
      <c r="B116" s="2976" t="s">
        <v>2959</v>
      </c>
      <c r="C116" s="2977">
        <v>0.1</v>
      </c>
      <c r="D116" s="2977">
        <v>0.1</v>
      </c>
      <c r="E116" s="2988"/>
      <c r="F116" s="2988"/>
      <c r="G116" s="2978">
        <v>0.1</v>
      </c>
    </row>
    <row r="117" spans="1:7">
      <c r="A117" s="2987" t="s">
        <v>303</v>
      </c>
      <c r="B117" s="2976" t="s">
        <v>2966</v>
      </c>
      <c r="C117" s="2977">
        <v>9.7000000000000003E-2</v>
      </c>
      <c r="D117" s="2977">
        <v>9.7000000000000003E-2</v>
      </c>
      <c r="E117" s="2988"/>
      <c r="F117" s="2988"/>
      <c r="G117" s="2978">
        <v>9.7000000000000003E-2</v>
      </c>
    </row>
    <row r="118" spans="1:7">
      <c r="A118" s="2987" t="s">
        <v>303</v>
      </c>
      <c r="B118" s="2976" t="s">
        <v>2971</v>
      </c>
      <c r="C118" s="2977">
        <v>0.1</v>
      </c>
      <c r="D118" s="2977">
        <v>0.1</v>
      </c>
      <c r="E118" s="2988"/>
      <c r="F118" s="2988"/>
      <c r="G118" s="2978">
        <v>0.1</v>
      </c>
    </row>
    <row r="119" spans="1:7">
      <c r="A119" s="2987" t="s">
        <v>303</v>
      </c>
      <c r="B119" s="2976" t="s">
        <v>2975</v>
      </c>
      <c r="C119" s="2977">
        <v>5.0999999999999997E-2</v>
      </c>
      <c r="D119" s="2977">
        <v>5.1999999999999998E-2</v>
      </c>
      <c r="E119" s="2988"/>
      <c r="F119" s="2993"/>
      <c r="G119" s="2978">
        <v>0.06</v>
      </c>
    </row>
    <row r="120" spans="1:7">
      <c r="A120" s="2987" t="s">
        <v>303</v>
      </c>
      <c r="B120" s="2976" t="s">
        <v>2979</v>
      </c>
      <c r="C120" s="2988"/>
      <c r="D120" s="2988"/>
      <c r="E120" s="2988"/>
      <c r="F120" s="2977">
        <v>0.1</v>
      </c>
      <c r="G120" s="2994"/>
    </row>
    <row r="121" spans="1:7">
      <c r="A121" s="2987" t="s">
        <v>303</v>
      </c>
      <c r="B121" s="2976" t="s">
        <v>2984</v>
      </c>
      <c r="C121" s="2988"/>
      <c r="D121" s="2988"/>
      <c r="E121" s="2988"/>
      <c r="F121" s="2977">
        <v>0.1</v>
      </c>
      <c r="G121" s="2994"/>
    </row>
    <row r="122" spans="1:7">
      <c r="A122" s="2987" t="s">
        <v>303</v>
      </c>
      <c r="B122" s="2976" t="s">
        <v>2989</v>
      </c>
      <c r="C122" s="2977">
        <v>0.1</v>
      </c>
      <c r="D122" s="2977">
        <v>0.1</v>
      </c>
      <c r="E122" s="2977">
        <v>9.8000000000000004E-2</v>
      </c>
      <c r="F122" s="2977">
        <v>0.1</v>
      </c>
      <c r="G122" s="2978">
        <v>0.1</v>
      </c>
    </row>
    <row r="123" spans="1:7">
      <c r="A123" s="2987" t="s">
        <v>303</v>
      </c>
      <c r="B123" s="2976" t="s">
        <v>2994</v>
      </c>
      <c r="C123" s="2977">
        <v>0.1</v>
      </c>
      <c r="D123" s="2977">
        <v>0.1</v>
      </c>
      <c r="E123" s="2977">
        <v>9.8000000000000004E-2</v>
      </c>
      <c r="F123" s="2977">
        <v>0.1</v>
      </c>
      <c r="G123" s="2978">
        <v>0.1</v>
      </c>
    </row>
    <row r="124" spans="1:7">
      <c r="A124" s="2987" t="s">
        <v>303</v>
      </c>
      <c r="B124" s="2976" t="s">
        <v>2999</v>
      </c>
      <c r="C124" s="2977">
        <v>0.1</v>
      </c>
      <c r="D124" s="2977">
        <v>0.1</v>
      </c>
      <c r="E124" s="2977">
        <v>9.8000000000000004E-2</v>
      </c>
      <c r="F124" s="2993"/>
      <c r="G124" s="2978">
        <v>0.1</v>
      </c>
    </row>
    <row r="125" spans="1:7">
      <c r="A125" s="2987" t="s">
        <v>303</v>
      </c>
      <c r="B125" s="2976" t="s">
        <v>3004</v>
      </c>
      <c r="C125" s="2977">
        <v>9.8000000000000004E-2</v>
      </c>
      <c r="D125" s="2977">
        <v>9.8000000000000004E-2</v>
      </c>
      <c r="E125" s="2977">
        <v>9.6000000000000002E-2</v>
      </c>
      <c r="F125" s="2993"/>
      <c r="G125" s="2978">
        <v>0.1</v>
      </c>
    </row>
    <row r="126" spans="1:7" ht="14.25" thickBot="1">
      <c r="A126" s="2990" t="s">
        <v>303</v>
      </c>
      <c r="B126" s="2980" t="s">
        <v>3170</v>
      </c>
      <c r="C126" s="2981">
        <v>0.1</v>
      </c>
      <c r="D126" s="2981">
        <v>0.1</v>
      </c>
      <c r="E126" s="2981">
        <v>9.8000000000000004E-2</v>
      </c>
      <c r="F126" s="2981">
        <v>0.1</v>
      </c>
      <c r="G126" s="2983">
        <v>0.1</v>
      </c>
    </row>
    <row r="127" spans="1:7">
      <c r="A127" s="2986" t="s">
        <v>29</v>
      </c>
      <c r="B127" s="2972" t="s">
        <v>2847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2917</v>
      </c>
      <c r="C148" s="2977">
        <v>0.13</v>
      </c>
      <c r="D148" s="2977">
        <v>0.13</v>
      </c>
      <c r="E148" s="2977">
        <v>0.13</v>
      </c>
      <c r="F148" s="2988"/>
      <c r="G148" s="2978">
        <v>0.13</v>
      </c>
    </row>
    <row r="149" spans="1:7">
      <c r="A149" s="2987" t="s">
        <v>29</v>
      </c>
      <c r="B149" s="2976" t="s">
        <v>2921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2940</v>
      </c>
      <c r="C153" s="2977">
        <v>0.13</v>
      </c>
      <c r="D153" s="2977">
        <v>0.13</v>
      </c>
      <c r="E153" s="2977">
        <v>0.13</v>
      </c>
      <c r="F153" s="2977">
        <v>0.13</v>
      </c>
      <c r="G153" s="2978">
        <v>0.13</v>
      </c>
    </row>
    <row r="154" spans="1:7">
      <c r="A154" s="2987" t="s">
        <v>29</v>
      </c>
      <c r="B154" s="2976" t="s">
        <v>2947</v>
      </c>
      <c r="C154" s="2977">
        <v>0.121</v>
      </c>
      <c r="D154" s="2977">
        <v>0.121</v>
      </c>
      <c r="E154" s="2977">
        <v>0.105</v>
      </c>
      <c r="F154" s="2977">
        <v>0.121</v>
      </c>
      <c r="G154" s="2978">
        <v>0.123</v>
      </c>
    </row>
    <row r="155" spans="1:7">
      <c r="A155" s="2987" t="s">
        <v>29</v>
      </c>
      <c r="B155" s="2976" t="s">
        <v>2953</v>
      </c>
      <c r="C155" s="2977">
        <v>0.1</v>
      </c>
      <c r="D155" s="2977">
        <v>0.1</v>
      </c>
      <c r="E155" s="2977">
        <v>0.1</v>
      </c>
      <c r="F155" s="2977">
        <v>0.1</v>
      </c>
      <c r="G155" s="2978">
        <v>0.1</v>
      </c>
    </row>
    <row r="156" spans="1:7">
      <c r="A156" s="2987" t="s">
        <v>29</v>
      </c>
      <c r="B156" s="2976" t="s">
        <v>2960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2980</v>
      </c>
      <c r="C160" s="2977">
        <v>0.13</v>
      </c>
      <c r="D160" s="2977">
        <v>0.13</v>
      </c>
      <c r="E160" s="2977">
        <v>0.124</v>
      </c>
      <c r="F160" s="2977">
        <v>0.126</v>
      </c>
      <c r="G160" s="2978">
        <v>0.13</v>
      </c>
    </row>
    <row r="161" spans="1:7">
      <c r="A161" s="2987" t="s">
        <v>29</v>
      </c>
      <c r="B161" s="2976" t="s">
        <v>2985</v>
      </c>
      <c r="C161" s="2977">
        <v>0.13</v>
      </c>
      <c r="D161" s="2977">
        <v>0.13</v>
      </c>
      <c r="E161" s="2977">
        <v>0.124</v>
      </c>
      <c r="F161" s="2977">
        <v>0.127</v>
      </c>
      <c r="G161" s="2978">
        <v>0.13</v>
      </c>
    </row>
    <row r="162" spans="1:7">
      <c r="A162" s="2987" t="s">
        <v>29</v>
      </c>
      <c r="B162" s="2976" t="s">
        <v>2990</v>
      </c>
      <c r="C162" s="2977">
        <v>0.1</v>
      </c>
      <c r="D162" s="2977">
        <v>0.1</v>
      </c>
      <c r="E162" s="2977">
        <v>0.1</v>
      </c>
      <c r="F162" s="2977">
        <v>0.121</v>
      </c>
      <c r="G162" s="2978">
        <v>0.105</v>
      </c>
    </row>
    <row r="163" spans="1:7">
      <c r="A163" s="2987" t="s">
        <v>29</v>
      </c>
      <c r="B163" s="2976" t="s">
        <v>2995</v>
      </c>
      <c r="C163" s="2977">
        <v>0.1</v>
      </c>
      <c r="D163" s="2977">
        <v>0.1</v>
      </c>
      <c r="E163" s="2977">
        <v>0.1</v>
      </c>
      <c r="F163" s="2977">
        <v>0.1</v>
      </c>
      <c r="G163" s="2978">
        <v>0.1</v>
      </c>
    </row>
    <row r="164" spans="1:7">
      <c r="A164" s="2987" t="s">
        <v>29</v>
      </c>
      <c r="B164" s="2976" t="s">
        <v>3000</v>
      </c>
      <c r="C164" s="2993"/>
      <c r="D164" s="2993"/>
      <c r="E164" s="2993"/>
      <c r="F164" s="2977">
        <v>0.1</v>
      </c>
      <c r="G164" s="2989"/>
    </row>
    <row r="165" spans="1:7">
      <c r="A165" s="2987" t="s">
        <v>29</v>
      </c>
      <c r="B165" s="2976" t="s">
        <v>3171</v>
      </c>
      <c r="C165" s="2977">
        <v>0.126</v>
      </c>
      <c r="D165" s="2977">
        <v>0.126</v>
      </c>
      <c r="E165" s="2977">
        <v>0.11899999999999999</v>
      </c>
      <c r="F165" s="2977">
        <v>0.13</v>
      </c>
      <c r="G165" s="2978">
        <v>0.128</v>
      </c>
    </row>
    <row r="166" spans="1:7">
      <c r="A166" s="2987" t="s">
        <v>29</v>
      </c>
      <c r="B166" s="2976" t="s">
        <v>3010</v>
      </c>
      <c r="C166" s="2977">
        <v>0.129</v>
      </c>
      <c r="D166" s="2977">
        <v>0.129</v>
      </c>
      <c r="E166" s="2977">
        <v>0.123</v>
      </c>
      <c r="F166" s="2977">
        <v>0.128</v>
      </c>
      <c r="G166" s="2978">
        <v>0.13</v>
      </c>
    </row>
    <row r="167" spans="1:7">
      <c r="A167" s="2987" t="s">
        <v>29</v>
      </c>
      <c r="B167" s="2976" t="s">
        <v>3014</v>
      </c>
      <c r="C167" s="2977">
        <v>0.125</v>
      </c>
      <c r="D167" s="2977">
        <v>0.125</v>
      </c>
      <c r="E167" s="2977">
        <v>0.11700000000000001</v>
      </c>
      <c r="F167" s="2977">
        <v>0.13</v>
      </c>
      <c r="G167" s="2978">
        <v>0.126</v>
      </c>
    </row>
    <row r="168" spans="1:7">
      <c r="A168" s="2987" t="s">
        <v>29</v>
      </c>
      <c r="B168" s="2976" t="s">
        <v>3019</v>
      </c>
      <c r="C168" s="2977">
        <v>0.128</v>
      </c>
      <c r="D168" s="2977">
        <v>0.128</v>
      </c>
      <c r="E168" s="2977">
        <v>0.123</v>
      </c>
      <c r="F168" s="2988"/>
      <c r="G168" s="2978">
        <v>0.13</v>
      </c>
    </row>
    <row r="169" spans="1:7">
      <c r="A169" s="2987" t="s">
        <v>29</v>
      </c>
      <c r="B169" s="2976" t="s">
        <v>3172</v>
      </c>
      <c r="C169" s="2993"/>
      <c r="D169" s="2993"/>
      <c r="E169" s="2993"/>
      <c r="F169" s="2977">
        <v>0.05</v>
      </c>
      <c r="G169" s="2989"/>
    </row>
    <row r="170" spans="1:7">
      <c r="A170" s="2987" t="s">
        <v>29</v>
      </c>
      <c r="B170" s="2976" t="s">
        <v>3173</v>
      </c>
      <c r="C170" s="2993"/>
      <c r="D170" s="2993"/>
      <c r="E170" s="2993"/>
      <c r="F170" s="2977">
        <v>0.05</v>
      </c>
      <c r="G170" s="2989"/>
    </row>
    <row r="171" spans="1:7">
      <c r="A171" s="2987" t="s">
        <v>29</v>
      </c>
      <c r="B171" s="2976" t="s">
        <v>3174</v>
      </c>
      <c r="C171" s="2993"/>
      <c r="D171" s="2993"/>
      <c r="E171" s="2993"/>
      <c r="F171" s="2977">
        <v>0.05</v>
      </c>
      <c r="G171" s="2994"/>
    </row>
    <row r="172" spans="1:7">
      <c r="A172" s="2987" t="s">
        <v>29</v>
      </c>
      <c r="B172" s="2976" t="s">
        <v>3175</v>
      </c>
      <c r="C172" s="2993"/>
      <c r="D172" s="2993"/>
      <c r="E172" s="2993"/>
      <c r="F172" s="2977">
        <v>0.05</v>
      </c>
      <c r="G172" s="2994"/>
    </row>
    <row r="173" spans="1:7">
      <c r="A173" s="2987" t="s">
        <v>29</v>
      </c>
      <c r="B173" s="2976" t="s">
        <v>3176</v>
      </c>
      <c r="C173" s="2993"/>
      <c r="D173" s="2993"/>
      <c r="E173" s="2993"/>
      <c r="F173" s="2977">
        <v>0.05</v>
      </c>
      <c r="G173" s="2989"/>
    </row>
    <row r="174" spans="1:7">
      <c r="A174" s="2987" t="s">
        <v>29</v>
      </c>
      <c r="B174" s="2976" t="s">
        <v>3177</v>
      </c>
      <c r="C174" s="2993"/>
      <c r="D174" s="2993"/>
      <c r="E174" s="2993"/>
      <c r="F174" s="2977">
        <v>0.05</v>
      </c>
      <c r="G174" s="2989"/>
    </row>
    <row r="175" spans="1:7">
      <c r="A175" s="2987" t="s">
        <v>29</v>
      </c>
      <c r="B175" s="2976" t="s">
        <v>3178</v>
      </c>
      <c r="C175" s="2993"/>
      <c r="D175" s="2993"/>
      <c r="E175" s="2993"/>
      <c r="F175" s="2977">
        <v>0.05</v>
      </c>
      <c r="G175" s="2989"/>
    </row>
    <row r="176" spans="1:7">
      <c r="A176" s="2987" t="s">
        <v>29</v>
      </c>
      <c r="B176" s="2976" t="s">
        <v>3179</v>
      </c>
      <c r="C176" s="2993"/>
      <c r="D176" s="2993"/>
      <c r="E176" s="2993"/>
      <c r="F176" s="2977">
        <v>0.05</v>
      </c>
      <c r="G176" s="2989"/>
    </row>
    <row r="177" spans="1:7">
      <c r="A177" s="2987" t="s">
        <v>29</v>
      </c>
      <c r="B177" s="2976" t="s">
        <v>3180</v>
      </c>
      <c r="C177" s="2988"/>
      <c r="D177" s="2988"/>
      <c r="E177" s="2988"/>
      <c r="F177" s="2977">
        <v>0.05</v>
      </c>
      <c r="G177" s="2994"/>
    </row>
    <row r="178" spans="1:7">
      <c r="A178" s="2987" t="s">
        <v>29</v>
      </c>
      <c r="B178" s="2976" t="s">
        <v>3181</v>
      </c>
      <c r="C178" s="2988"/>
      <c r="D178" s="2988"/>
      <c r="E178" s="2988"/>
      <c r="F178" s="2977">
        <v>0.05</v>
      </c>
      <c r="G178" s="2994"/>
    </row>
    <row r="179" spans="1:7">
      <c r="A179" s="2987" t="s">
        <v>29</v>
      </c>
      <c r="B179" s="2976" t="s">
        <v>3182</v>
      </c>
      <c r="C179" s="2988"/>
      <c r="D179" s="2988"/>
      <c r="E179" s="2988"/>
      <c r="F179" s="2977">
        <v>0.05</v>
      </c>
      <c r="G179" s="2994"/>
    </row>
    <row r="180" spans="1:7">
      <c r="A180" s="2987" t="s">
        <v>29</v>
      </c>
      <c r="B180" s="2976" t="s">
        <v>3183</v>
      </c>
      <c r="C180" s="2988"/>
      <c r="D180" s="2988"/>
      <c r="E180" s="2988"/>
      <c r="F180" s="2977">
        <v>0.05</v>
      </c>
      <c r="G180" s="2994"/>
    </row>
    <row r="181" spans="1:7">
      <c r="A181" s="2987" t="s">
        <v>29</v>
      </c>
      <c r="B181" s="2976" t="s">
        <v>3184</v>
      </c>
      <c r="C181" s="2988"/>
      <c r="D181" s="2988"/>
      <c r="E181" s="2988"/>
      <c r="F181" s="2977">
        <v>0.05</v>
      </c>
      <c r="G181" s="2994"/>
    </row>
    <row r="182" spans="1:7">
      <c r="A182" s="2987" t="s">
        <v>29</v>
      </c>
      <c r="B182" s="2976" t="s">
        <v>3185</v>
      </c>
      <c r="C182" s="2988"/>
      <c r="D182" s="2988"/>
      <c r="E182" s="2988"/>
      <c r="F182" s="2977">
        <v>0.05</v>
      </c>
      <c r="G182" s="2994"/>
    </row>
    <row r="183" spans="1:7">
      <c r="A183" s="2987" t="s">
        <v>29</v>
      </c>
      <c r="B183" s="2976" t="s">
        <v>3186</v>
      </c>
      <c r="C183" s="2988"/>
      <c r="D183" s="2988"/>
      <c r="E183" s="2988"/>
      <c r="F183" s="2977">
        <v>0.05</v>
      </c>
      <c r="G183" s="2994"/>
    </row>
    <row r="184" spans="1:7">
      <c r="A184" s="2987" t="s">
        <v>29</v>
      </c>
      <c r="B184" s="2976" t="s">
        <v>3187</v>
      </c>
      <c r="C184" s="2988"/>
      <c r="D184" s="2988"/>
      <c r="E184" s="2988"/>
      <c r="F184" s="2977">
        <v>0.05</v>
      </c>
      <c r="G184" s="2994"/>
    </row>
    <row r="185" spans="1:7">
      <c r="A185" s="2987" t="s">
        <v>29</v>
      </c>
      <c r="B185" s="2976" t="s">
        <v>3188</v>
      </c>
      <c r="C185" s="2988"/>
      <c r="D185" s="2988"/>
      <c r="E185" s="2988"/>
      <c r="F185" s="2977">
        <v>0.05</v>
      </c>
      <c r="G185" s="2994"/>
    </row>
    <row r="186" spans="1:7">
      <c r="A186" s="2987" t="s">
        <v>29</v>
      </c>
      <c r="B186" s="2976" t="s">
        <v>3189</v>
      </c>
      <c r="C186" s="2988"/>
      <c r="D186" s="2988"/>
      <c r="E186" s="2988"/>
      <c r="F186" s="2977">
        <v>0.05</v>
      </c>
      <c r="G186" s="2994"/>
    </row>
    <row r="187" spans="1:7">
      <c r="A187" s="2987" t="s">
        <v>29</v>
      </c>
      <c r="B187" s="2976" t="s">
        <v>3190</v>
      </c>
      <c r="C187" s="2988"/>
      <c r="D187" s="2988"/>
      <c r="E187" s="2988"/>
      <c r="F187" s="2977">
        <v>0.05</v>
      </c>
      <c r="G187" s="2994"/>
    </row>
    <row r="188" spans="1:7">
      <c r="A188" s="2987" t="s">
        <v>29</v>
      </c>
      <c r="B188" s="2976" t="s">
        <v>3191</v>
      </c>
      <c r="C188" s="2988"/>
      <c r="D188" s="2988"/>
      <c r="E188" s="2988"/>
      <c r="F188" s="2977">
        <v>0.05</v>
      </c>
      <c r="G188" s="2994"/>
    </row>
    <row r="189" spans="1:7" ht="14.25" thickBot="1">
      <c r="A189" s="2990" t="s">
        <v>29</v>
      </c>
      <c r="B189" s="2980" t="s">
        <v>3192</v>
      </c>
      <c r="C189" s="2982"/>
      <c r="D189" s="2982"/>
      <c r="E189" s="2982"/>
      <c r="F189" s="2981">
        <v>0.05</v>
      </c>
      <c r="G189" s="2995"/>
    </row>
    <row r="190" spans="1:7">
      <c r="A190" s="2986" t="s">
        <v>304</v>
      </c>
      <c r="B190" s="2972" t="s">
        <v>2848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2884</v>
      </c>
      <c r="C199" s="2977">
        <v>0.13</v>
      </c>
      <c r="D199" s="2977">
        <v>0.13</v>
      </c>
      <c r="E199" s="2977">
        <v>0.13</v>
      </c>
      <c r="F199" s="2977">
        <v>0.13</v>
      </c>
      <c r="G199" s="2978">
        <v>0.13</v>
      </c>
    </row>
    <row r="200" spans="1:7">
      <c r="A200" s="2987" t="s">
        <v>304</v>
      </c>
      <c r="B200" s="2976" t="s">
        <v>2887</v>
      </c>
      <c r="C200" s="2993"/>
      <c r="D200" s="2993"/>
      <c r="E200" s="2993"/>
      <c r="F200" s="2977">
        <v>0.13</v>
      </c>
      <c r="G200" s="2989"/>
    </row>
    <row r="201" spans="1:7">
      <c r="A201" s="2987" t="s">
        <v>304</v>
      </c>
      <c r="B201" s="2976" t="s">
        <v>2892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2895</v>
      </c>
      <c r="C203" s="2977">
        <v>0.129</v>
      </c>
      <c r="D203" s="2977">
        <v>0.129</v>
      </c>
      <c r="E203" s="2977">
        <v>0.13</v>
      </c>
      <c r="F203" s="2977">
        <v>0.13</v>
      </c>
      <c r="G203" s="2978">
        <v>0.13</v>
      </c>
    </row>
    <row r="204" spans="1:7">
      <c r="A204" s="2987" t="s">
        <v>304</v>
      </c>
      <c r="B204" s="2976" t="s">
        <v>2898</v>
      </c>
      <c r="C204" s="2977">
        <v>0.129</v>
      </c>
      <c r="D204" s="2977">
        <v>0.129</v>
      </c>
      <c r="E204" s="2977">
        <v>0.123</v>
      </c>
      <c r="F204" s="2977">
        <v>0.13</v>
      </c>
      <c r="G204" s="2978">
        <v>0.13</v>
      </c>
    </row>
    <row r="205" spans="1:7">
      <c r="A205" s="2987" t="s">
        <v>304</v>
      </c>
      <c r="B205" s="2976" t="s">
        <v>2900</v>
      </c>
      <c r="C205" s="2977">
        <v>0.13</v>
      </c>
      <c r="D205" s="2977">
        <v>0.13</v>
      </c>
      <c r="E205" s="2977">
        <v>0.13</v>
      </c>
      <c r="F205" s="2977">
        <v>0.13</v>
      </c>
      <c r="G205" s="2978">
        <v>0.13</v>
      </c>
    </row>
    <row r="206" spans="1:7">
      <c r="A206" s="2987" t="s">
        <v>304</v>
      </c>
      <c r="B206" s="2976" t="s">
        <v>2903</v>
      </c>
      <c r="C206" s="2977">
        <v>0.13</v>
      </c>
      <c r="D206" s="2977">
        <v>0.13</v>
      </c>
      <c r="E206" s="2977">
        <v>0.13</v>
      </c>
      <c r="F206" s="2977">
        <v>0.128</v>
      </c>
      <c r="G206" s="2978">
        <v>0.13</v>
      </c>
    </row>
    <row r="207" spans="1:7">
      <c r="A207" s="2987" t="s">
        <v>304</v>
      </c>
      <c r="B207" s="2976" t="s">
        <v>2905</v>
      </c>
      <c r="C207" s="2977">
        <v>0.13</v>
      </c>
      <c r="D207" s="2977">
        <v>0.13</v>
      </c>
      <c r="E207" s="2977">
        <v>0.13</v>
      </c>
      <c r="F207" s="2977">
        <v>0.13</v>
      </c>
      <c r="G207" s="2978">
        <v>0.13</v>
      </c>
    </row>
    <row r="208" spans="1:7">
      <c r="A208" s="2987" t="s">
        <v>304</v>
      </c>
      <c r="B208" s="2976" t="s">
        <v>2908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2915</v>
      </c>
      <c r="C210" s="2977">
        <v>0.121</v>
      </c>
      <c r="D210" s="2977">
        <v>0.121</v>
      </c>
      <c r="E210" s="2977">
        <v>0.125</v>
      </c>
      <c r="F210" s="2977">
        <v>0.13</v>
      </c>
      <c r="G210" s="2978">
        <v>0.123</v>
      </c>
    </row>
    <row r="211" spans="1:7">
      <c r="A211" s="2987" t="s">
        <v>304</v>
      </c>
      <c r="B211" s="2976" t="s">
        <v>2918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2930</v>
      </c>
      <c r="C214" s="2977">
        <v>0.128</v>
      </c>
      <c r="D214" s="2977">
        <v>0.128</v>
      </c>
      <c r="E214" s="2977">
        <v>0.13</v>
      </c>
      <c r="F214" s="2977">
        <v>0.13</v>
      </c>
      <c r="G214" s="2978">
        <v>0.13</v>
      </c>
    </row>
    <row r="215" spans="1:7">
      <c r="A215" s="2987" t="s">
        <v>304</v>
      </c>
      <c r="B215" s="2976" t="s">
        <v>2934</v>
      </c>
      <c r="C215" s="2977">
        <v>0.13</v>
      </c>
      <c r="D215" s="2977">
        <v>0.13</v>
      </c>
      <c r="E215" s="2977">
        <v>0.13</v>
      </c>
      <c r="F215" s="2977">
        <v>0.129</v>
      </c>
      <c r="G215" s="2978">
        <v>0.13</v>
      </c>
    </row>
    <row r="216" spans="1:7">
      <c r="A216" s="2987" t="s">
        <v>304</v>
      </c>
      <c r="B216" s="2976" t="s">
        <v>2941</v>
      </c>
      <c r="C216" s="2977">
        <v>0.13</v>
      </c>
      <c r="D216" s="2977">
        <v>0.13</v>
      </c>
      <c r="E216" s="2977">
        <v>0.13</v>
      </c>
      <c r="F216" s="2977">
        <v>0.13</v>
      </c>
      <c r="G216" s="2978">
        <v>0.13</v>
      </c>
    </row>
    <row r="217" spans="1:7">
      <c r="A217" s="2987" t="s">
        <v>304</v>
      </c>
      <c r="B217" s="2976" t="s">
        <v>2948</v>
      </c>
      <c r="C217" s="2977">
        <v>0.129</v>
      </c>
      <c r="D217" s="2977">
        <v>0.129</v>
      </c>
      <c r="E217" s="2977">
        <v>0.13</v>
      </c>
      <c r="F217" s="2977">
        <v>0.13</v>
      </c>
      <c r="G217" s="2978">
        <v>0.13</v>
      </c>
    </row>
    <row r="218" spans="1:7">
      <c r="A218" s="2987" t="s">
        <v>304</v>
      </c>
      <c r="B218" s="2976" t="s">
        <v>2954</v>
      </c>
      <c r="C218" s="2988"/>
      <c r="D218" s="2988"/>
      <c r="E218" s="2988"/>
      <c r="F218" s="2977">
        <v>0.05</v>
      </c>
      <c r="G218" s="2994"/>
    </row>
    <row r="219" spans="1:7">
      <c r="A219" s="2987" t="s">
        <v>304</v>
      </c>
      <c r="B219" s="2976" t="s">
        <v>2961</v>
      </c>
      <c r="C219" s="2988"/>
      <c r="D219" s="2988"/>
      <c r="E219" s="2988"/>
      <c r="F219" s="2977">
        <v>0.05</v>
      </c>
      <c r="G219" s="2994"/>
    </row>
    <row r="220" spans="1:7">
      <c r="A220" s="2987" t="s">
        <v>304</v>
      </c>
      <c r="B220" s="2976" t="s">
        <v>2967</v>
      </c>
      <c r="C220" s="2988"/>
      <c r="D220" s="2988"/>
      <c r="E220" s="2988"/>
      <c r="F220" s="2977">
        <v>0.05</v>
      </c>
      <c r="G220" s="2994"/>
    </row>
    <row r="221" spans="1:7">
      <c r="A221" s="2987" t="s">
        <v>304</v>
      </c>
      <c r="B221" s="2976" t="s">
        <v>2972</v>
      </c>
      <c r="C221" s="2988"/>
      <c r="D221" s="2988"/>
      <c r="E221" s="2988"/>
      <c r="F221" s="2977">
        <v>0.05</v>
      </c>
      <c r="G221" s="2994"/>
    </row>
    <row r="222" spans="1:7">
      <c r="A222" s="2987" t="s">
        <v>304</v>
      </c>
      <c r="B222" s="2976" t="s">
        <v>2976</v>
      </c>
      <c r="C222" s="2988"/>
      <c r="D222" s="2988"/>
      <c r="E222" s="2988"/>
      <c r="F222" s="2977">
        <v>0.05</v>
      </c>
      <c r="G222" s="2994"/>
    </row>
    <row r="223" spans="1:7">
      <c r="A223" s="2987" t="s">
        <v>304</v>
      </c>
      <c r="B223" s="2976" t="s">
        <v>2981</v>
      </c>
      <c r="C223" s="2988"/>
      <c r="D223" s="2988"/>
      <c r="E223" s="2988"/>
      <c r="F223" s="2977">
        <v>0.05</v>
      </c>
      <c r="G223" s="2994"/>
    </row>
    <row r="224" spans="1:7">
      <c r="A224" s="2987" t="s">
        <v>304</v>
      </c>
      <c r="B224" s="2976" t="s">
        <v>2986</v>
      </c>
      <c r="C224" s="2988"/>
      <c r="D224" s="2988"/>
      <c r="E224" s="2988"/>
      <c r="F224" s="2977">
        <v>0.05</v>
      </c>
      <c r="G224" s="2994"/>
    </row>
    <row r="225" spans="1:7">
      <c r="A225" s="2987" t="s">
        <v>304</v>
      </c>
      <c r="B225" s="2976" t="s">
        <v>2991</v>
      </c>
      <c r="C225" s="2988"/>
      <c r="D225" s="2988"/>
      <c r="E225" s="2988"/>
      <c r="F225" s="2977">
        <v>0.05</v>
      </c>
      <c r="G225" s="2994"/>
    </row>
    <row r="226" spans="1:7">
      <c r="A226" s="2987" t="s">
        <v>304</v>
      </c>
      <c r="B226" s="2976" t="s">
        <v>3193</v>
      </c>
      <c r="C226" s="2988"/>
      <c r="D226" s="2988"/>
      <c r="E226" s="2988"/>
      <c r="F226" s="2977">
        <v>0.05</v>
      </c>
      <c r="G226" s="2994"/>
    </row>
    <row r="227" spans="1:7">
      <c r="A227" s="2987" t="s">
        <v>304</v>
      </c>
      <c r="B227" s="2976" t="s">
        <v>3194</v>
      </c>
      <c r="C227" s="2988"/>
      <c r="D227" s="2988"/>
      <c r="E227" s="2988"/>
      <c r="F227" s="2977">
        <v>0.05</v>
      </c>
      <c r="G227" s="2994"/>
    </row>
    <row r="228" spans="1:7">
      <c r="A228" s="2987" t="s">
        <v>304</v>
      </c>
      <c r="B228" s="2976" t="s">
        <v>3195</v>
      </c>
      <c r="C228" s="2988"/>
      <c r="D228" s="2988"/>
      <c r="E228" s="2988"/>
      <c r="F228" s="2977">
        <v>0.05</v>
      </c>
      <c r="G228" s="2994"/>
    </row>
    <row r="229" spans="1:7">
      <c r="A229" s="2987" t="s">
        <v>304</v>
      </c>
      <c r="B229" s="2976" t="s">
        <v>3196</v>
      </c>
      <c r="C229" s="2988"/>
      <c r="D229" s="2988"/>
      <c r="E229" s="2988"/>
      <c r="F229" s="2977">
        <v>0.05</v>
      </c>
      <c r="G229" s="2994"/>
    </row>
    <row r="230" spans="1:7">
      <c r="A230" s="2987" t="s">
        <v>304</v>
      </c>
      <c r="B230" s="2976" t="s">
        <v>3197</v>
      </c>
      <c r="C230" s="2988"/>
      <c r="D230" s="2988"/>
      <c r="E230" s="2988"/>
      <c r="F230" s="2977">
        <v>0.05</v>
      </c>
      <c r="G230" s="2994"/>
    </row>
    <row r="231" spans="1:7">
      <c r="A231" s="2987" t="s">
        <v>304</v>
      </c>
      <c r="B231" s="2976" t="s">
        <v>3198</v>
      </c>
      <c r="C231" s="2988"/>
      <c r="D231" s="2988"/>
      <c r="E231" s="2988"/>
      <c r="F231" s="2977">
        <v>0.05</v>
      </c>
      <c r="G231" s="2994"/>
    </row>
    <row r="232" spans="1:7">
      <c r="A232" s="2987" t="s">
        <v>304</v>
      </c>
      <c r="B232" s="2976" t="s">
        <v>3199</v>
      </c>
      <c r="C232" s="2988"/>
      <c r="D232" s="2988"/>
      <c r="E232" s="2988"/>
      <c r="F232" s="2977">
        <v>0.05</v>
      </c>
      <c r="G232" s="2994"/>
    </row>
    <row r="233" spans="1:7" ht="14.25" thickBot="1">
      <c r="A233" s="2990" t="s">
        <v>304</v>
      </c>
      <c r="B233" s="2980" t="s">
        <v>3200</v>
      </c>
      <c r="C233" s="2982"/>
      <c r="D233" s="2982"/>
      <c r="E233" s="2982"/>
      <c r="F233" s="2981">
        <v>0.05</v>
      </c>
      <c r="G233" s="2995"/>
    </row>
    <row r="234" spans="1:7">
      <c r="A234" s="2986" t="s">
        <v>305</v>
      </c>
      <c r="B234" s="2972" t="s">
        <v>2849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2869</v>
      </c>
      <c r="C238" s="2977">
        <v>0.14899999999999999</v>
      </c>
      <c r="D238" s="2977">
        <v>0.14899999999999999</v>
      </c>
      <c r="E238" s="2977">
        <v>0.15</v>
      </c>
      <c r="F238" s="2977">
        <v>0.15</v>
      </c>
      <c r="G238" s="2978">
        <v>0.15</v>
      </c>
    </row>
    <row r="239" spans="1:7">
      <c r="A239" s="2987" t="s">
        <v>305</v>
      </c>
      <c r="B239" s="2976" t="s">
        <v>2873</v>
      </c>
      <c r="C239" s="2977">
        <v>0.15</v>
      </c>
      <c r="D239" s="2977">
        <v>0.15</v>
      </c>
      <c r="E239" s="2977">
        <v>0.15</v>
      </c>
      <c r="F239" s="2977">
        <v>0.15</v>
      </c>
      <c r="G239" s="2978">
        <v>0.15</v>
      </c>
    </row>
    <row r="240" spans="1:7">
      <c r="A240" s="2987" t="s">
        <v>305</v>
      </c>
      <c r="B240" s="2976" t="s">
        <v>2878</v>
      </c>
      <c r="C240" s="2977">
        <v>0.15</v>
      </c>
      <c r="D240" s="2977">
        <v>0.15</v>
      </c>
      <c r="E240" s="2977">
        <v>0.15</v>
      </c>
      <c r="F240" s="2977">
        <v>0.15</v>
      </c>
      <c r="G240" s="2978">
        <v>0.15</v>
      </c>
    </row>
    <row r="241" spans="1:7">
      <c r="A241" s="2987" t="s">
        <v>305</v>
      </c>
      <c r="B241" s="2976" t="s">
        <v>2882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2931</v>
      </c>
      <c r="C258" s="2977">
        <v>0.14299999999999999</v>
      </c>
      <c r="D258" s="2977">
        <v>0.14299999999999999</v>
      </c>
      <c r="E258" s="2977">
        <v>0.15</v>
      </c>
      <c r="F258" s="2977">
        <v>0.14799999999999999</v>
      </c>
      <c r="G258" s="2978">
        <v>0.14599999999999999</v>
      </c>
    </row>
    <row r="259" spans="1:7">
      <c r="A259" s="2987" t="s">
        <v>305</v>
      </c>
      <c r="B259" s="2976" t="s">
        <v>2935</v>
      </c>
      <c r="C259" s="2977">
        <v>0.14399999999999999</v>
      </c>
      <c r="D259" s="2977">
        <v>0.14399999999999999</v>
      </c>
      <c r="E259" s="2977">
        <v>0.14899999999999999</v>
      </c>
      <c r="F259" s="2977">
        <v>0.14699999999999999</v>
      </c>
      <c r="G259" s="2978">
        <v>0.14599999999999999</v>
      </c>
    </row>
    <row r="260" spans="1:7">
      <c r="A260" s="2987" t="s">
        <v>305</v>
      </c>
      <c r="B260" s="2976" t="s">
        <v>2942</v>
      </c>
      <c r="C260" s="2977">
        <v>0.109</v>
      </c>
      <c r="D260" s="2977">
        <v>0.111</v>
      </c>
      <c r="E260" s="2977">
        <v>0.13100000000000001</v>
      </c>
      <c r="F260" s="2977">
        <v>0.126</v>
      </c>
      <c r="G260" s="2978">
        <v>0.11899999999999999</v>
      </c>
    </row>
    <row r="261" spans="1:7">
      <c r="A261" s="2987" t="s">
        <v>305</v>
      </c>
      <c r="B261" s="2976" t="s">
        <v>2949</v>
      </c>
      <c r="C261" s="2977">
        <v>0.1</v>
      </c>
      <c r="D261" s="2977">
        <v>0.1</v>
      </c>
      <c r="E261" s="2977">
        <v>0.11799999999999999</v>
      </c>
      <c r="F261" s="2977">
        <v>0.108</v>
      </c>
      <c r="G261" s="2978">
        <v>0.107</v>
      </c>
    </row>
    <row r="262" spans="1:7">
      <c r="A262" s="2987" t="s">
        <v>305</v>
      </c>
      <c r="B262" s="2976" t="s">
        <v>2955</v>
      </c>
      <c r="C262" s="2977">
        <v>0.1</v>
      </c>
      <c r="D262" s="2977">
        <v>0.1</v>
      </c>
      <c r="E262" s="2977">
        <v>0.1</v>
      </c>
      <c r="F262" s="2977">
        <v>0.14099999999999999</v>
      </c>
      <c r="G262" s="2978">
        <v>0.1</v>
      </c>
    </row>
    <row r="263" spans="1:7">
      <c r="A263" s="2987" t="s">
        <v>305</v>
      </c>
      <c r="B263" s="2976" t="s">
        <v>2962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2973</v>
      </c>
      <c r="C265" s="2988"/>
      <c r="D265" s="2988"/>
      <c r="E265" s="2988"/>
      <c r="F265" s="2977">
        <v>0.05</v>
      </c>
      <c r="G265" s="2994"/>
    </row>
    <row r="266" spans="1:7">
      <c r="A266" s="2987" t="s">
        <v>305</v>
      </c>
      <c r="B266" s="2976" t="s">
        <v>2977</v>
      </c>
      <c r="C266" s="2988"/>
      <c r="D266" s="2988"/>
      <c r="E266" s="2988"/>
      <c r="F266" s="2977">
        <v>0.05</v>
      </c>
      <c r="G266" s="2994"/>
    </row>
    <row r="267" spans="1:7">
      <c r="A267" s="2987" t="s">
        <v>305</v>
      </c>
      <c r="B267" s="2976" t="s">
        <v>2982</v>
      </c>
      <c r="C267" s="2988"/>
      <c r="D267" s="2988"/>
      <c r="E267" s="2988"/>
      <c r="F267" s="2977">
        <v>0.05</v>
      </c>
      <c r="G267" s="2994"/>
    </row>
    <row r="268" spans="1:7">
      <c r="A268" s="2987" t="s">
        <v>305</v>
      </c>
      <c r="B268" s="2976" t="s">
        <v>2987</v>
      </c>
      <c r="C268" s="2988"/>
      <c r="D268" s="2988"/>
      <c r="E268" s="2988"/>
      <c r="F268" s="2977">
        <v>0.05</v>
      </c>
      <c r="G268" s="2994"/>
    </row>
    <row r="269" spans="1:7">
      <c r="A269" s="2987" t="s">
        <v>305</v>
      </c>
      <c r="B269" s="2976" t="s">
        <v>2992</v>
      </c>
      <c r="C269" s="2988"/>
      <c r="D269" s="2988"/>
      <c r="E269" s="2988"/>
      <c r="F269" s="2977">
        <v>0.05</v>
      </c>
      <c r="G269" s="2994"/>
    </row>
    <row r="270" spans="1:7">
      <c r="A270" s="2987" t="s">
        <v>305</v>
      </c>
      <c r="B270" s="2976" t="s">
        <v>2997</v>
      </c>
      <c r="C270" s="2988"/>
      <c r="D270" s="2988"/>
      <c r="E270" s="2988"/>
      <c r="F270" s="2977">
        <v>0.05</v>
      </c>
      <c r="G270" s="2994"/>
    </row>
    <row r="271" spans="1:7">
      <c r="A271" s="2987" t="s">
        <v>305</v>
      </c>
      <c r="B271" s="2976" t="s">
        <v>3201</v>
      </c>
      <c r="C271" s="2988"/>
      <c r="D271" s="2988"/>
      <c r="E271" s="2988"/>
      <c r="F271" s="2977">
        <v>0.05</v>
      </c>
      <c r="G271" s="2994"/>
    </row>
    <row r="272" spans="1:7">
      <c r="A272" s="2987" t="s">
        <v>305</v>
      </c>
      <c r="B272" s="2976" t="s">
        <v>3202</v>
      </c>
      <c r="C272" s="2988"/>
      <c r="D272" s="2988"/>
      <c r="E272" s="2988"/>
      <c r="F272" s="2977">
        <v>0.05</v>
      </c>
      <c r="G272" s="2994"/>
    </row>
    <row r="273" spans="1:7">
      <c r="A273" s="2987" t="s">
        <v>305</v>
      </c>
      <c r="B273" s="2976" t="s">
        <v>3203</v>
      </c>
      <c r="C273" s="2988"/>
      <c r="D273" s="2988"/>
      <c r="E273" s="2988"/>
      <c r="F273" s="2977">
        <v>0.05</v>
      </c>
      <c r="G273" s="2994"/>
    </row>
    <row r="274" spans="1:7">
      <c r="A274" s="2987" t="s">
        <v>305</v>
      </c>
      <c r="B274" s="2976" t="s">
        <v>3204</v>
      </c>
      <c r="C274" s="2988"/>
      <c r="D274" s="2988"/>
      <c r="E274" s="2988"/>
      <c r="F274" s="2977">
        <v>0.05</v>
      </c>
      <c r="G274" s="2994"/>
    </row>
    <row r="275" spans="1:7">
      <c r="A275" s="2987" t="s">
        <v>305</v>
      </c>
      <c r="B275" s="2976" t="s">
        <v>3205</v>
      </c>
      <c r="C275" s="2988"/>
      <c r="D275" s="2988"/>
      <c r="E275" s="2988"/>
      <c r="F275" s="2977">
        <v>0.05</v>
      </c>
      <c r="G275" s="2994"/>
    </row>
    <row r="276" spans="1:7" ht="14.25" thickBot="1">
      <c r="A276" s="2990" t="s">
        <v>305</v>
      </c>
      <c r="B276" s="2980" t="s">
        <v>3206</v>
      </c>
      <c r="C276" s="2982"/>
      <c r="D276" s="2982"/>
      <c r="E276" s="2982"/>
      <c r="F276" s="2981">
        <v>0.05</v>
      </c>
      <c r="G276" s="2995"/>
    </row>
    <row r="277" spans="1:7">
      <c r="A277" s="2986" t="s">
        <v>306</v>
      </c>
      <c r="B277" s="2972" t="s">
        <v>2850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2862</v>
      </c>
      <c r="C279" s="2977">
        <v>0.15</v>
      </c>
      <c r="D279" s="2977">
        <v>0.15</v>
      </c>
      <c r="E279" s="2977">
        <v>0.15</v>
      </c>
      <c r="F279" s="2977">
        <v>0.15</v>
      </c>
      <c r="G279" s="2978">
        <v>0.15</v>
      </c>
    </row>
    <row r="280" spans="1:7">
      <c r="A280" s="2987" t="s">
        <v>306</v>
      </c>
      <c r="B280" s="2976" t="s">
        <v>2866</v>
      </c>
      <c r="C280" s="2977">
        <v>0.15</v>
      </c>
      <c r="D280" s="2977">
        <v>0.15</v>
      </c>
      <c r="E280" s="2977">
        <v>0.15</v>
      </c>
      <c r="F280" s="2977">
        <v>0.15</v>
      </c>
      <c r="G280" s="2978">
        <v>0.15</v>
      </c>
    </row>
    <row r="281" spans="1:7">
      <c r="A281" s="2987" t="s">
        <v>306</v>
      </c>
      <c r="B281" s="2976" t="s">
        <v>2870</v>
      </c>
      <c r="C281" s="2977">
        <v>0.15</v>
      </c>
      <c r="D281" s="2977">
        <v>0.15</v>
      </c>
      <c r="E281" s="2977">
        <v>0.15</v>
      </c>
      <c r="F281" s="2977">
        <v>0.15</v>
      </c>
      <c r="G281" s="2978">
        <v>0.15</v>
      </c>
    </row>
    <row r="282" spans="1:7">
      <c r="A282" s="2987" t="s">
        <v>306</v>
      </c>
      <c r="B282" s="2976" t="s">
        <v>2874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2904</v>
      </c>
      <c r="C293" s="2977">
        <v>0.15</v>
      </c>
      <c r="D293" s="2977">
        <v>0.15</v>
      </c>
      <c r="E293" s="2977">
        <v>0.15</v>
      </c>
      <c r="F293" s="2977">
        <v>0.14499999999999999</v>
      </c>
      <c r="G293" s="2978">
        <v>0.15</v>
      </c>
    </row>
    <row r="294" spans="1:7">
      <c r="A294" s="2987" t="s">
        <v>306</v>
      </c>
      <c r="B294" s="2976" t="s">
        <v>2906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2936</v>
      </c>
      <c r="C302" s="2977">
        <v>0.15</v>
      </c>
      <c r="D302" s="2977">
        <v>0.15</v>
      </c>
      <c r="E302" s="2977">
        <v>0.15</v>
      </c>
      <c r="F302" s="2977">
        <v>0.14699999999999999</v>
      </c>
      <c r="G302" s="2978">
        <v>0.15</v>
      </c>
    </row>
    <row r="303" spans="1:7">
      <c r="A303" s="2987" t="s">
        <v>306</v>
      </c>
      <c r="B303" s="2976" t="s">
        <v>2943</v>
      </c>
      <c r="C303" s="2977">
        <v>0.15</v>
      </c>
      <c r="D303" s="2977">
        <v>0.15</v>
      </c>
      <c r="E303" s="2977">
        <v>0.15</v>
      </c>
      <c r="F303" s="2977">
        <v>0.14199999999999999</v>
      </c>
      <c r="G303" s="2978">
        <v>0.15</v>
      </c>
    </row>
    <row r="304" spans="1:7">
      <c r="A304" s="2987" t="s">
        <v>306</v>
      </c>
      <c r="B304" s="2976" t="s">
        <v>2950</v>
      </c>
      <c r="C304" s="2977">
        <v>0.15</v>
      </c>
      <c r="D304" s="2977">
        <v>0.15</v>
      </c>
      <c r="E304" s="2977">
        <v>0.15</v>
      </c>
      <c r="F304" s="2977">
        <v>0.14499999999999999</v>
      </c>
      <c r="G304" s="2978">
        <v>0.15</v>
      </c>
    </row>
    <row r="305" spans="1:7">
      <c r="A305" s="2987" t="s">
        <v>306</v>
      </c>
      <c r="B305" s="2976" t="s">
        <v>2956</v>
      </c>
      <c r="C305" s="2977">
        <v>0.15</v>
      </c>
      <c r="D305" s="2977">
        <v>0.15</v>
      </c>
      <c r="E305" s="2977">
        <v>0.15</v>
      </c>
      <c r="F305" s="2977">
        <v>0.111</v>
      </c>
      <c r="G305" s="2978">
        <v>0.15</v>
      </c>
    </row>
    <row r="306" spans="1:7">
      <c r="A306" s="2987" t="s">
        <v>306</v>
      </c>
      <c r="B306" s="2976" t="s">
        <v>2963</v>
      </c>
      <c r="C306" s="2977">
        <v>0.15</v>
      </c>
      <c r="D306" s="2977">
        <v>0.15</v>
      </c>
      <c r="E306" s="2977">
        <v>0.15</v>
      </c>
      <c r="F306" s="2977">
        <v>0.126</v>
      </c>
      <c r="G306" s="2978">
        <v>0.15</v>
      </c>
    </row>
    <row r="307" spans="1:7">
      <c r="A307" s="2987" t="s">
        <v>306</v>
      </c>
      <c r="B307" s="2976" t="s">
        <v>2968</v>
      </c>
      <c r="C307" s="2977">
        <v>0.15</v>
      </c>
      <c r="D307" s="2977">
        <v>0.15</v>
      </c>
      <c r="E307" s="2977">
        <v>0.15</v>
      </c>
      <c r="F307" s="2977">
        <v>0.12</v>
      </c>
      <c r="G307" s="2978">
        <v>0.15</v>
      </c>
    </row>
    <row r="308" spans="1:7">
      <c r="A308" s="2987" t="s">
        <v>306</v>
      </c>
      <c r="B308" s="2976" t="s">
        <v>2974</v>
      </c>
      <c r="C308" s="2977">
        <v>0.15</v>
      </c>
      <c r="D308" s="2977">
        <v>0.15</v>
      </c>
      <c r="E308" s="2977">
        <v>0.15</v>
      </c>
      <c r="F308" s="2977">
        <v>0.13</v>
      </c>
      <c r="G308" s="2978">
        <v>0.15</v>
      </c>
    </row>
    <row r="309" spans="1:7">
      <c r="A309" s="2987" t="s">
        <v>306</v>
      </c>
      <c r="B309" s="2976" t="s">
        <v>2978</v>
      </c>
      <c r="C309" s="2977">
        <v>0.15</v>
      </c>
      <c r="D309" s="2977">
        <v>0.15</v>
      </c>
      <c r="E309" s="2977">
        <v>0.15</v>
      </c>
      <c r="F309" s="2977">
        <v>0.14099999999999999</v>
      </c>
      <c r="G309" s="2978">
        <v>0.15</v>
      </c>
    </row>
    <row r="310" spans="1:7">
      <c r="A310" s="2987" t="s">
        <v>306</v>
      </c>
      <c r="B310" s="2976" t="s">
        <v>2983</v>
      </c>
      <c r="C310" s="2977">
        <v>0.15</v>
      </c>
      <c r="D310" s="2977">
        <v>0.15</v>
      </c>
      <c r="E310" s="2977">
        <v>0.15</v>
      </c>
      <c r="F310" s="2977">
        <v>0.15</v>
      </c>
      <c r="G310" s="2978">
        <v>0.15</v>
      </c>
    </row>
    <row r="311" spans="1:7">
      <c r="A311" s="2987" t="s">
        <v>306</v>
      </c>
      <c r="B311" s="2976" t="s">
        <v>2988</v>
      </c>
      <c r="C311" s="2977">
        <v>0.13200000000000001</v>
      </c>
      <c r="D311" s="2977">
        <v>0.13300000000000001</v>
      </c>
      <c r="E311" s="2977">
        <v>0.14499999999999999</v>
      </c>
      <c r="F311" s="2977">
        <v>0.14199999999999999</v>
      </c>
      <c r="G311" s="2978">
        <v>0.14000000000000001</v>
      </c>
    </row>
    <row r="312" spans="1:7">
      <c r="A312" s="2987" t="s">
        <v>306</v>
      </c>
      <c r="B312" s="2976" t="s">
        <v>2993</v>
      </c>
      <c r="C312" s="2977">
        <v>0.13800000000000001</v>
      </c>
      <c r="D312" s="2977">
        <v>0.14000000000000001</v>
      </c>
      <c r="E312" s="2977">
        <v>0.14599999999999999</v>
      </c>
      <c r="F312" s="2977">
        <v>0.14899999999999999</v>
      </c>
      <c r="G312" s="2978">
        <v>0.14199999999999999</v>
      </c>
    </row>
    <row r="313" spans="1:7">
      <c r="A313" s="2987" t="s">
        <v>306</v>
      </c>
      <c r="B313" s="2976" t="s">
        <v>2998</v>
      </c>
      <c r="C313" s="2977">
        <v>0.125</v>
      </c>
      <c r="D313" s="2977">
        <v>0.127</v>
      </c>
      <c r="E313" s="2977">
        <v>0.14399999999999999</v>
      </c>
      <c r="F313" s="2977">
        <v>0.115</v>
      </c>
      <c r="G313" s="2978">
        <v>0.13600000000000001</v>
      </c>
    </row>
    <row r="314" spans="1:7">
      <c r="A314" s="2987" t="s">
        <v>306</v>
      </c>
      <c r="B314" s="2976" t="s">
        <v>3207</v>
      </c>
      <c r="C314" s="2993"/>
      <c r="D314" s="2993"/>
      <c r="E314" s="2993"/>
      <c r="F314" s="2977">
        <v>0.05</v>
      </c>
      <c r="G314" s="2994"/>
    </row>
    <row r="315" spans="1:7">
      <c r="A315" s="2987" t="s">
        <v>306</v>
      </c>
      <c r="B315" s="2976" t="s">
        <v>3208</v>
      </c>
      <c r="C315" s="2993"/>
      <c r="D315" s="2993"/>
      <c r="E315" s="2993"/>
      <c r="F315" s="2977">
        <v>0.05</v>
      </c>
      <c r="G315" s="2994"/>
    </row>
    <row r="316" spans="1:7">
      <c r="A316" s="2987" t="s">
        <v>306</v>
      </c>
      <c r="B316" s="2976" t="s">
        <v>3209</v>
      </c>
      <c r="C316" s="2988"/>
      <c r="D316" s="2988"/>
      <c r="E316" s="2988"/>
      <c r="F316" s="2977">
        <v>0.05</v>
      </c>
      <c r="G316" s="2994"/>
    </row>
    <row r="317" spans="1:7">
      <c r="A317" s="2987" t="s">
        <v>306</v>
      </c>
      <c r="B317" s="2976" t="s">
        <v>3210</v>
      </c>
      <c r="C317" s="2988"/>
      <c r="D317" s="2988"/>
      <c r="E317" s="2988"/>
      <c r="F317" s="2977">
        <v>0.05</v>
      </c>
      <c r="G317" s="2994"/>
    </row>
    <row r="318" spans="1:7">
      <c r="A318" s="2987" t="s">
        <v>306</v>
      </c>
      <c r="B318" s="2976" t="s">
        <v>3211</v>
      </c>
      <c r="C318" s="2988"/>
      <c r="D318" s="2988"/>
      <c r="E318" s="2988"/>
      <c r="F318" s="2977">
        <v>0.05</v>
      </c>
      <c r="G318" s="2994"/>
    </row>
    <row r="319" spans="1:7">
      <c r="A319" s="2987" t="s">
        <v>306</v>
      </c>
      <c r="B319" s="2976" t="s">
        <v>3212</v>
      </c>
      <c r="C319" s="2988"/>
      <c r="D319" s="2988"/>
      <c r="E319" s="2988"/>
      <c r="F319" s="2977">
        <v>0.05</v>
      </c>
      <c r="G319" s="2994"/>
    </row>
    <row r="320" spans="1:7">
      <c r="A320" s="2987" t="s">
        <v>306</v>
      </c>
      <c r="B320" s="2976" t="s">
        <v>3213</v>
      </c>
      <c r="C320" s="2988"/>
      <c r="D320" s="2988"/>
      <c r="E320" s="2988"/>
      <c r="F320" s="2977">
        <v>0.05</v>
      </c>
      <c r="G320" s="2994"/>
    </row>
    <row r="321" spans="1:7">
      <c r="A321" s="2987" t="s">
        <v>306</v>
      </c>
      <c r="B321" s="2976" t="s">
        <v>3214</v>
      </c>
      <c r="C321" s="2988"/>
      <c r="D321" s="2988"/>
      <c r="E321" s="2988"/>
      <c r="F321" s="2977">
        <v>0.05</v>
      </c>
      <c r="G321" s="2994"/>
    </row>
    <row r="322" spans="1:7">
      <c r="A322" s="2987" t="s">
        <v>306</v>
      </c>
      <c r="B322" s="2976" t="s">
        <v>3215</v>
      </c>
      <c r="C322" s="2988"/>
      <c r="D322" s="2988"/>
      <c r="E322" s="2988"/>
      <c r="F322" s="2977">
        <v>0.05</v>
      </c>
      <c r="G322" s="2994"/>
    </row>
    <row r="323" spans="1:7">
      <c r="A323" s="2987" t="s">
        <v>306</v>
      </c>
      <c r="B323" s="2976" t="s">
        <v>3216</v>
      </c>
      <c r="C323" s="2988"/>
      <c r="D323" s="2988"/>
      <c r="E323" s="2988"/>
      <c r="F323" s="2977">
        <v>0.05</v>
      </c>
      <c r="G323" s="2994"/>
    </row>
    <row r="324" spans="1:7">
      <c r="A324" s="2987" t="s">
        <v>306</v>
      </c>
      <c r="B324" s="2976" t="s">
        <v>3217</v>
      </c>
      <c r="C324" s="2988"/>
      <c r="D324" s="2988"/>
      <c r="E324" s="2988"/>
      <c r="F324" s="2977">
        <v>0.05</v>
      </c>
      <c r="G324" s="2994"/>
    </row>
    <row r="325" spans="1:7">
      <c r="A325" s="2987" t="s">
        <v>306</v>
      </c>
      <c r="B325" s="2976" t="s">
        <v>3218</v>
      </c>
      <c r="C325" s="2988"/>
      <c r="D325" s="2988"/>
      <c r="E325" s="2988"/>
      <c r="F325" s="2977">
        <v>0.05</v>
      </c>
      <c r="G325" s="2994"/>
    </row>
    <row r="326" spans="1:7" ht="14.25" thickBot="1">
      <c r="A326" s="2990" t="s">
        <v>306</v>
      </c>
      <c r="B326" s="2980" t="s">
        <v>3219</v>
      </c>
      <c r="C326" s="2982"/>
      <c r="D326" s="2982"/>
      <c r="E326" s="2982"/>
      <c r="F326" s="2981">
        <v>0.05</v>
      </c>
      <c r="G326" s="2995"/>
    </row>
    <row r="327" spans="1:7">
      <c r="A327" s="2986" t="s">
        <v>307</v>
      </c>
      <c r="B327" s="2972" t="s">
        <v>2851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2863</v>
      </c>
      <c r="C329" s="2977">
        <v>0.15</v>
      </c>
      <c r="D329" s="2977">
        <v>0.15</v>
      </c>
      <c r="E329" s="2977">
        <v>0.15</v>
      </c>
      <c r="F329" s="2977">
        <v>0.15</v>
      </c>
      <c r="G329" s="2978">
        <v>0.15</v>
      </c>
    </row>
    <row r="330" spans="1:7">
      <c r="A330" s="2987" t="s">
        <v>307</v>
      </c>
      <c r="B330" s="2976" t="s">
        <v>2867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2875</v>
      </c>
      <c r="C332" s="2977">
        <v>0.15</v>
      </c>
      <c r="D332" s="2977">
        <v>0.15</v>
      </c>
      <c r="E332" s="2977">
        <v>0.15</v>
      </c>
      <c r="F332" s="2977">
        <v>0.15</v>
      </c>
      <c r="G332" s="2978">
        <v>0.15</v>
      </c>
    </row>
    <row r="333" spans="1:7">
      <c r="A333" s="2987" t="s">
        <v>307</v>
      </c>
      <c r="B333" s="2976" t="s">
        <v>2879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2885</v>
      </c>
      <c r="C336" s="2977">
        <v>0.15</v>
      </c>
      <c r="D336" s="2977">
        <v>0.15</v>
      </c>
      <c r="E336" s="2977">
        <v>0.15</v>
      </c>
      <c r="F336" s="2977">
        <v>0.14199999999999999</v>
      </c>
      <c r="G336" s="2978">
        <v>0.15</v>
      </c>
    </row>
    <row r="337" spans="1:7">
      <c r="A337" s="2987" t="s">
        <v>307</v>
      </c>
      <c r="B337" s="2976" t="s">
        <v>2890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2910</v>
      </c>
      <c r="C345" s="2977">
        <v>0.15</v>
      </c>
      <c r="D345" s="2977">
        <v>0.15</v>
      </c>
      <c r="E345" s="2977">
        <v>0.15</v>
      </c>
      <c r="F345" s="2977">
        <v>0.13800000000000001</v>
      </c>
      <c r="G345" s="2978">
        <v>0.15</v>
      </c>
    </row>
    <row r="346" spans="1:7">
      <c r="A346" s="2987" t="s">
        <v>307</v>
      </c>
      <c r="B346" s="2976" t="s">
        <v>2912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2919</v>
      </c>
      <c r="C348" s="2977">
        <v>0.15</v>
      </c>
      <c r="D348" s="2977">
        <v>0.15</v>
      </c>
      <c r="E348" s="2977">
        <v>0.15</v>
      </c>
      <c r="F348" s="2977">
        <v>0.14399999999999999</v>
      </c>
      <c r="G348" s="2978">
        <v>0.15</v>
      </c>
    </row>
    <row r="349" spans="1:7">
      <c r="A349" s="2987" t="s">
        <v>307</v>
      </c>
      <c r="B349" s="2976" t="s">
        <v>2924</v>
      </c>
      <c r="C349" s="2977">
        <v>0.15</v>
      </c>
      <c r="D349" s="2977">
        <v>0.15</v>
      </c>
      <c r="E349" s="2977">
        <v>0.15</v>
      </c>
      <c r="F349" s="2977">
        <v>0.15</v>
      </c>
      <c r="G349" s="2978">
        <v>0.15</v>
      </c>
    </row>
    <row r="350" spans="1:7">
      <c r="A350" s="2987" t="s">
        <v>307</v>
      </c>
      <c r="B350" s="2976" t="s">
        <v>2927</v>
      </c>
      <c r="C350" s="2977">
        <v>0.15</v>
      </c>
      <c r="D350" s="2977">
        <v>0.15</v>
      </c>
      <c r="E350" s="2977">
        <v>0.15</v>
      </c>
      <c r="F350" s="2977">
        <v>0.14699999999999999</v>
      </c>
      <c r="G350" s="2978">
        <v>0.15</v>
      </c>
    </row>
    <row r="351" spans="1:7">
      <c r="A351" s="2987" t="s">
        <v>307</v>
      </c>
      <c r="B351" s="2976" t="s">
        <v>2932</v>
      </c>
      <c r="C351" s="2977">
        <v>0.15</v>
      </c>
      <c r="D351" s="2977">
        <v>0.15</v>
      </c>
      <c r="E351" s="2977">
        <v>0.15</v>
      </c>
      <c r="F351" s="2977">
        <v>0.13</v>
      </c>
      <c r="G351" s="2978">
        <v>0.15</v>
      </c>
    </row>
    <row r="352" spans="1:7">
      <c r="A352" s="2987" t="s">
        <v>307</v>
      </c>
      <c r="B352" s="2976" t="s">
        <v>2937</v>
      </c>
      <c r="C352" s="2977">
        <v>0.15</v>
      </c>
      <c r="D352" s="2977">
        <v>0.15</v>
      </c>
      <c r="E352" s="2977">
        <v>0.15</v>
      </c>
      <c r="F352" s="2977">
        <v>0.14599999999999999</v>
      </c>
      <c r="G352" s="2978">
        <v>0.15</v>
      </c>
    </row>
    <row r="353" spans="1:7">
      <c r="A353" s="2987" t="s">
        <v>307</v>
      </c>
      <c r="B353" s="2976" t="s">
        <v>2944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2957</v>
      </c>
      <c r="C355" s="2977">
        <v>0.15</v>
      </c>
      <c r="D355" s="2977">
        <v>0.15</v>
      </c>
      <c r="E355" s="2977">
        <v>0.15</v>
      </c>
      <c r="F355" s="2977">
        <v>0.15</v>
      </c>
      <c r="G355" s="2978">
        <v>0.15</v>
      </c>
    </row>
    <row r="356" spans="1:7">
      <c r="A356" s="2987" t="s">
        <v>307</v>
      </c>
      <c r="B356" s="2976" t="s">
        <v>2964</v>
      </c>
      <c r="C356" s="2977">
        <v>0.15</v>
      </c>
      <c r="D356" s="2977">
        <v>0.15</v>
      </c>
      <c r="E356" s="2977">
        <v>0.15</v>
      </c>
      <c r="F356" s="2977">
        <v>0.15</v>
      </c>
      <c r="G356" s="2978">
        <v>0.15</v>
      </c>
    </row>
    <row r="357" spans="1:7" ht="14.25" thickBot="1">
      <c r="A357" s="2990" t="s">
        <v>307</v>
      </c>
      <c r="B357" s="2980" t="s">
        <v>2969</v>
      </c>
      <c r="C357" s="2981">
        <v>0.126</v>
      </c>
      <c r="D357" s="2981">
        <v>0.127</v>
      </c>
      <c r="E357" s="2981">
        <v>0.14299999999999999</v>
      </c>
      <c r="F357" s="2981">
        <v>0.125</v>
      </c>
      <c r="G357" s="2983">
        <v>0.129</v>
      </c>
    </row>
    <row r="358" spans="1:7">
      <c r="A358" s="2986" t="s">
        <v>2838</v>
      </c>
      <c r="B358" s="2972" t="s">
        <v>2852</v>
      </c>
      <c r="C358" s="2973">
        <v>0.15</v>
      </c>
      <c r="D358" s="2973">
        <v>0.15</v>
      </c>
      <c r="E358" s="2973">
        <v>0.15</v>
      </c>
      <c r="F358" s="2973">
        <v>0.15</v>
      </c>
      <c r="G358" s="2974">
        <v>0.15</v>
      </c>
    </row>
    <row r="359" spans="1:7">
      <c r="A359" s="2987" t="s">
        <v>2838</v>
      </c>
      <c r="B359" s="2976" t="s">
        <v>2858</v>
      </c>
      <c r="C359" s="2977">
        <v>0.1</v>
      </c>
      <c r="D359" s="2977">
        <v>0.1</v>
      </c>
      <c r="E359" s="2977">
        <v>0.1</v>
      </c>
      <c r="F359" s="2977">
        <v>0.1</v>
      </c>
      <c r="G359" s="2978">
        <v>0.1</v>
      </c>
    </row>
    <row r="360" spans="1:7">
      <c r="A360" s="2987" t="s">
        <v>2838</v>
      </c>
      <c r="B360" s="2976" t="s">
        <v>2864</v>
      </c>
      <c r="C360" s="2977">
        <v>0.15</v>
      </c>
      <c r="D360" s="2977">
        <v>0.15</v>
      </c>
      <c r="E360" s="2977">
        <v>0.15</v>
      </c>
      <c r="F360" s="2977">
        <v>0.14899999999999999</v>
      </c>
      <c r="G360" s="2978">
        <v>0.15</v>
      </c>
    </row>
    <row r="361" spans="1:7">
      <c r="A361" s="2987" t="s">
        <v>2838</v>
      </c>
      <c r="B361" s="2976" t="s">
        <v>153</v>
      </c>
      <c r="C361" s="2977">
        <v>0.15</v>
      </c>
      <c r="D361" s="2977">
        <v>0.15</v>
      </c>
      <c r="E361" s="2977">
        <v>0.15</v>
      </c>
      <c r="F361" s="2977">
        <v>0.115</v>
      </c>
      <c r="G361" s="2978">
        <v>0.15</v>
      </c>
    </row>
    <row r="362" spans="1:7">
      <c r="A362" s="2987" t="s">
        <v>2838</v>
      </c>
      <c r="B362" s="2976" t="s">
        <v>2871</v>
      </c>
      <c r="C362" s="2977">
        <v>0.15</v>
      </c>
      <c r="D362" s="2977">
        <v>0.15</v>
      </c>
      <c r="E362" s="2977">
        <v>0.15</v>
      </c>
      <c r="F362" s="2977">
        <v>0.106</v>
      </c>
      <c r="G362" s="2978">
        <v>0.15</v>
      </c>
    </row>
    <row r="363" spans="1:7">
      <c r="A363" s="2987" t="s">
        <v>2838</v>
      </c>
      <c r="B363" s="2976" t="s">
        <v>2876</v>
      </c>
      <c r="C363" s="2977">
        <v>0.15</v>
      </c>
      <c r="D363" s="2977">
        <v>0.15</v>
      </c>
      <c r="E363" s="2977">
        <v>0.15</v>
      </c>
      <c r="F363" s="2977">
        <v>0.14699999999999999</v>
      </c>
      <c r="G363" s="2978">
        <v>0.15</v>
      </c>
    </row>
    <row r="364" spans="1:7">
      <c r="A364" s="2987" t="s">
        <v>2838</v>
      </c>
      <c r="B364" s="2976" t="s">
        <v>2880</v>
      </c>
      <c r="C364" s="2977">
        <v>0.15</v>
      </c>
      <c r="D364" s="2977">
        <v>0.15</v>
      </c>
      <c r="E364" s="2977">
        <v>0.15</v>
      </c>
      <c r="F364" s="2977">
        <v>0.14799999999999999</v>
      </c>
      <c r="G364" s="2978">
        <v>0.15</v>
      </c>
    </row>
    <row r="365" spans="1:7">
      <c r="A365" s="2987" t="s">
        <v>2838</v>
      </c>
      <c r="B365" s="2976" t="s">
        <v>200</v>
      </c>
      <c r="C365" s="2977">
        <v>0.15</v>
      </c>
      <c r="D365" s="2977">
        <v>0.15</v>
      </c>
      <c r="E365" s="2977">
        <v>0.15</v>
      </c>
      <c r="F365" s="2977">
        <v>0.15</v>
      </c>
      <c r="G365" s="2978">
        <v>0.15</v>
      </c>
    </row>
    <row r="366" spans="1:7">
      <c r="A366" s="2987" t="s">
        <v>2838</v>
      </c>
      <c r="B366" s="2976" t="s">
        <v>2883</v>
      </c>
      <c r="C366" s="2977">
        <v>0.15</v>
      </c>
      <c r="D366" s="2977">
        <v>0.15</v>
      </c>
      <c r="E366" s="2977">
        <v>0.15</v>
      </c>
      <c r="F366" s="2977">
        <v>0.15</v>
      </c>
      <c r="G366" s="2978">
        <v>0.15</v>
      </c>
    </row>
    <row r="367" spans="1:7">
      <c r="A367" s="2987" t="s">
        <v>2838</v>
      </c>
      <c r="B367" s="2976" t="s">
        <v>2886</v>
      </c>
      <c r="C367" s="2977">
        <v>0.15</v>
      </c>
      <c r="D367" s="2977">
        <v>0.15</v>
      </c>
      <c r="E367" s="2977">
        <v>0.15</v>
      </c>
      <c r="F367" s="2977">
        <v>0.14699999999999999</v>
      </c>
      <c r="G367" s="2978">
        <v>0.15</v>
      </c>
    </row>
    <row r="368" spans="1:7">
      <c r="A368" s="2987" t="s">
        <v>2838</v>
      </c>
      <c r="B368" s="2976" t="s">
        <v>2891</v>
      </c>
      <c r="C368" s="2977">
        <v>0.15</v>
      </c>
      <c r="D368" s="2977">
        <v>0.15</v>
      </c>
      <c r="E368" s="2977">
        <v>0.15</v>
      </c>
      <c r="F368" s="2977">
        <v>0.13600000000000001</v>
      </c>
      <c r="G368" s="2978">
        <v>0.15</v>
      </c>
    </row>
    <row r="369" spans="1:7">
      <c r="A369" s="2987" t="s">
        <v>2838</v>
      </c>
      <c r="B369" s="2976" t="s">
        <v>214</v>
      </c>
      <c r="C369" s="2977">
        <v>0.15</v>
      </c>
      <c r="D369" s="2977">
        <v>0.15</v>
      </c>
      <c r="E369" s="2977">
        <v>0.15</v>
      </c>
      <c r="F369" s="2977">
        <v>0.14399999999999999</v>
      </c>
      <c r="G369" s="2978">
        <v>0.15</v>
      </c>
    </row>
    <row r="370" spans="1:7">
      <c r="A370" s="2987" t="s">
        <v>2838</v>
      </c>
      <c r="B370" s="2976" t="s">
        <v>221</v>
      </c>
      <c r="C370" s="2977">
        <v>0.15</v>
      </c>
      <c r="D370" s="2977">
        <v>0.15</v>
      </c>
      <c r="E370" s="2977">
        <v>0.15</v>
      </c>
      <c r="F370" s="2977">
        <v>0.14599999999999999</v>
      </c>
      <c r="G370" s="2978">
        <v>0.15</v>
      </c>
    </row>
    <row r="371" spans="1:7">
      <c r="A371" s="2987" t="s">
        <v>2838</v>
      </c>
      <c r="B371" s="2976" t="s">
        <v>229</v>
      </c>
      <c r="C371" s="2977">
        <v>0.15</v>
      </c>
      <c r="D371" s="2977">
        <v>0.15</v>
      </c>
      <c r="E371" s="2977">
        <v>0.15</v>
      </c>
      <c r="F371" s="2977">
        <v>0.12</v>
      </c>
      <c r="G371" s="2978">
        <v>0.15</v>
      </c>
    </row>
    <row r="372" spans="1:7">
      <c r="A372" s="2987" t="s">
        <v>2838</v>
      </c>
      <c r="B372" s="2976" t="s">
        <v>2899</v>
      </c>
      <c r="C372" s="2977">
        <v>0.15</v>
      </c>
      <c r="D372" s="2977">
        <v>0.15</v>
      </c>
      <c r="E372" s="2977">
        <v>0.15</v>
      </c>
      <c r="F372" s="2977">
        <v>0.14299999999999999</v>
      </c>
      <c r="G372" s="2978">
        <v>0.15</v>
      </c>
    </row>
    <row r="373" spans="1:7">
      <c r="A373" s="2987" t="s">
        <v>2838</v>
      </c>
      <c r="B373" s="2976" t="s">
        <v>258</v>
      </c>
      <c r="C373" s="2977">
        <v>0.15</v>
      </c>
      <c r="D373" s="2977">
        <v>0.15</v>
      </c>
      <c r="E373" s="2977">
        <v>0.15</v>
      </c>
      <c r="F373" s="2977">
        <v>0.14599999999999999</v>
      </c>
      <c r="G373" s="2978">
        <v>0.15</v>
      </c>
    </row>
    <row r="374" spans="1:7">
      <c r="A374" s="2987" t="s">
        <v>2838</v>
      </c>
      <c r="B374" s="2976" t="s">
        <v>266</v>
      </c>
      <c r="C374" s="2977">
        <v>0.15</v>
      </c>
      <c r="D374" s="2977">
        <v>0.15</v>
      </c>
      <c r="E374" s="2977">
        <v>0.15</v>
      </c>
      <c r="F374" s="2977">
        <v>0.14399999999999999</v>
      </c>
      <c r="G374" s="2978">
        <v>0.15</v>
      </c>
    </row>
    <row r="375" spans="1:7">
      <c r="A375" s="2987" t="s">
        <v>2838</v>
      </c>
      <c r="B375" s="2976" t="s">
        <v>2907</v>
      </c>
      <c r="C375" s="2977">
        <v>0.15</v>
      </c>
      <c r="D375" s="2977">
        <v>0.15</v>
      </c>
      <c r="E375" s="2977">
        <v>0.15</v>
      </c>
      <c r="F375" s="2977">
        <v>0.13</v>
      </c>
      <c r="G375" s="2978">
        <v>0.15</v>
      </c>
    </row>
    <row r="376" spans="1:7">
      <c r="A376" s="2987" t="s">
        <v>2838</v>
      </c>
      <c r="B376" s="2976" t="s">
        <v>277</v>
      </c>
      <c r="C376" s="2977">
        <v>0.15</v>
      </c>
      <c r="D376" s="2977">
        <v>0.15</v>
      </c>
      <c r="E376" s="2977">
        <v>0.15</v>
      </c>
      <c r="F376" s="2977">
        <v>0.14199999999999999</v>
      </c>
      <c r="G376" s="2978">
        <v>0.15</v>
      </c>
    </row>
    <row r="377" spans="1:7" ht="14.25" thickBot="1">
      <c r="A377" s="2990" t="s">
        <v>2838</v>
      </c>
      <c r="B377" s="2980" t="s">
        <v>2913</v>
      </c>
      <c r="C377" s="2981">
        <v>0.15</v>
      </c>
      <c r="D377" s="2981">
        <v>0.15</v>
      </c>
      <c r="E377" s="2981">
        <v>0.15</v>
      </c>
      <c r="F377" s="2981">
        <v>0.14000000000000001</v>
      </c>
      <c r="G377" s="2983">
        <v>0.15</v>
      </c>
    </row>
    <row r="378" spans="1:7">
      <c r="A378" s="2986" t="s">
        <v>2839</v>
      </c>
      <c r="B378" s="2972" t="s">
        <v>2853</v>
      </c>
      <c r="C378" s="2973">
        <v>0.15</v>
      </c>
      <c r="D378" s="2973">
        <v>0.15</v>
      </c>
      <c r="E378" s="2973">
        <v>0.15</v>
      </c>
      <c r="F378" s="2973">
        <v>0.107</v>
      </c>
      <c r="G378" s="2974">
        <v>0.15</v>
      </c>
    </row>
    <row r="379" spans="1:7">
      <c r="A379" s="2987" t="s">
        <v>2839</v>
      </c>
      <c r="B379" s="2976" t="s">
        <v>2859</v>
      </c>
      <c r="C379" s="2977">
        <v>0.15</v>
      </c>
      <c r="D379" s="2977">
        <v>0.15</v>
      </c>
      <c r="E379" s="2977">
        <v>0.15</v>
      </c>
      <c r="F379" s="2977">
        <v>0.115</v>
      </c>
      <c r="G379" s="2978">
        <v>0.14899999999999999</v>
      </c>
    </row>
    <row r="380" spans="1:7">
      <c r="A380" s="2987" t="s">
        <v>2839</v>
      </c>
      <c r="B380" s="2976" t="s">
        <v>2865</v>
      </c>
      <c r="C380" s="2977">
        <v>0.15</v>
      </c>
      <c r="D380" s="2977">
        <v>0.15</v>
      </c>
      <c r="E380" s="2977">
        <v>0.15</v>
      </c>
      <c r="F380" s="2977">
        <v>0.1</v>
      </c>
      <c r="G380" s="2978">
        <v>0.14799999999999999</v>
      </c>
    </row>
    <row r="381" spans="1:7">
      <c r="A381" s="2987" t="s">
        <v>2839</v>
      </c>
      <c r="B381" s="2976" t="s">
        <v>2868</v>
      </c>
      <c r="C381" s="2977">
        <v>0.15</v>
      </c>
      <c r="D381" s="2977">
        <v>0.15</v>
      </c>
      <c r="E381" s="2977">
        <v>0.15</v>
      </c>
      <c r="F381" s="2977">
        <v>0.126</v>
      </c>
      <c r="G381" s="2978">
        <v>0.15</v>
      </c>
    </row>
    <row r="382" spans="1:7">
      <c r="A382" s="2987" t="s">
        <v>2839</v>
      </c>
      <c r="B382" s="2976" t="s">
        <v>2872</v>
      </c>
      <c r="C382" s="2977">
        <v>0.15</v>
      </c>
      <c r="D382" s="2977">
        <v>0.15</v>
      </c>
      <c r="E382" s="2977">
        <v>0.15</v>
      </c>
      <c r="F382" s="2977">
        <v>0.15</v>
      </c>
      <c r="G382" s="2978">
        <v>0.15</v>
      </c>
    </row>
    <row r="383" spans="1:7">
      <c r="A383" s="2987" t="s">
        <v>2839</v>
      </c>
      <c r="B383" s="2976" t="s">
        <v>2877</v>
      </c>
      <c r="C383" s="2977">
        <v>0.15</v>
      </c>
      <c r="D383" s="2977">
        <v>0.15</v>
      </c>
      <c r="E383" s="2977">
        <v>0.15</v>
      </c>
      <c r="F383" s="2977">
        <v>0.14699999999999999</v>
      </c>
      <c r="G383" s="2978">
        <v>0.15</v>
      </c>
    </row>
    <row r="384" spans="1:7" ht="14.25" thickBot="1">
      <c r="A384" s="2997" t="s">
        <v>2839</v>
      </c>
      <c r="B384" s="2998" t="s">
        <v>2881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17" t="s">
        <v>3220</v>
      </c>
      <c r="B1" s="3517"/>
      <c r="C1" s="3517"/>
      <c r="D1" s="3517"/>
      <c r="E1" s="3517"/>
      <c r="F1" s="3518"/>
    </row>
    <row r="2" spans="1:6">
      <c r="A2" s="3001" t="s">
        <v>3221</v>
      </c>
    </row>
    <row r="3" spans="1:6">
      <c r="A3" s="3001" t="s">
        <v>3222</v>
      </c>
      <c r="F3" s="3002" t="s">
        <v>3223</v>
      </c>
    </row>
    <row r="4" spans="1:6">
      <c r="A4" s="3003" t="s">
        <v>666</v>
      </c>
      <c r="B4" s="3003" t="s">
        <v>667</v>
      </c>
      <c r="C4" s="3003" t="s">
        <v>21</v>
      </c>
      <c r="D4" s="3003" t="s">
        <v>668</v>
      </c>
      <c r="E4" s="3003" t="s">
        <v>3</v>
      </c>
      <c r="F4" s="3003" t="s">
        <v>3224</v>
      </c>
    </row>
    <row r="5" spans="1:6">
      <c r="A5" s="3004" t="s">
        <v>669</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45719</v>
      </c>
      <c r="B1" s="2928" t="s">
        <v>3366</v>
      </c>
      <c r="C1" s="2929"/>
      <c r="D1" s="2929"/>
      <c r="E1" s="2929"/>
      <c r="F1" s="2929"/>
      <c r="G1" s="2929"/>
      <c r="H1" s="2929"/>
      <c r="I1" s="2929"/>
      <c r="J1" s="2895"/>
      <c r="K1" s="2929" t="s">
        <v>454</v>
      </c>
      <c r="L1" s="2929"/>
      <c r="M1" s="2929"/>
      <c r="N1" s="2929"/>
      <c r="O1" s="2929"/>
      <c r="P1" s="2929"/>
      <c r="Q1" s="2895"/>
      <c r="R1" s="3519" t="s">
        <v>456</v>
      </c>
      <c r="S1" s="3520"/>
      <c r="T1" s="3520"/>
      <c r="U1" s="3520"/>
      <c r="V1" s="3520"/>
      <c r="W1" s="3520"/>
      <c r="X1" s="2895"/>
      <c r="Y1" s="3519" t="s">
        <v>457</v>
      </c>
      <c r="Z1" s="3520"/>
      <c r="AA1" s="3520"/>
      <c r="AB1" s="3520"/>
      <c r="AC1" s="3520"/>
      <c r="AD1" s="3520"/>
    </row>
    <row r="2" spans="1:30" s="2010" customFormat="1" ht="14.25" thickBot="1">
      <c r="B2" s="2880"/>
      <c r="C2" s="2881"/>
      <c r="D2" s="2011" t="s">
        <v>2798</v>
      </c>
      <c r="E2" s="2012" t="s">
        <v>2799</v>
      </c>
      <c r="F2" s="2012" t="s">
        <v>2800</v>
      </c>
      <c r="G2" s="2012" t="s">
        <v>2801</v>
      </c>
      <c r="H2" s="2012" t="s">
        <v>2802</v>
      </c>
      <c r="I2" s="2012" t="s">
        <v>2619</v>
      </c>
      <c r="J2" s="2882"/>
      <c r="K2" s="2011" t="s">
        <v>2798</v>
      </c>
      <c r="L2" s="2012" t="s">
        <v>2799</v>
      </c>
      <c r="M2" s="2012" t="s">
        <v>2800</v>
      </c>
      <c r="N2" s="2012" t="s">
        <v>2801</v>
      </c>
      <c r="O2" s="2012" t="s">
        <v>2803</v>
      </c>
      <c r="P2" s="2012" t="s">
        <v>2619</v>
      </c>
      <c r="Q2" s="2882"/>
      <c r="R2" s="2011" t="s">
        <v>2798</v>
      </c>
      <c r="S2" s="2012" t="s">
        <v>2799</v>
      </c>
      <c r="T2" s="2012" t="s">
        <v>2800</v>
      </c>
      <c r="U2" s="2012" t="s">
        <v>2804</v>
      </c>
      <c r="V2" s="2012" t="s">
        <v>2805</v>
      </c>
      <c r="W2" s="2012" t="s">
        <v>2619</v>
      </c>
      <c r="X2" s="2882"/>
      <c r="Y2" s="2011" t="s">
        <v>2798</v>
      </c>
      <c r="Z2" s="2012" t="s">
        <v>2799</v>
      </c>
      <c r="AA2" s="2012" t="s">
        <v>2800</v>
      </c>
      <c r="AB2" s="2012" t="s">
        <v>2806</v>
      </c>
      <c r="AC2" s="2012" t="s">
        <v>2805</v>
      </c>
      <c r="AD2" s="2012" t="s">
        <v>2619</v>
      </c>
    </row>
    <row r="3" spans="1:30" s="2885" customFormat="1" ht="12.75">
      <c r="A3" s="2883" t="s">
        <v>2807</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3362</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3371</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3370</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3363</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3361</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3357</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3356</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3354</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3353</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3352</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3350</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3342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2808</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2809</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2810</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2811</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2812</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3369</v>
      </c>
    </row>
    <row r="24" spans="1:30">
      <c r="I24" s="1405" t="s">
        <v>2813</v>
      </c>
    </row>
    <row r="26" spans="1:30" s="2009" customFormat="1" ht="12.75">
      <c r="B26" s="2928" t="s">
        <v>3367</v>
      </c>
      <c r="C26" s="2929"/>
      <c r="D26" s="2929"/>
      <c r="E26" s="2929"/>
      <c r="F26" s="2929"/>
      <c r="G26" s="2929"/>
      <c r="H26" s="2929"/>
      <c r="I26" s="2929"/>
      <c r="J26" s="2895"/>
      <c r="K26" s="2929" t="s">
        <v>2814</v>
      </c>
      <c r="L26" s="2929"/>
      <c r="M26" s="2929"/>
      <c r="N26" s="2929"/>
      <c r="O26" s="2929"/>
      <c r="P26" s="2929"/>
      <c r="Q26" s="2895"/>
      <c r="R26" s="3519" t="s">
        <v>2815</v>
      </c>
      <c r="S26" s="3520"/>
      <c r="T26" s="3520"/>
      <c r="U26" s="3520"/>
      <c r="V26" s="3520"/>
      <c r="W26" s="3520"/>
      <c r="X26" s="2895"/>
      <c r="Y26" s="3519" t="s">
        <v>2816</v>
      </c>
      <c r="Z26" s="3520"/>
      <c r="AA26" s="3520"/>
      <c r="AB26" s="3520"/>
      <c r="AC26" s="3520"/>
      <c r="AD26" s="3520"/>
    </row>
    <row r="27" spans="1:30" s="2010" customFormat="1" ht="14.25" thickBot="1">
      <c r="B27" s="2880"/>
      <c r="C27" s="2881"/>
      <c r="D27" s="2011" t="s">
        <v>2817</v>
      </c>
      <c r="E27" s="2012" t="s">
        <v>2818</v>
      </c>
      <c r="F27" s="2012" t="s">
        <v>2819</v>
      </c>
      <c r="G27" s="2012" t="s">
        <v>2820</v>
      </c>
      <c r="H27" s="2012"/>
      <c r="I27" s="2012" t="s">
        <v>2821</v>
      </c>
      <c r="J27" s="2882"/>
      <c r="K27" s="2011" t="s">
        <v>2817</v>
      </c>
      <c r="L27" s="2012" t="s">
        <v>2818</v>
      </c>
      <c r="M27" s="2012" t="s">
        <v>2819</v>
      </c>
      <c r="N27" s="2012" t="s">
        <v>2820</v>
      </c>
      <c r="O27" s="2012"/>
      <c r="P27" s="2012" t="s">
        <v>2821</v>
      </c>
      <c r="Q27" s="2882"/>
      <c r="R27" s="2011" t="s">
        <v>2817</v>
      </c>
      <c r="S27" s="2012" t="s">
        <v>2818</v>
      </c>
      <c r="T27" s="2012" t="s">
        <v>2819</v>
      </c>
      <c r="U27" s="2012" t="s">
        <v>2820</v>
      </c>
      <c r="V27" s="2012"/>
      <c r="W27" s="2012" t="s">
        <v>2821</v>
      </c>
      <c r="X27" s="2882"/>
      <c r="Y27" s="2011" t="s">
        <v>2817</v>
      </c>
      <c r="Z27" s="2012" t="s">
        <v>2818</v>
      </c>
      <c r="AA27" s="2012" t="s">
        <v>2819</v>
      </c>
      <c r="AB27" s="2012" t="s">
        <v>2820</v>
      </c>
      <c r="AC27" s="2012"/>
      <c r="AD27" s="2012" t="s">
        <v>2821</v>
      </c>
    </row>
    <row r="28" spans="1:30" s="2885" customFormat="1" ht="12.75">
      <c r="A28" s="2883" t="s">
        <v>2822</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3362</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3364</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3359</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3365</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3360</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3358</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3356</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3355</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3353</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3352</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3351</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3342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2823</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2824</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2825</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2826</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2812</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2010" customFormat="1" ht="14.25" thickBot="1">
      <c r="B2" s="2011" t="s">
        <v>458</v>
      </c>
      <c r="C2" s="2011" t="s">
        <v>459</v>
      </c>
      <c r="D2" s="2012" t="s">
        <v>460</v>
      </c>
      <c r="E2" s="2012" t="s">
        <v>461</v>
      </c>
      <c r="F2" s="2011" t="s">
        <v>462</v>
      </c>
      <c r="G2" s="2013"/>
      <c r="I2" s="2011" t="s">
        <v>458</v>
      </c>
      <c r="J2" s="2012" t="s">
        <v>670</v>
      </c>
      <c r="K2" s="2012" t="s">
        <v>308</v>
      </c>
      <c r="L2" s="2011" t="s">
        <v>462</v>
      </c>
      <c r="N2" s="2011" t="s">
        <v>458</v>
      </c>
      <c r="O2" s="2012" t="s">
        <v>670</v>
      </c>
      <c r="P2" s="2012" t="s">
        <v>308</v>
      </c>
      <c r="Q2" s="2011" t="s">
        <v>462</v>
      </c>
      <c r="S2" s="2011" t="s">
        <v>458</v>
      </c>
      <c r="T2" s="2012" t="s">
        <v>670</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2101</v>
      </c>
      <c r="B25" s="2049">
        <v>439</v>
      </c>
      <c r="C25" s="2049">
        <v>327</v>
      </c>
      <c r="D25" s="2049">
        <f>C25</f>
        <v>327</v>
      </c>
      <c r="E25" s="2049">
        <v>627</v>
      </c>
      <c r="F25" s="2050">
        <v>283</v>
      </c>
      <c r="G25" s="35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671</v>
      </c>
      <c r="B27" s="2041">
        <f t="shared" si="232"/>
        <v>419.31181600000002</v>
      </c>
      <c r="C27" s="2041">
        <f t="shared" si="233"/>
        <v>313.95436800000004</v>
      </c>
      <c r="D27" s="2041">
        <f t="shared" si="234"/>
        <v>313.95436800000004</v>
      </c>
      <c r="E27" s="2041">
        <f t="shared" si="235"/>
        <v>596.63028431999999</v>
      </c>
      <c r="F27" s="2041">
        <f t="shared" si="236"/>
        <v>274.74220703999998</v>
      </c>
      <c r="G27" s="35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38" sqref="A38"/>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Q10"/>
  <sheetViews>
    <sheetView workbookViewId="0">
      <selection activeCell="P11" sqref="P11"/>
    </sheetView>
  </sheetViews>
  <sheetFormatPr defaultRowHeight="13.5"/>
  <sheetData>
    <row r="4" spans="14:17">
      <c r="N4" s="1405" t="s">
        <v>3850</v>
      </c>
      <c r="O4" s="1405" t="s">
        <v>3845</v>
      </c>
      <c r="P4" s="1405" t="s">
        <v>3846</v>
      </c>
      <c r="Q4" s="1405" t="s">
        <v>3847</v>
      </c>
    </row>
    <row r="5" spans="14:17">
      <c r="N5" s="1405" t="s">
        <v>3851</v>
      </c>
      <c r="O5">
        <v>30</v>
      </c>
      <c r="P5">
        <v>2100</v>
      </c>
      <c r="Q5">
        <f>P5/30/O5</f>
        <v>2.3333333333333335</v>
      </c>
    </row>
    <row r="6" spans="14:17">
      <c r="N6" s="1405" t="s">
        <v>3849</v>
      </c>
      <c r="O6">
        <v>25</v>
      </c>
      <c r="P6">
        <v>1400</v>
      </c>
      <c r="Q6">
        <f>P6/30/O6</f>
        <v>1.8666666666666665</v>
      </c>
    </row>
    <row r="7" spans="14:17">
      <c r="N7" s="1405" t="s">
        <v>3848</v>
      </c>
      <c r="O7">
        <v>67</v>
      </c>
      <c r="P7">
        <v>3500</v>
      </c>
      <c r="Q7">
        <f t="shared" ref="Q7:Q10" si="0">P7/30/O7</f>
        <v>1.7412935323383085</v>
      </c>
    </row>
    <row r="8" spans="14:17">
      <c r="N8" s="1405" t="s">
        <v>3848</v>
      </c>
      <c r="O8">
        <v>68</v>
      </c>
      <c r="P8">
        <v>3850</v>
      </c>
      <c r="Q8">
        <f t="shared" si="0"/>
        <v>1.8872549019607845</v>
      </c>
    </row>
    <row r="9" spans="14:17">
      <c r="N9" s="1405" t="s">
        <v>3852</v>
      </c>
      <c r="O9">
        <v>25</v>
      </c>
      <c r="P9">
        <v>2600</v>
      </c>
      <c r="Q9">
        <f t="shared" si="0"/>
        <v>3.4666666666666668</v>
      </c>
    </row>
    <row r="10" spans="14:17">
      <c r="N10" s="1405" t="s">
        <v>3853</v>
      </c>
      <c r="O10">
        <v>30</v>
      </c>
      <c r="P10">
        <v>1800</v>
      </c>
      <c r="Q10">
        <f t="shared" si="0"/>
        <v>2</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922</v>
      </c>
      <c r="B2" s="3213" t="s">
        <v>923</v>
      </c>
      <c r="C2" s="3213" t="s">
        <v>924</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801" t="s">
        <v>919</v>
      </c>
      <c r="E3" s="801" t="s">
        <v>925</v>
      </c>
      <c r="F3" s="801" t="s">
        <v>919</v>
      </c>
      <c r="G3" s="801" t="s">
        <v>920</v>
      </c>
      <c r="H3" s="801" t="s">
        <v>919</v>
      </c>
      <c r="I3" s="801" t="s">
        <v>920</v>
      </c>
    </row>
    <row r="4" spans="1:9" ht="45">
      <c r="A4" s="1403" t="str">
        <f>项目基本情况!S2</f>
        <v>北京市大兴区半壁店绿茵度假公寓1幢1-7层全部其他用房房地产</v>
      </c>
      <c r="B4" s="801">
        <f>项目基本情况!C17</f>
        <v>10446.719999999999</v>
      </c>
      <c r="C4" s="801">
        <f>项目基本情况!C18</f>
        <v>0</v>
      </c>
      <c r="D4" s="801">
        <f ca="1">结果表!D118</f>
        <v>1980</v>
      </c>
      <c r="E4" s="801">
        <f ca="1">结果表!E118</f>
        <v>1895</v>
      </c>
      <c r="F4" s="801">
        <f ca="1">结果表!F118</f>
        <v>3613</v>
      </c>
      <c r="G4" s="801">
        <f ca="1">结果表!G118</f>
        <v>3459</v>
      </c>
      <c r="H4" s="801">
        <f ca="1">结果表!H118</f>
        <v>5593</v>
      </c>
      <c r="I4" s="801">
        <f ca="1">结果表!I118</f>
        <v>5354</v>
      </c>
    </row>
    <row r="5" spans="1:9" ht="30" customHeight="1">
      <c r="A5" s="3208" t="s">
        <v>921</v>
      </c>
      <c r="B5" s="3208"/>
      <c r="C5" s="3208"/>
      <c r="D5" s="3208" t="str">
        <f ca="1">结果表!D119</f>
        <v>壹仟玖佰捌拾万元整</v>
      </c>
      <c r="E5" s="3208"/>
      <c r="F5" s="3208" t="str">
        <f ca="1">结果表!F119</f>
        <v>叁仟陆佰壹拾叁万元整</v>
      </c>
      <c r="G5" s="3208"/>
      <c r="H5" s="3208" t="str">
        <f ca="1">结果表!H119</f>
        <v>伍仟伍佰玖拾叁万元整</v>
      </c>
      <c r="I5" s="3208"/>
    </row>
    <row r="6" spans="1:9" ht="15.75">
      <c r="A6" s="3207" t="str">
        <f>结果表!A120</f>
        <v>估价师知悉的法定优先受偿款</v>
      </c>
      <c r="B6" s="3207"/>
      <c r="C6" s="3207"/>
      <c r="D6" s="3207">
        <f>结果表!D120</f>
        <v>0</v>
      </c>
      <c r="E6" s="3207"/>
      <c r="F6" s="3207"/>
      <c r="G6" s="3207"/>
      <c r="H6" s="3207"/>
      <c r="I6" s="3207"/>
    </row>
    <row r="7" spans="1:9" ht="15">
      <c r="A7" s="3208" t="s">
        <v>921</v>
      </c>
      <c r="B7" s="3208"/>
      <c r="C7" s="3208"/>
      <c r="D7" s="3209" t="str">
        <f>结果表!D121</f>
        <v>零元整</v>
      </c>
      <c r="E7" s="3210"/>
      <c r="F7" s="3210"/>
      <c r="G7" s="3210"/>
      <c r="H7" s="3210"/>
      <c r="I7" s="3211"/>
    </row>
    <row r="8" spans="1:9" ht="15.75">
      <c r="A8" s="3207" t="str">
        <f>结果表!A122</f>
        <v>房地产抵押价值</v>
      </c>
      <c r="B8" s="3207"/>
      <c r="C8" s="3207"/>
      <c r="D8" s="3207">
        <f ca="1">结果表!D122</f>
        <v>5593</v>
      </c>
      <c r="E8" s="3207"/>
      <c r="F8" s="3207"/>
      <c r="G8" s="3207"/>
      <c r="H8" s="3207"/>
      <c r="I8" s="3207"/>
    </row>
    <row r="9" spans="1:9" ht="15">
      <c r="A9" s="3208" t="s">
        <v>921</v>
      </c>
      <c r="B9" s="3208"/>
      <c r="C9" s="3208"/>
      <c r="D9" s="3208" t="str">
        <f ca="1">结果表!D123</f>
        <v>伍仟伍佰玖拾叁万元整</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921</v>
      </c>
      <c r="B11" s="3208"/>
      <c r="C11" s="3208"/>
      <c r="D11" s="3208" t="e">
        <f>结果表!D125</f>
        <v>#VALUE!</v>
      </c>
      <c r="E11" s="3208"/>
      <c r="F11" s="3208"/>
      <c r="G11" s="3208"/>
      <c r="H11" s="3208"/>
      <c r="I11" s="3208"/>
    </row>
    <row r="12" spans="1:9" ht="15.75">
      <c r="A12" s="3207" t="str">
        <f>结果表!A126</f>
        <v/>
      </c>
      <c r="B12" s="3207"/>
      <c r="C12" s="3207"/>
      <c r="D12" s="3207" t="str">
        <f>结果表!D126</f>
        <v>——</v>
      </c>
      <c r="E12" s="3207"/>
      <c r="F12" s="3207"/>
      <c r="G12" s="3207"/>
      <c r="H12" s="3207"/>
      <c r="I12" s="3207"/>
    </row>
    <row r="13" spans="1:9" ht="15.75" thickBot="1">
      <c r="A13" s="3205" t="s">
        <v>921</v>
      </c>
      <c r="B13" s="3205"/>
      <c r="C13" s="3205"/>
      <c r="D13" s="3205" t="e">
        <f>结果表!D127</f>
        <v>#VALUE!</v>
      </c>
      <c r="E13" s="3205"/>
      <c r="F13" s="3205"/>
      <c r="G13" s="3205"/>
      <c r="H13" s="3205"/>
      <c r="I13" s="3205"/>
    </row>
    <row r="14" spans="1:9" ht="15" thickTop="1">
      <c r="A14" s="3206" t="s">
        <v>926</v>
      </c>
      <c r="B14" s="3206"/>
      <c r="C14" s="3206"/>
      <c r="D14" s="3206"/>
      <c r="E14" s="3206"/>
      <c r="F14" s="3206"/>
      <c r="G14" s="3206"/>
      <c r="H14" s="3206"/>
      <c r="I14" s="3206"/>
    </row>
    <row r="16" spans="1:9" ht="18.75">
      <c r="A16" s="1404"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0" t="s">
        <v>943</v>
      </c>
      <c r="B1" s="3220"/>
      <c r="C1" s="3220"/>
      <c r="D1" s="3220"/>
    </row>
    <row r="2" spans="1:4" ht="18">
      <c r="A2" s="3221" t="s">
        <v>927</v>
      </c>
      <c r="B2" s="3221"/>
      <c r="C2" s="3221"/>
      <c r="D2" s="3221"/>
    </row>
    <row r="3" spans="1:4" ht="18.75">
      <c r="A3" s="1407" t="s">
        <v>928</v>
      </c>
      <c r="B3" s="1407" t="s">
        <v>929</v>
      </c>
      <c r="C3" s="1407" t="s">
        <v>930</v>
      </c>
      <c r="D3" s="1407" t="s">
        <v>931</v>
      </c>
    </row>
    <row r="4" spans="1:4" ht="56.25" customHeight="1">
      <c r="A4" s="1408" t="str">
        <f>项目基本情况!B4</f>
        <v>郑燚</v>
      </c>
      <c r="B4" s="1409">
        <f ca="1">项目基本情况!C4</f>
        <v>1120070131</v>
      </c>
      <c r="C4" s="1410"/>
      <c r="D4" s="1411" t="s">
        <v>932</v>
      </c>
    </row>
    <row r="5" spans="1:4" ht="56.25" customHeight="1">
      <c r="A5" s="1408" t="str">
        <f>项目基本情况!D4</f>
        <v>崔锴</v>
      </c>
      <c r="B5" s="1409">
        <f ca="1">项目基本情况!E4</f>
        <v>1120100036</v>
      </c>
      <c r="C5" s="1412"/>
      <c r="D5" s="1411" t="s">
        <v>932</v>
      </c>
    </row>
    <row r="6" spans="1:4" ht="18">
      <c r="A6" s="3221" t="s">
        <v>933</v>
      </c>
      <c r="B6" s="3221"/>
      <c r="C6" s="3221"/>
      <c r="D6" s="3221"/>
    </row>
    <row r="7" spans="1:4" ht="18.75">
      <c r="A7" s="1407" t="s">
        <v>928</v>
      </c>
      <c r="B7" s="1409" t="s">
        <v>934</v>
      </c>
      <c r="C7" s="1407" t="s">
        <v>930</v>
      </c>
      <c r="D7" s="1407" t="s">
        <v>931</v>
      </c>
    </row>
    <row r="8" spans="1:4" ht="56.25" customHeight="1">
      <c r="A8" s="1413" t="s">
        <v>390</v>
      </c>
      <c r="B8" s="1413" t="s">
        <v>0</v>
      </c>
      <c r="C8" s="1410"/>
      <c r="D8" s="1411" t="s">
        <v>932</v>
      </c>
    </row>
    <row r="10" spans="1:4" ht="18.75">
      <c r="A10" s="1414" t="s">
        <v>935</v>
      </c>
    </row>
    <row r="11" spans="1:4" ht="30" customHeight="1">
      <c r="A11" s="3222" t="s">
        <v>936</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937</v>
      </c>
      <c r="B16" s="3216"/>
      <c r="C16" s="3216"/>
      <c r="D16" s="3216"/>
    </row>
    <row r="17" spans="1:4" ht="144" customHeight="1">
      <c r="A17" s="3216" t="s">
        <v>938</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939</v>
      </c>
      <c r="B22" s="3218"/>
      <c r="C22" s="3218"/>
      <c r="D22" s="3218"/>
    </row>
    <row r="23" spans="1:4">
      <c r="A23" s="1415"/>
      <c r="B23" s="459"/>
      <c r="C23" s="459"/>
      <c r="D23" s="459"/>
    </row>
    <row r="24" spans="1:4">
      <c r="A24" s="1415"/>
      <c r="B24" s="459"/>
      <c r="C24" s="459"/>
      <c r="D24" s="459"/>
    </row>
    <row r="25" spans="1:4" ht="18.75">
      <c r="A25" s="1416" t="s">
        <v>940</v>
      </c>
    </row>
    <row r="26" spans="1:4" ht="18">
      <c r="A26" s="1387"/>
    </row>
    <row r="27" spans="1:4" ht="18.75">
      <c r="A27" s="1387" t="s">
        <v>941</v>
      </c>
    </row>
    <row r="30" spans="1:4" ht="18.75">
      <c r="D30" s="1416" t="s">
        <v>942</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944</v>
      </c>
    </row>
    <row r="3" spans="1:7">
      <c r="A3" s="1420" t="s">
        <v>55</v>
      </c>
      <c r="B3" s="1405" t="s">
        <v>945</v>
      </c>
      <c r="G3" s="1421"/>
    </row>
    <row r="4" spans="1:7">
      <c r="G4" s="1421"/>
    </row>
    <row r="5" spans="1:7">
      <c r="A5" s="1423" t="s">
        <v>46</v>
      </c>
      <c r="B5" s="1405" t="s">
        <v>946</v>
      </c>
      <c r="G5" s="1421"/>
    </row>
    <row r="6" spans="1:7">
      <c r="G6" s="1421"/>
    </row>
    <row r="7" spans="1:7">
      <c r="A7" s="1424" t="s">
        <v>108</v>
      </c>
      <c r="B7" s="1405" t="s">
        <v>947</v>
      </c>
      <c r="G7" s="1421"/>
    </row>
    <row r="8" spans="1:7">
      <c r="G8" s="1421"/>
    </row>
    <row r="9" spans="1:7">
      <c r="A9" s="1425" t="s">
        <v>47</v>
      </c>
      <c r="B9" s="1405" t="s">
        <v>948</v>
      </c>
    </row>
    <row r="11" spans="1:7">
      <c r="A11" s="1426" t="s">
        <v>48</v>
      </c>
      <c r="B11" s="1427" t="s">
        <v>45</v>
      </c>
    </row>
    <row r="13" spans="1:7">
      <c r="A13" s="1428" t="s">
        <v>949</v>
      </c>
    </row>
    <row r="15" spans="1:7" ht="13.5">
      <c r="A15" s="3228" t="s">
        <v>950</v>
      </c>
      <c r="B15" s="3223" t="s">
        <v>109</v>
      </c>
      <c r="C15" s="3224"/>
    </row>
    <row r="16" spans="1:7" ht="13.5">
      <c r="A16" s="3229"/>
      <c r="B16" s="3223" t="s">
        <v>42</v>
      </c>
      <c r="C16" s="3224"/>
    </row>
    <row r="17" spans="1:3" ht="13.5">
      <c r="A17" s="3229"/>
      <c r="B17" s="3226" t="s">
        <v>951</v>
      </c>
      <c r="C17" s="1429" t="s">
        <v>950</v>
      </c>
    </row>
    <row r="18" spans="1:3" ht="13.5">
      <c r="A18" s="3229"/>
      <c r="B18" s="3226"/>
      <c r="C18" s="1429" t="s">
        <v>952</v>
      </c>
    </row>
    <row r="19" spans="1:3" ht="13.5">
      <c r="A19" s="3229"/>
      <c r="B19" s="3226"/>
      <c r="C19" s="1429" t="s">
        <v>953</v>
      </c>
    </row>
    <row r="20" spans="1:3" ht="13.5">
      <c r="A20" s="3230"/>
      <c r="B20" s="3225" t="s">
        <v>954</v>
      </c>
      <c r="C20" s="3224"/>
    </row>
    <row r="21" spans="1:3" ht="13.5">
      <c r="A21" s="1430" t="s">
        <v>955</v>
      </c>
      <c r="B21" s="1431"/>
      <c r="C21" s="1432"/>
    </row>
    <row r="22" spans="1:3" ht="13.5">
      <c r="A22" s="3227" t="s">
        <v>956</v>
      </c>
      <c r="B22" s="3225" t="s">
        <v>957</v>
      </c>
      <c r="C22" s="3224"/>
    </row>
    <row r="23" spans="1:3" ht="13.5">
      <c r="A23" s="3227"/>
      <c r="B23" s="3225" t="s">
        <v>958</v>
      </c>
      <c r="C23" s="3224"/>
    </row>
    <row r="24" spans="1:3" ht="13.5">
      <c r="A24" s="3227"/>
      <c r="B24" s="3225" t="s">
        <v>959</v>
      </c>
      <c r="C24" s="3224"/>
    </row>
    <row r="25" spans="1:3" ht="13.5">
      <c r="A25" s="3227"/>
      <c r="B25" s="3226" t="s">
        <v>960</v>
      </c>
      <c r="C25" s="1429" t="s">
        <v>961</v>
      </c>
    </row>
    <row r="26" spans="1:3" ht="13.5">
      <c r="A26" s="3227"/>
      <c r="B26" s="3226"/>
      <c r="C26" s="1429" t="s">
        <v>962</v>
      </c>
    </row>
    <row r="27" spans="1:3" ht="13.5">
      <c r="A27" s="3227"/>
      <c r="B27" s="3226"/>
      <c r="C27" s="1429" t="s">
        <v>963</v>
      </c>
    </row>
    <row r="28" spans="1:3" ht="13.5">
      <c r="A28" s="3227"/>
      <c r="B28" s="3226"/>
      <c r="C28" s="1429" t="s">
        <v>964</v>
      </c>
    </row>
    <row r="29" spans="1:3" ht="13.5">
      <c r="A29" s="3227"/>
      <c r="B29" s="3226"/>
      <c r="C29" s="1429" t="s">
        <v>965</v>
      </c>
    </row>
    <row r="30" spans="1:3" ht="13.5">
      <c r="A30" s="3227"/>
      <c r="B30" s="3226"/>
      <c r="C30" s="1429" t="s">
        <v>966</v>
      </c>
    </row>
    <row r="31" spans="1:3" ht="13.5">
      <c r="A31" s="3227"/>
      <c r="B31" s="3226"/>
      <c r="C31" s="1429" t="s">
        <v>967</v>
      </c>
    </row>
    <row r="32" spans="1:3" ht="13.5">
      <c r="A32" s="3227"/>
      <c r="B32" s="3226"/>
      <c r="C32" s="1429" t="s">
        <v>968</v>
      </c>
    </row>
    <row r="33" spans="1:3" ht="13.5">
      <c r="A33" s="3227"/>
      <c r="B33" s="3226"/>
      <c r="C33" s="1429" t="s">
        <v>969</v>
      </c>
    </row>
    <row r="34" spans="1:3">
      <c r="A34" s="1433" t="s">
        <v>49</v>
      </c>
    </row>
    <row r="37" spans="1:3">
      <c r="A37" s="1433" t="s">
        <v>970</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2129</v>
      </c>
      <c r="B2" s="2157">
        <f ca="1">TODAY()</f>
        <v>45720</v>
      </c>
      <c r="C2" s="2158" t="s">
        <v>2130</v>
      </c>
      <c r="D2" s="2158"/>
      <c r="E2" s="2158"/>
      <c r="F2" s="2154"/>
      <c r="G2" s="2154"/>
      <c r="H2" s="2154"/>
    </row>
    <row r="3" spans="1:8" ht="24" customHeight="1">
      <c r="A3" s="2159" t="s">
        <v>2131</v>
      </c>
      <c r="B3" s="1219" t="s">
        <v>2132</v>
      </c>
      <c r="C3" s="1219" t="s">
        <v>2133</v>
      </c>
      <c r="D3" s="2160" t="s">
        <v>2134</v>
      </c>
      <c r="E3" s="2161" t="s">
        <v>2135</v>
      </c>
      <c r="F3" s="1219" t="s">
        <v>2136</v>
      </c>
      <c r="G3" s="1219" t="s">
        <v>2133</v>
      </c>
      <c r="H3" s="2160" t="s">
        <v>2137</v>
      </c>
    </row>
    <row r="4" spans="1:8" ht="24" customHeight="1">
      <c r="A4" s="1219" t="s">
        <v>2138</v>
      </c>
      <c r="B4" s="1219">
        <f ca="1">IF(C4&lt;B2,"已过期",1119970066)</f>
        <v>1119970066</v>
      </c>
      <c r="C4" s="2162">
        <v>45937</v>
      </c>
      <c r="D4" s="2163" t="str">
        <f ca="1">A4&amp;"（注册号："&amp;B4&amp;"）"</f>
        <v>梁津（注册号：1119970066）</v>
      </c>
      <c r="E4" s="2164" t="s">
        <v>2138</v>
      </c>
      <c r="F4" s="1219">
        <f ca="1">IF(G4&lt;B2,"已过期",96010014)</f>
        <v>96010014</v>
      </c>
      <c r="G4" s="2165">
        <v>47118</v>
      </c>
      <c r="H4" s="2166" t="str">
        <f ca="1">E4&amp;"（注册号："&amp;F4&amp;"）"</f>
        <v>梁津（注册号：96010014）</v>
      </c>
    </row>
    <row r="5" spans="1:8" ht="24" customHeight="1">
      <c r="A5" s="1219" t="s">
        <v>2139</v>
      </c>
      <c r="B5" s="1219">
        <f ca="1">IF(C5&lt;B2,"已过期",1119970111)</f>
        <v>1119970111</v>
      </c>
      <c r="C5" s="2162">
        <v>45937</v>
      </c>
      <c r="D5" s="2163" t="str">
        <f t="shared" ref="D5:D15" ca="1" si="0">A5&amp;"（注册号："&amp;B5&amp;"）"</f>
        <v>叶凌（注册号：1119970111）</v>
      </c>
      <c r="E5" s="2164" t="s">
        <v>2139</v>
      </c>
      <c r="F5" s="1219">
        <f ca="1">IF(G5&lt;B2,"已过期",94010078)</f>
        <v>94010078</v>
      </c>
      <c r="G5" s="2165">
        <v>46387</v>
      </c>
      <c r="H5" s="2166" t="str">
        <f t="shared" ref="H5:H16" ca="1" si="1">E5&amp;"（注册号："&amp;F5&amp;"）"</f>
        <v>叶凌（注册号：94010078）</v>
      </c>
    </row>
    <row r="6" spans="1:8" ht="24" customHeight="1">
      <c r="A6" s="1219" t="s">
        <v>2140</v>
      </c>
      <c r="B6" s="1219" t="str">
        <f ca="1">IF(C6&lt;B2,"已过期",1120050019)</f>
        <v>已过期</v>
      </c>
      <c r="C6" s="2162">
        <v>45410</v>
      </c>
      <c r="D6" s="2163" t="str">
        <f t="shared" ca="1" si="0"/>
        <v>王鹏（注册号：已过期）</v>
      </c>
      <c r="E6" s="2164" t="s">
        <v>2140</v>
      </c>
      <c r="F6" s="1219">
        <f ca="1">IF(G6&lt;B2,"已过期",2002110030)</f>
        <v>2002110030</v>
      </c>
      <c r="G6" s="2165">
        <v>46387</v>
      </c>
      <c r="H6" s="2166" t="str">
        <f t="shared" ca="1" si="1"/>
        <v>王鹏（注册号：2002110030）</v>
      </c>
    </row>
    <row r="7" spans="1:8" ht="24" customHeight="1">
      <c r="A7" s="1219" t="s">
        <v>2141</v>
      </c>
      <c r="B7" s="1219">
        <f ca="1">IF(C7&lt;B2,"已过期",1120000080)</f>
        <v>1120000080</v>
      </c>
      <c r="C7" s="2162">
        <v>45937</v>
      </c>
      <c r="D7" s="2163" t="str">
        <f t="shared" ca="1" si="0"/>
        <v>欧红伟（注册号：1120000080）</v>
      </c>
      <c r="E7" s="2164" t="s">
        <v>2141</v>
      </c>
      <c r="F7" s="1219">
        <f ca="1">IF(G7&lt;B2,"已过期",2000110082)</f>
        <v>2000110082</v>
      </c>
      <c r="G7" s="2165">
        <v>46387</v>
      </c>
      <c r="H7" s="2166" t="str">
        <f t="shared" ca="1" si="1"/>
        <v>欧红伟（注册号：2000110082）</v>
      </c>
    </row>
    <row r="8" spans="1:8" ht="24" customHeight="1">
      <c r="A8" s="1219" t="s">
        <v>2142</v>
      </c>
      <c r="B8" s="1219">
        <f ca="1">IF(C8&lt;B2,"已过期",1419970001)</f>
        <v>1419970001</v>
      </c>
      <c r="C8" s="2162">
        <v>45937</v>
      </c>
      <c r="D8" s="2163" t="str">
        <f t="shared" ca="1" si="0"/>
        <v>吴薇（注册号：1419970001）</v>
      </c>
      <c r="E8" s="2164" t="s">
        <v>2142</v>
      </c>
      <c r="F8" s="1219">
        <f ca="1">IF(G8&lt;B2,"已过期",2002110125)</f>
        <v>2002110125</v>
      </c>
      <c r="G8" s="2165">
        <v>47118</v>
      </c>
      <c r="H8" s="2166" t="str">
        <f t="shared" ca="1" si="1"/>
        <v>吴薇（注册号：2002110125）</v>
      </c>
    </row>
    <row r="9" spans="1:8" ht="24" customHeight="1">
      <c r="A9" s="1219" t="s">
        <v>2143</v>
      </c>
      <c r="B9" s="1219" t="str">
        <f ca="1">IF(C9&lt;B2,"已过期",1120060040)</f>
        <v>已过期</v>
      </c>
      <c r="C9" s="2167">
        <v>45592</v>
      </c>
      <c r="D9" s="2163" t="str">
        <f t="shared" ca="1" si="0"/>
        <v>陈颖（注册号：已过期）</v>
      </c>
      <c r="E9" s="2164" t="s">
        <v>2143</v>
      </c>
      <c r="F9" s="1219">
        <f ca="1">IF(G9&lt;B2,"已过期",2004110096)</f>
        <v>2004110096</v>
      </c>
      <c r="G9" s="2165">
        <v>47118</v>
      </c>
      <c r="H9" s="2166" t="str">
        <f t="shared" ca="1" si="1"/>
        <v>陈颖（注册号：2004110096）</v>
      </c>
    </row>
    <row r="10" spans="1:8" ht="24" customHeight="1">
      <c r="A10" s="1219" t="s">
        <v>2144</v>
      </c>
      <c r="B10" s="1219">
        <f ca="1">IF(C10&lt;B2,"已过期",1120100036)</f>
        <v>1120100036</v>
      </c>
      <c r="C10" s="2167">
        <v>45752</v>
      </c>
      <c r="D10" s="2163" t="str">
        <f t="shared" ca="1" si="0"/>
        <v>崔锴（注册号：1120100036）</v>
      </c>
      <c r="E10" s="2164" t="s">
        <v>2144</v>
      </c>
      <c r="F10" s="1219">
        <f ca="1">IF(G10&lt;B2,"已过期",2010110070)</f>
        <v>2010110070</v>
      </c>
      <c r="G10" s="2165">
        <v>47907</v>
      </c>
      <c r="H10" s="2166" t="str">
        <f t="shared" ca="1" si="1"/>
        <v>崔锴（注册号：2010110070）</v>
      </c>
    </row>
    <row r="11" spans="1:8" ht="24" customHeight="1">
      <c r="A11" s="1219" t="s">
        <v>2145</v>
      </c>
      <c r="B11" s="1219">
        <f ca="1">IF(C11&lt;B2,"已过期",1120070131)</f>
        <v>1120070131</v>
      </c>
      <c r="C11" s="2162">
        <v>45937</v>
      </c>
      <c r="D11" s="2163" t="str">
        <f t="shared" ca="1" si="0"/>
        <v>郑燚（注册号：1120070131）</v>
      </c>
      <c r="E11" s="2164" t="s">
        <v>2145</v>
      </c>
      <c r="F11" s="1219">
        <f ca="1">IF(G11&lt;B2,"已过期",2014110011)</f>
        <v>2014110011</v>
      </c>
      <c r="G11" s="2165">
        <v>49302</v>
      </c>
      <c r="H11" s="2166" t="str">
        <f t="shared" ca="1" si="1"/>
        <v>郑燚（注册号：2014110011）</v>
      </c>
    </row>
    <row r="12" spans="1:8" ht="24" customHeight="1">
      <c r="A12" s="1219" t="s">
        <v>2146</v>
      </c>
      <c r="B12" s="1219">
        <f ca="1">IF(C12&lt;B2,"已过期",1120040230)</f>
        <v>1120040230</v>
      </c>
      <c r="C12" s="2167">
        <v>45937</v>
      </c>
      <c r="D12" s="2163" t="str">
        <f t="shared" ca="1" si="0"/>
        <v>苏海（注册号：1120040230）</v>
      </c>
      <c r="E12" s="2164" t="s">
        <v>2146</v>
      </c>
      <c r="F12" s="1219">
        <f ca="1">IF(G12&lt;B2,"已过期",98030020)</f>
        <v>98030020</v>
      </c>
      <c r="G12" s="2165">
        <v>47118</v>
      </c>
      <c r="H12" s="2166" t="str">
        <f t="shared" ca="1" si="1"/>
        <v>苏海（注册号：98030020）</v>
      </c>
    </row>
    <row r="13" spans="1:8" ht="24" customHeight="1">
      <c r="A13" s="1219" t="s">
        <v>2147</v>
      </c>
      <c r="B13" s="1219" t="str">
        <f ca="1">IF(C13&lt;B2,"已过期",1120020033)</f>
        <v>已过期</v>
      </c>
      <c r="C13" s="2162">
        <v>45375</v>
      </c>
      <c r="D13" s="2163" t="str">
        <f t="shared" ca="1" si="0"/>
        <v>刘敬东（注册号：已过期）</v>
      </c>
      <c r="E13" s="2164" t="s">
        <v>2147</v>
      </c>
      <c r="F13" s="1219">
        <f ca="1">IF(G13&lt;B2,"已过期",2000110137)</f>
        <v>2000110137</v>
      </c>
      <c r="G13" s="2165">
        <v>46387</v>
      </c>
      <c r="H13" s="2166" t="str">
        <f t="shared" ca="1" si="1"/>
        <v>刘敬东（注册号：2000110137）</v>
      </c>
    </row>
    <row r="14" spans="1:8" ht="24" customHeight="1">
      <c r="A14" s="1219" t="s">
        <v>2148</v>
      </c>
      <c r="B14" s="1219" t="str">
        <f ca="1">IF(C14&lt;B2,"已过期",1119980106)</f>
        <v>已过期</v>
      </c>
      <c r="C14" s="2167">
        <v>44969</v>
      </c>
      <c r="D14" s="2163" t="str">
        <f t="shared" ca="1" si="0"/>
        <v>刘俊财（注册号：已过期）</v>
      </c>
      <c r="E14" s="2164" t="s">
        <v>2148</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2149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2150</v>
      </c>
      <c r="B17" s="3231"/>
      <c r="C17" s="3231"/>
      <c r="D17" s="3231"/>
      <c r="E17" s="3231"/>
      <c r="F17" s="3231"/>
      <c r="G17" s="3231"/>
      <c r="H17" s="3231"/>
    </row>
    <row r="18" spans="1:8" ht="24" customHeight="1">
      <c r="A18" s="3232" t="s">
        <v>2151</v>
      </c>
      <c r="B18" s="3232"/>
      <c r="C18" s="3232"/>
      <c r="D18" s="2160"/>
      <c r="E18" s="3233" t="s">
        <v>2152</v>
      </c>
      <c r="F18" s="3232"/>
      <c r="G18" s="3232"/>
    </row>
    <row r="19" spans="1:8" s="2170" customFormat="1" ht="24" customHeight="1">
      <c r="A19" s="2169" t="s">
        <v>2153</v>
      </c>
      <c r="B19" s="1219" t="s">
        <v>2154</v>
      </c>
      <c r="C19" s="1219" t="s">
        <v>2133</v>
      </c>
      <c r="D19" s="2160"/>
      <c r="E19" s="2164" t="s">
        <v>2153</v>
      </c>
      <c r="F19" s="1219" t="s">
        <v>2154</v>
      </c>
      <c r="G19" s="1219" t="s">
        <v>2133</v>
      </c>
    </row>
    <row r="20" spans="1:8" s="2170" customFormat="1" ht="24" customHeight="1">
      <c r="A20" s="2171" t="s">
        <v>2155</v>
      </c>
      <c r="B20" s="2171" t="s">
        <v>2156</v>
      </c>
      <c r="C20" s="2165">
        <v>45898</v>
      </c>
      <c r="D20" s="2172"/>
      <c r="E20" s="2173" t="s">
        <v>2157</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商业土地案例</vt:lpstr>
      <vt:lpstr>基准地价修正</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2025-03-04T01:31:21Z</dcterms:modified>
</cp:coreProperties>
</file>