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1）" sheetId="43" r:id="rId19"/>
    <sheet name="基准地价修正 (2)" sheetId="77" r:id="rId20"/>
    <sheet name="基准地价修正 (3)" sheetId="78" r:id="rId21"/>
    <sheet name="基准地价修正 (4)" sheetId="79" r:id="rId22"/>
    <sheet name="基准地价修正 (5)" sheetId="80" r:id="rId23"/>
    <sheet name="基准地价修正 (6)" sheetId="81" state="hidden" r:id="rId24"/>
    <sheet name="基准地价修正 (7)" sheetId="82" r:id="rId25"/>
    <sheet name="基准地价（汇总）" sheetId="76" r:id="rId26"/>
    <sheet name="成本法" sheetId="68" r:id="rId27"/>
    <sheet name="成本法 (元)" sheetId="69" state="hidden" r:id="rId28"/>
    <sheet name="假设开发法" sheetId="12" state="hidden" r:id="rId29"/>
    <sheet name="收益法（汇总）" sheetId="70" r:id="rId30"/>
    <sheet name="收益法-商业" sheetId="15"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收益法-车库" sheetId="84" r:id="rId51"/>
    <sheet name="案例" sheetId="83" r:id="rId52"/>
  </sheet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31">'收益法 (元)'!$A$1:$AK$69</definedName>
    <definedName name="_xlnm.Print_Area" localSheetId="50">'收益法-车库'!$A$1:$AK$69</definedName>
    <definedName name="_xlnm.Print_Area" localSheetId="30">'收益法-商业'!$A$1:$AK$69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 (2)'!$Q$19:$AD$19</definedName>
    <definedName name="季度" localSheetId="20">'基准地价修正 (3)'!$Q$19:$AD$19</definedName>
    <definedName name="季度" localSheetId="21">'基准地价修正 (4)'!$Q$19:$AD$19</definedName>
    <definedName name="季度" localSheetId="22">'基准地价修正 (5)'!$Q$19:$AD$19</definedName>
    <definedName name="季度" localSheetId="23">'基准地价修正 (6)'!$Q$19:$AD$19</definedName>
    <definedName name="季度" localSheetId="24">'基准地价修正 (7)'!$Q$19:$AD$19</definedName>
    <definedName name="季度">'基准地价修正（1）'!$Q$19:$AD$19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O91" i="83" l="1"/>
  <c r="N35" i="9"/>
  <c r="K34" i="9"/>
  <c r="D39" i="43"/>
  <c r="D33" i="43"/>
  <c r="D29" i="82"/>
  <c r="D29" i="80"/>
  <c r="D29" i="79"/>
  <c r="D29" i="78"/>
  <c r="D29" i="77"/>
  <c r="D29" i="43"/>
  <c r="G20" i="6"/>
  <c r="G19" i="6"/>
  <c r="F19" i="6"/>
  <c r="A3" i="3"/>
  <c r="K33" i="9"/>
  <c r="K32" i="9"/>
  <c r="K26" i="9"/>
  <c r="C11" i="4"/>
  <c r="AM7" i="1" l="1"/>
  <c r="P70" i="83" l="1"/>
  <c r="N14" i="1"/>
  <c r="L14" i="1"/>
  <c r="J49" i="84"/>
  <c r="N6" i="1"/>
  <c r="B7" i="4"/>
  <c r="Q72" i="84"/>
  <c r="Q59" i="84"/>
  <c r="F59" i="84"/>
  <c r="Q58" i="84"/>
  <c r="Q51" i="84"/>
  <c r="J50" i="84"/>
  <c r="J51" i="84" s="1"/>
  <c r="M47" i="84"/>
  <c r="D46" i="84"/>
  <c r="F33" i="84"/>
  <c r="F61" i="84" s="1"/>
  <c r="F32" i="84"/>
  <c r="F60" i="84" s="1"/>
  <c r="F31" i="84"/>
  <c r="F28" i="84"/>
  <c r="C28" i="84" s="1"/>
  <c r="F23" i="84"/>
  <c r="D23" i="84" s="1"/>
  <c r="F21" i="84"/>
  <c r="F20" i="84"/>
  <c r="M19" i="84"/>
  <c r="M18" i="84"/>
  <c r="F18" i="84"/>
  <c r="M17" i="84"/>
  <c r="F17" i="84"/>
  <c r="F15" i="84"/>
  <c r="G1" i="84"/>
  <c r="D24" i="84" l="1"/>
  <c r="D22" i="84"/>
  <c r="F113" i="82"/>
  <c r="H108" i="82"/>
  <c r="L100" i="82"/>
  <c r="D100" i="82"/>
  <c r="N99" i="82"/>
  <c r="N108" i="82" s="1"/>
  <c r="M99" i="82"/>
  <c r="L99" i="82"/>
  <c r="L108" i="82" s="1"/>
  <c r="K99" i="82"/>
  <c r="J99" i="82"/>
  <c r="J108" i="82" s="1"/>
  <c r="I99" i="82"/>
  <c r="H99" i="82"/>
  <c r="H100" i="82" s="1"/>
  <c r="G99" i="82"/>
  <c r="F99" i="82"/>
  <c r="F108" i="82" s="1"/>
  <c r="E99" i="82"/>
  <c r="D99" i="82"/>
  <c r="D108" i="82" s="1"/>
  <c r="C99" i="82"/>
  <c r="M88" i="82"/>
  <c r="N88" i="82" s="1"/>
  <c r="K88" i="82"/>
  <c r="J88" i="82"/>
  <c r="D88" i="82"/>
  <c r="B88" i="82"/>
  <c r="N87" i="82"/>
  <c r="M87" i="82"/>
  <c r="K87" i="82"/>
  <c r="J87" i="82" s="1"/>
  <c r="D87" i="82"/>
  <c r="N86" i="82"/>
  <c r="M86" i="82"/>
  <c r="K86" i="82"/>
  <c r="J86" i="82" s="1"/>
  <c r="D86" i="82"/>
  <c r="B86" i="82"/>
  <c r="N85" i="82"/>
  <c r="M85" i="82"/>
  <c r="K85" i="82"/>
  <c r="J85" i="82" s="1"/>
  <c r="D85" i="82"/>
  <c r="B85" i="82"/>
  <c r="N84" i="82"/>
  <c r="M84" i="82"/>
  <c r="K84" i="82"/>
  <c r="J84" i="82" s="1"/>
  <c r="D84" i="82"/>
  <c r="B84" i="82"/>
  <c r="N83" i="82"/>
  <c r="M83" i="82"/>
  <c r="K83" i="82"/>
  <c r="J83" i="82" s="1"/>
  <c r="D83" i="82"/>
  <c r="B83" i="82"/>
  <c r="N82" i="82"/>
  <c r="M82" i="82"/>
  <c r="K82" i="82"/>
  <c r="J82" i="82" s="1"/>
  <c r="D82" i="82"/>
  <c r="B82" i="82"/>
  <c r="N81" i="82"/>
  <c r="M81" i="82"/>
  <c r="K81" i="82"/>
  <c r="J81" i="82" s="1"/>
  <c r="F81" i="82"/>
  <c r="H87" i="82" s="1"/>
  <c r="D81" i="82"/>
  <c r="E81" i="82" s="1"/>
  <c r="B79" i="82" s="1"/>
  <c r="B81" i="82"/>
  <c r="M78" i="82"/>
  <c r="N78" i="82" s="1"/>
  <c r="K78" i="82"/>
  <c r="J78" i="82"/>
  <c r="D78" i="82"/>
  <c r="M77" i="82"/>
  <c r="N77" i="82" s="1"/>
  <c r="K77" i="82"/>
  <c r="J77" i="82"/>
  <c r="D77" i="82"/>
  <c r="N76" i="82"/>
  <c r="M76" i="82"/>
  <c r="K76" i="82"/>
  <c r="J76" i="82" s="1"/>
  <c r="D76" i="82"/>
  <c r="N75" i="82"/>
  <c r="M75" i="82"/>
  <c r="K75" i="82"/>
  <c r="J75" i="82" s="1"/>
  <c r="D75" i="82"/>
  <c r="M74" i="82"/>
  <c r="N74" i="82" s="1"/>
  <c r="K74" i="82"/>
  <c r="J74" i="82"/>
  <c r="D74" i="82"/>
  <c r="N73" i="82"/>
  <c r="M73" i="82"/>
  <c r="K73" i="82"/>
  <c r="J73" i="82" s="1"/>
  <c r="D73" i="82"/>
  <c r="B73" i="82"/>
  <c r="M72" i="82"/>
  <c r="N72" i="82" s="1"/>
  <c r="K72" i="82"/>
  <c r="J72" i="82"/>
  <c r="D72" i="82"/>
  <c r="B72" i="82"/>
  <c r="N71" i="82"/>
  <c r="M71" i="82"/>
  <c r="K71" i="82"/>
  <c r="J71" i="82" s="1"/>
  <c r="D71" i="82"/>
  <c r="M70" i="82"/>
  <c r="N70" i="82" s="1"/>
  <c r="K70" i="82"/>
  <c r="J70" i="82"/>
  <c r="F70" i="82"/>
  <c r="H76" i="82" s="1"/>
  <c r="D70" i="82"/>
  <c r="E70" i="82" s="1"/>
  <c r="B68" i="82" s="1"/>
  <c r="M67" i="82"/>
  <c r="N67" i="82" s="1"/>
  <c r="K67" i="82"/>
  <c r="J67" i="82"/>
  <c r="D67" i="82"/>
  <c r="N66" i="82"/>
  <c r="M66" i="82"/>
  <c r="K66" i="82"/>
  <c r="J66" i="82" s="1"/>
  <c r="D66" i="82"/>
  <c r="M65" i="82"/>
  <c r="N65" i="82" s="1"/>
  <c r="K65" i="82"/>
  <c r="J65" i="82"/>
  <c r="D65" i="82"/>
  <c r="N64" i="82"/>
  <c r="M64" i="82"/>
  <c r="K64" i="82"/>
  <c r="J64" i="82" s="1"/>
  <c r="D64" i="82"/>
  <c r="N63" i="82"/>
  <c r="M63" i="82"/>
  <c r="K63" i="82"/>
  <c r="J63" i="82" s="1"/>
  <c r="D63" i="82"/>
  <c r="B63" i="82"/>
  <c r="M62" i="82"/>
  <c r="N62" i="82" s="1"/>
  <c r="K62" i="82"/>
  <c r="J62" i="82"/>
  <c r="D62" i="82"/>
  <c r="M61" i="82"/>
  <c r="N61" i="82" s="1"/>
  <c r="K61" i="82"/>
  <c r="J61" i="82"/>
  <c r="D61" i="82"/>
  <c r="B61" i="82"/>
  <c r="N60" i="82"/>
  <c r="M60" i="82"/>
  <c r="K60" i="82"/>
  <c r="J60" i="82" s="1"/>
  <c r="D60" i="82"/>
  <c r="M59" i="82"/>
  <c r="N59" i="82" s="1"/>
  <c r="K59" i="82"/>
  <c r="J59" i="82"/>
  <c r="F59" i="82"/>
  <c r="H66" i="82" s="1"/>
  <c r="D59" i="82"/>
  <c r="E59" i="82" s="1"/>
  <c r="B57" i="82" s="1"/>
  <c r="M56" i="82"/>
  <c r="N56" i="82" s="1"/>
  <c r="K56" i="82"/>
  <c r="J56" i="82"/>
  <c r="D56" i="82"/>
  <c r="M55" i="82"/>
  <c r="N55" i="82" s="1"/>
  <c r="K55" i="82"/>
  <c r="J55" i="82" s="1"/>
  <c r="D55" i="82"/>
  <c r="M54" i="82"/>
  <c r="N54" i="82" s="1"/>
  <c r="K54" i="82"/>
  <c r="J54" i="82" s="1"/>
  <c r="M53" i="82"/>
  <c r="N53" i="82" s="1"/>
  <c r="K53" i="82"/>
  <c r="J53" i="82" s="1"/>
  <c r="D53" i="82"/>
  <c r="M52" i="82"/>
  <c r="N52" i="82" s="1"/>
  <c r="K52" i="82"/>
  <c r="J52" i="82" s="1"/>
  <c r="D52" i="82"/>
  <c r="B52" i="82"/>
  <c r="M51" i="82"/>
  <c r="N51" i="82" s="1"/>
  <c r="K51" i="82"/>
  <c r="J51" i="82" s="1"/>
  <c r="D51" i="82"/>
  <c r="M50" i="82"/>
  <c r="N50" i="82" s="1"/>
  <c r="K50" i="82"/>
  <c r="J50" i="82" s="1"/>
  <c r="D50" i="82"/>
  <c r="B50" i="82"/>
  <c r="N49" i="82"/>
  <c r="M49" i="82"/>
  <c r="K49" i="82"/>
  <c r="J49" i="82" s="1"/>
  <c r="M48" i="82"/>
  <c r="N48" i="82" s="1"/>
  <c r="K48" i="82"/>
  <c r="J48" i="82" s="1"/>
  <c r="D48" i="82"/>
  <c r="B48" i="82"/>
  <c r="H39" i="82"/>
  <c r="H38" i="82"/>
  <c r="H37" i="82"/>
  <c r="H36" i="82"/>
  <c r="H35" i="82"/>
  <c r="H34" i="82"/>
  <c r="H33" i="82"/>
  <c r="P25" i="82"/>
  <c r="P21" i="82"/>
  <c r="M20" i="82"/>
  <c r="J20" i="82"/>
  <c r="I20" i="82"/>
  <c r="O19" i="82"/>
  <c r="M19" i="82"/>
  <c r="I19" i="82"/>
  <c r="G19" i="82"/>
  <c r="P24" i="82" s="1"/>
  <c r="C19" i="82"/>
  <c r="C18" i="82"/>
  <c r="F15" i="82"/>
  <c r="E15" i="82"/>
  <c r="D15" i="82"/>
  <c r="C15" i="82"/>
  <c r="C12" i="82" s="1"/>
  <c r="Y12" i="82"/>
  <c r="AH10" i="82"/>
  <c r="AD10" i="82"/>
  <c r="Z10" i="82"/>
  <c r="Y10" i="82"/>
  <c r="C10" i="82"/>
  <c r="C11" i="82" s="1"/>
  <c r="E11" i="82" s="1"/>
  <c r="AJ9" i="82"/>
  <c r="AJ12" i="82" s="1"/>
  <c r="AI9" i="82"/>
  <c r="AI10" i="82" s="1"/>
  <c r="AH9" i="82"/>
  <c r="AH12" i="82" s="1"/>
  <c r="AG9" i="82"/>
  <c r="AG10" i="82" s="1"/>
  <c r="AF9" i="82"/>
  <c r="AF12" i="82" s="1"/>
  <c r="AE9" i="82"/>
  <c r="AE10" i="82" s="1"/>
  <c r="AD9" i="82"/>
  <c r="AD12" i="82" s="1"/>
  <c r="AC9" i="82"/>
  <c r="AC10" i="82" s="1"/>
  <c r="AB9" i="82"/>
  <c r="AB12" i="82" s="1"/>
  <c r="AA9" i="82"/>
  <c r="AA10" i="82" s="1"/>
  <c r="Z9" i="82"/>
  <c r="Z12" i="82" s="1"/>
  <c r="E9" i="82"/>
  <c r="C9" i="82"/>
  <c r="E8" i="82"/>
  <c r="G39" i="82" s="1"/>
  <c r="I39" i="82" s="1"/>
  <c r="X7" i="82"/>
  <c r="C7" i="82"/>
  <c r="A7" i="82"/>
  <c r="I2" i="82"/>
  <c r="M12" i="82" s="1"/>
  <c r="G2" i="82"/>
  <c r="D1" i="81"/>
  <c r="F113" i="81"/>
  <c r="H108" i="81"/>
  <c r="L100" i="81"/>
  <c r="D100" i="81"/>
  <c r="N99" i="81"/>
  <c r="N108" i="81" s="1"/>
  <c r="M99" i="81"/>
  <c r="L99" i="81"/>
  <c r="L108" i="81" s="1"/>
  <c r="K99" i="81"/>
  <c r="J99" i="81"/>
  <c r="J108" i="81" s="1"/>
  <c r="I99" i="81"/>
  <c r="H99" i="81"/>
  <c r="H100" i="81" s="1"/>
  <c r="G99" i="81"/>
  <c r="F99" i="81"/>
  <c r="F108" i="81" s="1"/>
  <c r="E99" i="81"/>
  <c r="D99" i="81"/>
  <c r="D108" i="81" s="1"/>
  <c r="C99" i="81"/>
  <c r="M88" i="81"/>
  <c r="N88" i="81" s="1"/>
  <c r="K88" i="81"/>
  <c r="J88" i="81"/>
  <c r="D88" i="81"/>
  <c r="B88" i="81"/>
  <c r="N87" i="81"/>
  <c r="M87" i="81"/>
  <c r="K87" i="81"/>
  <c r="J87" i="81" s="1"/>
  <c r="D87" i="8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F81" i="81"/>
  <c r="H87" i="81" s="1"/>
  <c r="D81" i="81"/>
  <c r="E81" i="81" s="1"/>
  <c r="B79" i="81" s="1"/>
  <c r="B81" i="81"/>
  <c r="M78" i="81"/>
  <c r="N78" i="81" s="1"/>
  <c r="K78" i="81"/>
  <c r="J78" i="81"/>
  <c r="D78" i="81"/>
  <c r="M77" i="81"/>
  <c r="N77" i="81" s="1"/>
  <c r="K77" i="81"/>
  <c r="J77" i="81"/>
  <c r="D77" i="81"/>
  <c r="N76" i="81"/>
  <c r="M76" i="81"/>
  <c r="K76" i="81"/>
  <c r="J76" i="81" s="1"/>
  <c r="D76" i="81"/>
  <c r="N75" i="81"/>
  <c r="M75" i="81"/>
  <c r="K75" i="81"/>
  <c r="J75" i="81" s="1"/>
  <c r="D75" i="81"/>
  <c r="M74" i="81"/>
  <c r="N74" i="81" s="1"/>
  <c r="K74" i="81"/>
  <c r="J74" i="81"/>
  <c r="D74" i="81"/>
  <c r="N73" i="81"/>
  <c r="M73" i="81"/>
  <c r="K73" i="81"/>
  <c r="J73" i="81" s="1"/>
  <c r="D73" i="81"/>
  <c r="B73" i="81"/>
  <c r="M72" i="81"/>
  <c r="N72" i="81" s="1"/>
  <c r="K72" i="81"/>
  <c r="J72" i="81"/>
  <c r="D72" i="81"/>
  <c r="B72" i="81"/>
  <c r="N71" i="81"/>
  <c r="M71" i="81"/>
  <c r="K71" i="81"/>
  <c r="J71" i="81" s="1"/>
  <c r="D71" i="81"/>
  <c r="M70" i="81"/>
  <c r="N70" i="81" s="1"/>
  <c r="K70" i="81"/>
  <c r="J70" i="81"/>
  <c r="F70" i="81"/>
  <c r="H76" i="81" s="1"/>
  <c r="D70" i="81"/>
  <c r="E70" i="81" s="1"/>
  <c r="B68" i="81" s="1"/>
  <c r="M67" i="81"/>
  <c r="N67" i="81" s="1"/>
  <c r="K67" i="81"/>
  <c r="J67" i="81"/>
  <c r="D67" i="81"/>
  <c r="N66" i="81"/>
  <c r="M66" i="81"/>
  <c r="K66" i="81"/>
  <c r="J66" i="81" s="1"/>
  <c r="D66" i="81"/>
  <c r="M65" i="81"/>
  <c r="N65" i="81" s="1"/>
  <c r="K65" i="81"/>
  <c r="J65" i="81"/>
  <c r="D65" i="81"/>
  <c r="N64" i="81"/>
  <c r="M64" i="81"/>
  <c r="K64" i="81"/>
  <c r="J64" i="81" s="1"/>
  <c r="D64" i="81"/>
  <c r="N63" i="81"/>
  <c r="M63" i="81"/>
  <c r="K63" i="81"/>
  <c r="J63" i="81" s="1"/>
  <c r="D63" i="81"/>
  <c r="B63" i="81"/>
  <c r="M62" i="81"/>
  <c r="N62" i="81" s="1"/>
  <c r="K62" i="81"/>
  <c r="J62" i="81"/>
  <c r="D62" i="81"/>
  <c r="M61" i="81"/>
  <c r="N61" i="81" s="1"/>
  <c r="K61" i="81"/>
  <c r="J61" i="81"/>
  <c r="D61" i="81"/>
  <c r="B61" i="81"/>
  <c r="N60" i="81"/>
  <c r="M60" i="81"/>
  <c r="K60" i="81"/>
  <c r="J60" i="81" s="1"/>
  <c r="D60" i="81"/>
  <c r="M59" i="81"/>
  <c r="N59" i="81" s="1"/>
  <c r="K59" i="81"/>
  <c r="J59" i="81"/>
  <c r="F59" i="81"/>
  <c r="H66" i="81" s="1"/>
  <c r="D59" i="81"/>
  <c r="E59" i="81" s="1"/>
  <c r="B57" i="81" s="1"/>
  <c r="M56" i="81"/>
  <c r="N56" i="81" s="1"/>
  <c r="K56" i="81"/>
  <c r="J56" i="81" s="1"/>
  <c r="D56" i="81"/>
  <c r="M55" i="81"/>
  <c r="N55" i="81" s="1"/>
  <c r="K55" i="81"/>
  <c r="J55" i="81" s="1"/>
  <c r="D55" i="81" s="1"/>
  <c r="M54" i="81"/>
  <c r="N54" i="81" s="1"/>
  <c r="K54" i="81"/>
  <c r="J54" i="81" s="1"/>
  <c r="D54" i="81"/>
  <c r="M53" i="81"/>
  <c r="N53" i="81" s="1"/>
  <c r="K53" i="81"/>
  <c r="J53" i="81" s="1"/>
  <c r="M52" i="81"/>
  <c r="N52" i="81" s="1"/>
  <c r="K52" i="81"/>
  <c r="J52" i="81" s="1"/>
  <c r="D52" i="81"/>
  <c r="B52" i="81"/>
  <c r="M51" i="81"/>
  <c r="N51" i="81" s="1"/>
  <c r="K51" i="81"/>
  <c r="J51" i="81"/>
  <c r="D51" i="81"/>
  <c r="M50" i="81"/>
  <c r="N50" i="81" s="1"/>
  <c r="K50" i="81"/>
  <c r="J50" i="81"/>
  <c r="D50" i="81"/>
  <c r="B50" i="81"/>
  <c r="M49" i="81"/>
  <c r="N49" i="81" s="1"/>
  <c r="K49" i="81"/>
  <c r="J49" i="81" s="1"/>
  <c r="D49" i="81"/>
  <c r="M48" i="81"/>
  <c r="N48" i="81" s="1"/>
  <c r="K48" i="81"/>
  <c r="J48" i="81" s="1"/>
  <c r="B48" i="81"/>
  <c r="H39" i="81"/>
  <c r="H38" i="81"/>
  <c r="H37" i="81"/>
  <c r="H36" i="81"/>
  <c r="H35" i="81"/>
  <c r="H34" i="81"/>
  <c r="H33" i="81"/>
  <c r="P25" i="81"/>
  <c r="P21" i="81"/>
  <c r="M20" i="81"/>
  <c r="J20" i="81"/>
  <c r="I20" i="81"/>
  <c r="O19" i="81"/>
  <c r="M19" i="81"/>
  <c r="I19" i="81"/>
  <c r="G19" i="81"/>
  <c r="P24" i="81" s="1"/>
  <c r="C19" i="81"/>
  <c r="C18" i="81"/>
  <c r="F15" i="81"/>
  <c r="E15" i="81"/>
  <c r="D15" i="81"/>
  <c r="C15" i="81"/>
  <c r="C12" i="81" s="1"/>
  <c r="AG12" i="81"/>
  <c r="AC12" i="81"/>
  <c r="Y12" i="81"/>
  <c r="Y10" i="81"/>
  <c r="E10" i="81"/>
  <c r="C10" i="81"/>
  <c r="C11" i="81" s="1"/>
  <c r="E11" i="81" s="1"/>
  <c r="AJ9" i="81"/>
  <c r="AJ12" i="81" s="1"/>
  <c r="AI9" i="81"/>
  <c r="AI10" i="81" s="1"/>
  <c r="AH9" i="81"/>
  <c r="AH12" i="81" s="1"/>
  <c r="AG9" i="81"/>
  <c r="AG10" i="81" s="1"/>
  <c r="AF9" i="81"/>
  <c r="AF12" i="81" s="1"/>
  <c r="AE9" i="81"/>
  <c r="AE10" i="81" s="1"/>
  <c r="AD9" i="81"/>
  <c r="AD12" i="81" s="1"/>
  <c r="AC9" i="81"/>
  <c r="AC10" i="81" s="1"/>
  <c r="AB9" i="81"/>
  <c r="AB12" i="81" s="1"/>
  <c r="AA9" i="81"/>
  <c r="AA10" i="81" s="1"/>
  <c r="Z9" i="81"/>
  <c r="Z12" i="81" s="1"/>
  <c r="E9" i="81"/>
  <c r="C9" i="81"/>
  <c r="M8" i="81"/>
  <c r="E8" i="81"/>
  <c r="G39" i="81" s="1"/>
  <c r="I39" i="81" s="1"/>
  <c r="M7" i="81"/>
  <c r="C7" i="81"/>
  <c r="A7" i="81"/>
  <c r="N6" i="81"/>
  <c r="N5" i="81"/>
  <c r="M4" i="81"/>
  <c r="N3" i="81"/>
  <c r="M2" i="81"/>
  <c r="I2" i="81"/>
  <c r="G2" i="81"/>
  <c r="N1" i="81"/>
  <c r="M1" i="81"/>
  <c r="K29" i="9"/>
  <c r="F113" i="80"/>
  <c r="H108" i="80"/>
  <c r="L100" i="80"/>
  <c r="D100"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D87" i="80"/>
  <c r="N86" i="80"/>
  <c r="M86" i="80"/>
  <c r="K86" i="80"/>
  <c r="J86" i="80" s="1"/>
  <c r="D86" i="80"/>
  <c r="B86" i="80"/>
  <c r="N85" i="80"/>
  <c r="M85" i="80"/>
  <c r="K85" i="80"/>
  <c r="J85" i="80" s="1"/>
  <c r="D85" i="80"/>
  <c r="B85" i="80"/>
  <c r="N84" i="80"/>
  <c r="M84" i="80"/>
  <c r="K84" i="80"/>
  <c r="J84" i="80" s="1"/>
  <c r="D84" i="80"/>
  <c r="B84" i="80"/>
  <c r="N83" i="80"/>
  <c r="M83" i="80"/>
  <c r="K83" i="80"/>
  <c r="J83" i="80" s="1"/>
  <c r="D83" i="80"/>
  <c r="B83" i="80"/>
  <c r="N82" i="80"/>
  <c r="M82" i="80"/>
  <c r="K82" i="80"/>
  <c r="J82" i="80" s="1"/>
  <c r="D82" i="80"/>
  <c r="B82" i="80"/>
  <c r="N81" i="80"/>
  <c r="M81" i="80"/>
  <c r="K81" i="80"/>
  <c r="J81" i="80" s="1"/>
  <c r="F81" i="80"/>
  <c r="H87" i="80" s="1"/>
  <c r="D81" i="80"/>
  <c r="E81" i="80" s="1"/>
  <c r="B79" i="80" s="1"/>
  <c r="B81" i="80"/>
  <c r="M78" i="80"/>
  <c r="N78" i="80" s="1"/>
  <c r="K78" i="80"/>
  <c r="J78" i="80"/>
  <c r="D78" i="80"/>
  <c r="M77" i="80"/>
  <c r="N77" i="80" s="1"/>
  <c r="K77" i="80"/>
  <c r="J77" i="80"/>
  <c r="D77" i="80"/>
  <c r="N76" i="80"/>
  <c r="M76" i="80"/>
  <c r="K76" i="80"/>
  <c r="J76" i="80" s="1"/>
  <c r="D76" i="80"/>
  <c r="N75" i="80"/>
  <c r="M75" i="80"/>
  <c r="K75" i="80"/>
  <c r="J75" i="80" s="1"/>
  <c r="D75" i="80"/>
  <c r="M74" i="80"/>
  <c r="N74" i="80" s="1"/>
  <c r="K74" i="80"/>
  <c r="J74" i="80"/>
  <c r="D74" i="80"/>
  <c r="N73" i="80"/>
  <c r="M73" i="80"/>
  <c r="K73" i="80"/>
  <c r="J73" i="80" s="1"/>
  <c r="D73" i="80"/>
  <c r="B73" i="80"/>
  <c r="M72" i="80"/>
  <c r="N72" i="80" s="1"/>
  <c r="K72" i="80"/>
  <c r="J72" i="80"/>
  <c r="D72" i="80"/>
  <c r="B72" i="80"/>
  <c r="N71" i="80"/>
  <c r="M71" i="80"/>
  <c r="K71" i="80"/>
  <c r="J71" i="80" s="1"/>
  <c r="D71" i="80"/>
  <c r="M70" i="80"/>
  <c r="N70" i="80" s="1"/>
  <c r="K70" i="80"/>
  <c r="J70" i="80"/>
  <c r="F70" i="80"/>
  <c r="H76" i="80" s="1"/>
  <c r="D70" i="80"/>
  <c r="E70" i="80" s="1"/>
  <c r="B68" i="80" s="1"/>
  <c r="M67" i="80"/>
  <c r="N67" i="80" s="1"/>
  <c r="K67" i="80"/>
  <c r="J67" i="80"/>
  <c r="D67" i="80"/>
  <c r="N66" i="80"/>
  <c r="M66" i="80"/>
  <c r="K66" i="80"/>
  <c r="J66" i="80" s="1"/>
  <c r="D66" i="80"/>
  <c r="M65" i="80"/>
  <c r="N65" i="80" s="1"/>
  <c r="K65" i="80"/>
  <c r="J65" i="80"/>
  <c r="D65" i="80"/>
  <c r="N64" i="80"/>
  <c r="M64" i="80"/>
  <c r="K64" i="80"/>
  <c r="J64" i="80" s="1"/>
  <c r="D64" i="80"/>
  <c r="N63" i="80"/>
  <c r="M63" i="80"/>
  <c r="K63" i="80"/>
  <c r="J63" i="80" s="1"/>
  <c r="D63" i="80"/>
  <c r="B63" i="80"/>
  <c r="M62" i="80"/>
  <c r="N62" i="80" s="1"/>
  <c r="K62" i="80"/>
  <c r="J62" i="80"/>
  <c r="D62" i="80"/>
  <c r="M61" i="80"/>
  <c r="N61" i="80" s="1"/>
  <c r="K61" i="80"/>
  <c r="J61" i="80"/>
  <c r="D61" i="80"/>
  <c r="B61" i="80"/>
  <c r="N60" i="80"/>
  <c r="M60" i="80"/>
  <c r="K60" i="80"/>
  <c r="J60" i="80" s="1"/>
  <c r="D60" i="80"/>
  <c r="M59" i="80"/>
  <c r="N59" i="80" s="1"/>
  <c r="K59" i="80"/>
  <c r="J59" i="80"/>
  <c r="F59" i="80"/>
  <c r="H66" i="80" s="1"/>
  <c r="D59" i="80"/>
  <c r="E59" i="80" s="1"/>
  <c r="B57" i="80" s="1"/>
  <c r="M56" i="80"/>
  <c r="N56" i="80" s="1"/>
  <c r="K56" i="80"/>
  <c r="J56" i="80" s="1"/>
  <c r="D56" i="80"/>
  <c r="M55" i="80"/>
  <c r="N55" i="80" s="1"/>
  <c r="K55" i="80"/>
  <c r="J55" i="80" s="1"/>
  <c r="D55" i="80" s="1"/>
  <c r="M54" i="80"/>
  <c r="N54" i="80" s="1"/>
  <c r="K54" i="80"/>
  <c r="J54" i="80" s="1"/>
  <c r="D54" i="80"/>
  <c r="M53" i="80"/>
  <c r="N53" i="80" s="1"/>
  <c r="K53" i="80"/>
  <c r="J53" i="80" s="1"/>
  <c r="M52" i="80"/>
  <c r="N52" i="80" s="1"/>
  <c r="K52" i="80"/>
  <c r="J52" i="80" s="1"/>
  <c r="D52" i="80"/>
  <c r="B52" i="80"/>
  <c r="M51" i="80"/>
  <c r="N51" i="80" s="1"/>
  <c r="K51" i="80"/>
  <c r="J51" i="80"/>
  <c r="D51" i="80"/>
  <c r="M50" i="80"/>
  <c r="N50" i="80" s="1"/>
  <c r="K50" i="80"/>
  <c r="J50" i="80"/>
  <c r="D50" i="80"/>
  <c r="B50" i="80"/>
  <c r="M49" i="80"/>
  <c r="N49" i="80" s="1"/>
  <c r="K49" i="80"/>
  <c r="J49" i="80" s="1"/>
  <c r="D49" i="80"/>
  <c r="M48" i="80"/>
  <c r="N48" i="80" s="1"/>
  <c r="K48" i="80"/>
  <c r="J48" i="80" s="1"/>
  <c r="D48" i="80"/>
  <c r="B48" i="80"/>
  <c r="H39" i="80"/>
  <c r="F39" i="80"/>
  <c r="H38" i="80"/>
  <c r="H37" i="80"/>
  <c r="F37" i="80"/>
  <c r="H36" i="80"/>
  <c r="H35" i="80"/>
  <c r="F35" i="80"/>
  <c r="H34" i="80"/>
  <c r="H33" i="80"/>
  <c r="F33" i="80"/>
  <c r="P25" i="80"/>
  <c r="P21" i="80"/>
  <c r="M20" i="80"/>
  <c r="J20" i="80"/>
  <c r="I20" i="80"/>
  <c r="O19" i="80"/>
  <c r="M19" i="80"/>
  <c r="I19" i="80"/>
  <c r="G19" i="80"/>
  <c r="P24" i="80" s="1"/>
  <c r="C19" i="80"/>
  <c r="C18" i="80"/>
  <c r="J17" i="80"/>
  <c r="E17" i="80"/>
  <c r="F15" i="80"/>
  <c r="E15" i="80"/>
  <c r="D15" i="80"/>
  <c r="C15" i="80"/>
  <c r="C12" i="80" s="1"/>
  <c r="Y12" i="80"/>
  <c r="AH10" i="80"/>
  <c r="AD10" i="80"/>
  <c r="Z10" i="80"/>
  <c r="Y10" i="80"/>
  <c r="C10" i="80"/>
  <c r="C11" i="80" s="1"/>
  <c r="E10" i="80" s="1"/>
  <c r="AJ9" i="80"/>
  <c r="AJ12" i="80" s="1"/>
  <c r="AI9" i="80"/>
  <c r="AI10" i="80" s="1"/>
  <c r="AH9" i="80"/>
  <c r="AH12" i="80" s="1"/>
  <c r="AG9" i="80"/>
  <c r="AG10" i="80" s="1"/>
  <c r="AF9" i="80"/>
  <c r="AF12" i="80" s="1"/>
  <c r="AE9" i="80"/>
  <c r="AE10" i="80" s="1"/>
  <c r="AD9" i="80"/>
  <c r="AD12" i="80" s="1"/>
  <c r="AC9" i="80"/>
  <c r="AC10" i="80" s="1"/>
  <c r="AB9" i="80"/>
  <c r="AB12" i="80" s="1"/>
  <c r="AA9" i="80"/>
  <c r="AA10" i="80" s="1"/>
  <c r="Z9" i="80"/>
  <c r="Z12" i="80" s="1"/>
  <c r="E9" i="80"/>
  <c r="C9" i="80"/>
  <c r="E8" i="80"/>
  <c r="G39" i="80" s="1"/>
  <c r="I39" i="80" s="1"/>
  <c r="X7" i="80"/>
  <c r="C7" i="80"/>
  <c r="A7" i="80"/>
  <c r="I2" i="80"/>
  <c r="G2" i="80"/>
  <c r="M1" i="80"/>
  <c r="F113" i="79"/>
  <c r="H108" i="79"/>
  <c r="L100" i="79"/>
  <c r="D100" i="79"/>
  <c r="N99" i="79"/>
  <c r="N108" i="79" s="1"/>
  <c r="M99" i="79"/>
  <c r="L99" i="79"/>
  <c r="L108" i="79" s="1"/>
  <c r="K99" i="79"/>
  <c r="J99" i="79"/>
  <c r="J108" i="79" s="1"/>
  <c r="I99" i="79"/>
  <c r="H99" i="79"/>
  <c r="H100" i="79" s="1"/>
  <c r="G99" i="79"/>
  <c r="F99" i="79"/>
  <c r="F108" i="79" s="1"/>
  <c r="E99" i="79"/>
  <c r="D99" i="79"/>
  <c r="D108" i="79" s="1"/>
  <c r="C99" i="79"/>
  <c r="M88" i="79"/>
  <c r="N88" i="79" s="1"/>
  <c r="K88" i="79"/>
  <c r="J88" i="79"/>
  <c r="D88" i="79"/>
  <c r="B88" i="79"/>
  <c r="N87" i="79"/>
  <c r="M87" i="79"/>
  <c r="K87" i="79"/>
  <c r="J87" i="79" s="1"/>
  <c r="D87" i="79"/>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H81" i="79"/>
  <c r="F81" i="79"/>
  <c r="H87" i="79" s="1"/>
  <c r="D81" i="79"/>
  <c r="E81" i="79" s="1"/>
  <c r="B79" i="79" s="1"/>
  <c r="B81" i="79"/>
  <c r="M78" i="79"/>
  <c r="N78" i="79" s="1"/>
  <c r="K78" i="79"/>
  <c r="J78" i="79"/>
  <c r="D78" i="79"/>
  <c r="M77" i="79"/>
  <c r="N77" i="79" s="1"/>
  <c r="K77" i="79"/>
  <c r="J77" i="79"/>
  <c r="D77" i="79"/>
  <c r="N76" i="79"/>
  <c r="M76" i="79"/>
  <c r="K76" i="79"/>
  <c r="J76" i="79" s="1"/>
  <c r="D76" i="79"/>
  <c r="N75" i="79"/>
  <c r="M75" i="79"/>
  <c r="K75" i="79"/>
  <c r="J75" i="79" s="1"/>
  <c r="D75" i="79"/>
  <c r="M74" i="79"/>
  <c r="N74" i="79" s="1"/>
  <c r="K74" i="79"/>
  <c r="J74" i="79"/>
  <c r="D74" i="79"/>
  <c r="N73" i="79"/>
  <c r="M73" i="79"/>
  <c r="K73" i="79"/>
  <c r="J73" i="79" s="1"/>
  <c r="D73" i="79"/>
  <c r="B73" i="79"/>
  <c r="M72" i="79"/>
  <c r="N72" i="79" s="1"/>
  <c r="K72" i="79"/>
  <c r="J72" i="79"/>
  <c r="D72" i="79"/>
  <c r="B72" i="79"/>
  <c r="N71" i="79"/>
  <c r="M71" i="79"/>
  <c r="K71" i="79"/>
  <c r="J71" i="79" s="1"/>
  <c r="D71" i="79"/>
  <c r="M70" i="79"/>
  <c r="N70" i="79" s="1"/>
  <c r="K70" i="79"/>
  <c r="J70" i="79"/>
  <c r="F70" i="79"/>
  <c r="H76" i="79" s="1"/>
  <c r="D70" i="79"/>
  <c r="E70" i="79" s="1"/>
  <c r="B68" i="79" s="1"/>
  <c r="M67" i="79"/>
  <c r="N67" i="79" s="1"/>
  <c r="K67" i="79"/>
  <c r="J67" i="79"/>
  <c r="D67" i="79"/>
  <c r="N66" i="79"/>
  <c r="M66" i="79"/>
  <c r="K66" i="79"/>
  <c r="J66" i="79" s="1"/>
  <c r="D66" i="79"/>
  <c r="M65" i="79"/>
  <c r="N65" i="79" s="1"/>
  <c r="K65" i="79"/>
  <c r="J65" i="79"/>
  <c r="D65" i="79"/>
  <c r="N64" i="79"/>
  <c r="M64" i="79"/>
  <c r="K64" i="79"/>
  <c r="J64" i="79" s="1"/>
  <c r="D64" i="79"/>
  <c r="N63" i="79"/>
  <c r="M63" i="79"/>
  <c r="K63" i="79"/>
  <c r="J63" i="79" s="1"/>
  <c r="D63" i="79"/>
  <c r="B63" i="79"/>
  <c r="M62" i="79"/>
  <c r="N62" i="79" s="1"/>
  <c r="K62" i="79"/>
  <c r="J62" i="79"/>
  <c r="D62" i="79"/>
  <c r="M61" i="79"/>
  <c r="N61" i="79" s="1"/>
  <c r="K61" i="79"/>
  <c r="J61" i="79"/>
  <c r="D61" i="79"/>
  <c r="B61" i="79"/>
  <c r="N60" i="79"/>
  <c r="M60" i="79"/>
  <c r="K60" i="79"/>
  <c r="J60" i="79" s="1"/>
  <c r="D60" i="79"/>
  <c r="M59" i="79"/>
  <c r="N59" i="79" s="1"/>
  <c r="K59" i="79"/>
  <c r="J59" i="79"/>
  <c r="F59" i="79"/>
  <c r="H66" i="79" s="1"/>
  <c r="D59" i="79"/>
  <c r="E59" i="79" s="1"/>
  <c r="B57" i="79" s="1"/>
  <c r="M56" i="79"/>
  <c r="N56" i="79" s="1"/>
  <c r="K56" i="79"/>
  <c r="J56" i="79" s="1"/>
  <c r="D56" i="79"/>
  <c r="M55" i="79"/>
  <c r="N55" i="79" s="1"/>
  <c r="K55" i="79"/>
  <c r="J55" i="79" s="1"/>
  <c r="D55" i="79" s="1"/>
  <c r="M54" i="79"/>
  <c r="N54" i="79" s="1"/>
  <c r="K54" i="79"/>
  <c r="J54" i="79" s="1"/>
  <c r="D54" i="79"/>
  <c r="M53" i="79"/>
  <c r="N53" i="79" s="1"/>
  <c r="K53" i="79"/>
  <c r="J53" i="79" s="1"/>
  <c r="M52" i="79"/>
  <c r="N52" i="79" s="1"/>
  <c r="K52" i="79"/>
  <c r="J52" i="79" s="1"/>
  <c r="D52" i="79"/>
  <c r="B52" i="79"/>
  <c r="M51" i="79"/>
  <c r="N51" i="79" s="1"/>
  <c r="K51" i="79"/>
  <c r="J51" i="79"/>
  <c r="D51" i="79"/>
  <c r="M50" i="79"/>
  <c r="N50" i="79" s="1"/>
  <c r="K50" i="79"/>
  <c r="J50" i="79"/>
  <c r="D50" i="79"/>
  <c r="B50" i="79"/>
  <c r="M49" i="79"/>
  <c r="N49" i="79" s="1"/>
  <c r="K49" i="79"/>
  <c r="J49" i="79" s="1"/>
  <c r="M48" i="79"/>
  <c r="N48" i="79" s="1"/>
  <c r="K48" i="79"/>
  <c r="J48" i="79" s="1"/>
  <c r="D48" i="79"/>
  <c r="B48" i="79"/>
  <c r="H39" i="79"/>
  <c r="H38" i="79"/>
  <c r="H37" i="79"/>
  <c r="H36" i="79"/>
  <c r="H35" i="79"/>
  <c r="H34" i="79"/>
  <c r="H33" i="79"/>
  <c r="P25" i="79"/>
  <c r="P21" i="79"/>
  <c r="M20" i="79"/>
  <c r="J20" i="79"/>
  <c r="I20" i="79"/>
  <c r="O19" i="79"/>
  <c r="M19" i="79"/>
  <c r="I19" i="79"/>
  <c r="G19" i="79"/>
  <c r="P24" i="79" s="1"/>
  <c r="C19" i="79"/>
  <c r="C18" i="79"/>
  <c r="F15" i="79"/>
  <c r="E15" i="79"/>
  <c r="D15" i="79"/>
  <c r="C15" i="79"/>
  <c r="C12" i="79" s="1"/>
  <c r="Y12" i="79"/>
  <c r="AJ10" i="79"/>
  <c r="AF10" i="79"/>
  <c r="AB10" i="79"/>
  <c r="Y10" i="79"/>
  <c r="C10" i="79"/>
  <c r="C11" i="79" s="1"/>
  <c r="E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E9" i="79"/>
  <c r="C9" i="79"/>
  <c r="E8" i="79"/>
  <c r="G39" i="79" s="1"/>
  <c r="I39" i="79" s="1"/>
  <c r="X7" i="79"/>
  <c r="C7" i="79"/>
  <c r="A7" i="79"/>
  <c r="I2" i="79"/>
  <c r="M9" i="79" s="1"/>
  <c r="G2" i="79"/>
  <c r="D1" i="79"/>
  <c r="F113" i="78"/>
  <c r="H108" i="78"/>
  <c r="L100" i="78"/>
  <c r="D100" i="78"/>
  <c r="N99" i="78"/>
  <c r="N108" i="78" s="1"/>
  <c r="M99" i="78"/>
  <c r="L99" i="78"/>
  <c r="L108" i="78" s="1"/>
  <c r="K99" i="78"/>
  <c r="J99" i="78"/>
  <c r="J108" i="78" s="1"/>
  <c r="I99" i="78"/>
  <c r="H99" i="78"/>
  <c r="H100" i="78" s="1"/>
  <c r="G99" i="78"/>
  <c r="F99" i="78"/>
  <c r="F108" i="78" s="1"/>
  <c r="E99" i="78"/>
  <c r="D99" i="78"/>
  <c r="D108" i="78" s="1"/>
  <c r="C99" i="78"/>
  <c r="M88" i="78"/>
  <c r="N88" i="78" s="1"/>
  <c r="K88" i="78"/>
  <c r="J88" i="78"/>
  <c r="D88" i="78"/>
  <c r="B88" i="78"/>
  <c r="N87" i="78"/>
  <c r="M87" i="78"/>
  <c r="K87" i="78"/>
  <c r="J87" i="78" s="1"/>
  <c r="D87" i="78"/>
  <c r="N86" i="78"/>
  <c r="M86" i="78"/>
  <c r="K86" i="78"/>
  <c r="J86" i="78" s="1"/>
  <c r="D86" i="78"/>
  <c r="B86" i="78"/>
  <c r="M85" i="78"/>
  <c r="N85" i="78" s="1"/>
  <c r="K85" i="78"/>
  <c r="J85" i="78"/>
  <c r="D85" i="78"/>
  <c r="B85" i="78"/>
  <c r="N84" i="78"/>
  <c r="M84" i="78"/>
  <c r="K84" i="78"/>
  <c r="J84" i="78" s="1"/>
  <c r="D84" i="78"/>
  <c r="B84" i="78"/>
  <c r="M83" i="78"/>
  <c r="N83" i="78" s="1"/>
  <c r="K83" i="78"/>
  <c r="J83" i="78"/>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N76" i="78"/>
  <c r="M76" i="78"/>
  <c r="K76" i="78"/>
  <c r="J76" i="78" s="1"/>
  <c r="D76" i="78"/>
  <c r="N75" i="78"/>
  <c r="M75" i="78"/>
  <c r="K75" i="78"/>
  <c r="J75" i="78" s="1"/>
  <c r="D75" i="78"/>
  <c r="M74" i="78"/>
  <c r="N74" i="78" s="1"/>
  <c r="K74" i="78"/>
  <c r="J74" i="78"/>
  <c r="D74" i="78"/>
  <c r="N73" i="78"/>
  <c r="M73" i="78"/>
  <c r="K73" i="78"/>
  <c r="J73" i="78" s="1"/>
  <c r="D73" i="78"/>
  <c r="B73" i="78"/>
  <c r="M72" i="78"/>
  <c r="N72" i="78" s="1"/>
  <c r="K72" i="78"/>
  <c r="J72" i="78"/>
  <c r="D72" i="78"/>
  <c r="B72" i="78"/>
  <c r="N71" i="78"/>
  <c r="M71" i="78"/>
  <c r="K71" i="78"/>
  <c r="J71" i="78" s="1"/>
  <c r="D71" i="78"/>
  <c r="M70" i="78"/>
  <c r="N70" i="78" s="1"/>
  <c r="K70" i="78"/>
  <c r="J70" i="78"/>
  <c r="F70" i="78"/>
  <c r="H76" i="78" s="1"/>
  <c r="D70" i="78"/>
  <c r="E70" i="78" s="1"/>
  <c r="B68" i="78" s="1"/>
  <c r="M67" i="78"/>
  <c r="N67" i="78" s="1"/>
  <c r="K67" i="78"/>
  <c r="J67" i="78"/>
  <c r="D67" i="78"/>
  <c r="N66" i="78"/>
  <c r="M66" i="78"/>
  <c r="K66" i="78"/>
  <c r="J66" i="78" s="1"/>
  <c r="D66" i="78"/>
  <c r="M65" i="78"/>
  <c r="N65" i="78" s="1"/>
  <c r="K65" i="78"/>
  <c r="J65" i="78"/>
  <c r="D65" i="78"/>
  <c r="N64" i="78"/>
  <c r="M64" i="78"/>
  <c r="K64" i="78"/>
  <c r="J64" i="78" s="1"/>
  <c r="D64" i="78"/>
  <c r="N63" i="78"/>
  <c r="M63" i="78"/>
  <c r="K63" i="78"/>
  <c r="J63" i="78" s="1"/>
  <c r="D63" i="78"/>
  <c r="B63" i="78"/>
  <c r="M62" i="78"/>
  <c r="N62" i="78" s="1"/>
  <c r="K62" i="78"/>
  <c r="J62" i="78"/>
  <c r="D62" i="78"/>
  <c r="M61" i="78"/>
  <c r="N61" i="78" s="1"/>
  <c r="K61" i="78"/>
  <c r="J61" i="78"/>
  <c r="D61" i="78"/>
  <c r="B61" i="78"/>
  <c r="N60" i="78"/>
  <c r="M60" i="78"/>
  <c r="K60" i="78"/>
  <c r="J60" i="78" s="1"/>
  <c r="D60" i="78"/>
  <c r="M59" i="78"/>
  <c r="N59" i="78" s="1"/>
  <c r="K59" i="78"/>
  <c r="J59" i="78"/>
  <c r="F59" i="78"/>
  <c r="H66" i="78" s="1"/>
  <c r="D59" i="78"/>
  <c r="E59" i="78" s="1"/>
  <c r="B57" i="78" s="1"/>
  <c r="M56" i="78"/>
  <c r="N56" i="78" s="1"/>
  <c r="K56" i="78"/>
  <c r="J56" i="78" s="1"/>
  <c r="D56" i="78"/>
  <c r="M55" i="78"/>
  <c r="N55" i="78" s="1"/>
  <c r="K55" i="78"/>
  <c r="J55" i="78" s="1"/>
  <c r="D55" i="78" s="1"/>
  <c r="M54" i="78"/>
  <c r="N54" i="78" s="1"/>
  <c r="K54" i="78"/>
  <c r="J54" i="78" s="1"/>
  <c r="D54" i="78"/>
  <c r="M53" i="78"/>
  <c r="N53" i="78" s="1"/>
  <c r="K53" i="78"/>
  <c r="J53" i="78" s="1"/>
  <c r="M52" i="78"/>
  <c r="N52" i="78" s="1"/>
  <c r="K52" i="78"/>
  <c r="J52" i="78" s="1"/>
  <c r="D52" i="78"/>
  <c r="B52" i="78"/>
  <c r="M51" i="78"/>
  <c r="N51" i="78" s="1"/>
  <c r="K51" i="78"/>
  <c r="J51" i="78"/>
  <c r="D51" i="78"/>
  <c r="M50" i="78"/>
  <c r="N50" i="78" s="1"/>
  <c r="K50" i="78"/>
  <c r="J50" i="78"/>
  <c r="D50" i="78"/>
  <c r="B50" i="78"/>
  <c r="M49" i="78"/>
  <c r="N49" i="78" s="1"/>
  <c r="K49" i="78"/>
  <c r="J49" i="78" s="1"/>
  <c r="D49" i="78"/>
  <c r="M48" i="78"/>
  <c r="N48" i="78" s="1"/>
  <c r="K48" i="78"/>
  <c r="J48" i="78" s="1"/>
  <c r="D48" i="78"/>
  <c r="B48" i="78"/>
  <c r="H39" i="78"/>
  <c r="H38" i="78"/>
  <c r="H37" i="78"/>
  <c r="H36" i="78"/>
  <c r="H35" i="78"/>
  <c r="H34" i="78"/>
  <c r="H33" i="78"/>
  <c r="P25" i="78"/>
  <c r="P21" i="78"/>
  <c r="M20" i="78"/>
  <c r="J20" i="78"/>
  <c r="I20" i="78"/>
  <c r="O19" i="78"/>
  <c r="M19" i="78"/>
  <c r="I19" i="78"/>
  <c r="G19" i="78"/>
  <c r="P24" i="78" s="1"/>
  <c r="C19" i="78"/>
  <c r="C18" i="78"/>
  <c r="F15" i="78"/>
  <c r="E15" i="78"/>
  <c r="D15" i="78"/>
  <c r="C15" i="78"/>
  <c r="C12" i="78" s="1"/>
  <c r="AI12" i="78"/>
  <c r="AE12" i="78"/>
  <c r="AA12" i="78"/>
  <c r="Y12" i="78"/>
  <c r="E11" i="78"/>
  <c r="Y10" i="78"/>
  <c r="N10" i="78"/>
  <c r="E10" i="78"/>
  <c r="C10" i="78"/>
  <c r="C11" i="78" s="1"/>
  <c r="AJ9" i="78"/>
  <c r="AJ12" i="78" s="1"/>
  <c r="AI9" i="78"/>
  <c r="AI10" i="78" s="1"/>
  <c r="AH9" i="78"/>
  <c r="AH12" i="78" s="1"/>
  <c r="AG9" i="78"/>
  <c r="AG10" i="78" s="1"/>
  <c r="AF9" i="78"/>
  <c r="AF12" i="78" s="1"/>
  <c r="AE9" i="78"/>
  <c r="AE10" i="78" s="1"/>
  <c r="AD9" i="78"/>
  <c r="AD12" i="78" s="1"/>
  <c r="AC9" i="78"/>
  <c r="AC12" i="78" s="1"/>
  <c r="AB9" i="78"/>
  <c r="AB12" i="78" s="1"/>
  <c r="AA9" i="78"/>
  <c r="AA10" i="78" s="1"/>
  <c r="Z9" i="78"/>
  <c r="Z12" i="78" s="1"/>
  <c r="M9" i="78"/>
  <c r="E9" i="78"/>
  <c r="C9" i="78"/>
  <c r="M8" i="78"/>
  <c r="E8" i="78"/>
  <c r="G39" i="78" s="1"/>
  <c r="I39" i="78" s="1"/>
  <c r="M7" i="78"/>
  <c r="C7" i="78"/>
  <c r="A7" i="78"/>
  <c r="N6" i="78"/>
  <c r="N5" i="78"/>
  <c r="M4" i="78"/>
  <c r="N3" i="78"/>
  <c r="M2" i="78"/>
  <c r="I2" i="78"/>
  <c r="G2" i="78"/>
  <c r="N1" i="78"/>
  <c r="M1" i="78"/>
  <c r="D1" i="78"/>
  <c r="M64" i="83"/>
  <c r="F113" i="77"/>
  <c r="H108" i="77"/>
  <c r="L100" i="77"/>
  <c r="D100" i="77"/>
  <c r="N99" i="77"/>
  <c r="N108" i="77" s="1"/>
  <c r="M99" i="77"/>
  <c r="L99" i="77"/>
  <c r="L108" i="77" s="1"/>
  <c r="K99" i="77"/>
  <c r="J99" i="77"/>
  <c r="J108" i="77" s="1"/>
  <c r="I99" i="77"/>
  <c r="H99" i="77"/>
  <c r="H100" i="77" s="1"/>
  <c r="G99" i="77"/>
  <c r="F99" i="77"/>
  <c r="F108" i="77" s="1"/>
  <c r="E99" i="77"/>
  <c r="D99" i="77"/>
  <c r="D108" i="77" s="1"/>
  <c r="C99" i="77"/>
  <c r="M88" i="77"/>
  <c r="N88" i="77" s="1"/>
  <c r="K88" i="77"/>
  <c r="J88" i="77"/>
  <c r="D88" i="77"/>
  <c r="B88" i="77"/>
  <c r="N87" i="77"/>
  <c r="M87" i="77"/>
  <c r="K87" i="77"/>
  <c r="J87" i="77" s="1"/>
  <c r="D87" i="77"/>
  <c r="N86" i="77"/>
  <c r="M86" i="77"/>
  <c r="K86" i="77"/>
  <c r="J86" i="77" s="1"/>
  <c r="D86" i="77"/>
  <c r="B86" i="77"/>
  <c r="M85" i="77"/>
  <c r="N85" i="77" s="1"/>
  <c r="K85" i="77"/>
  <c r="J85" i="77"/>
  <c r="D85" i="77"/>
  <c r="B85" i="77"/>
  <c r="N84" i="77"/>
  <c r="M84" i="77"/>
  <c r="K84" i="77"/>
  <c r="J84" i="77" s="1"/>
  <c r="D84" i="77"/>
  <c r="B84" i="77"/>
  <c r="M83" i="77"/>
  <c r="N83" i="77" s="1"/>
  <c r="K83" i="77"/>
  <c r="J83" i="77"/>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N76" i="77"/>
  <c r="M76" i="77"/>
  <c r="K76" i="77"/>
  <c r="J76" i="77" s="1"/>
  <c r="D76" i="77"/>
  <c r="N75" i="77"/>
  <c r="M75" i="77"/>
  <c r="K75" i="77"/>
  <c r="J75" i="77" s="1"/>
  <c r="D75" i="77"/>
  <c r="M74" i="77"/>
  <c r="N74" i="77" s="1"/>
  <c r="K74" i="77"/>
  <c r="J74" i="77"/>
  <c r="D74" i="77"/>
  <c r="N73" i="77"/>
  <c r="M73" i="77"/>
  <c r="K73" i="77"/>
  <c r="J73" i="77" s="1"/>
  <c r="D73" i="77"/>
  <c r="B73" i="77"/>
  <c r="M72" i="77"/>
  <c r="N72" i="77" s="1"/>
  <c r="K72" i="77"/>
  <c r="J72" i="77"/>
  <c r="D72" i="77"/>
  <c r="B72" i="77"/>
  <c r="N71" i="77"/>
  <c r="M71" i="77"/>
  <c r="K71" i="77"/>
  <c r="J71" i="77" s="1"/>
  <c r="D71" i="77"/>
  <c r="M70" i="77"/>
  <c r="N70" i="77" s="1"/>
  <c r="K70" i="77"/>
  <c r="J70" i="77"/>
  <c r="F70" i="77"/>
  <c r="H76" i="77" s="1"/>
  <c r="D70" i="77"/>
  <c r="E70" i="77" s="1"/>
  <c r="B68" i="77" s="1"/>
  <c r="M67" i="77"/>
  <c r="N67" i="77" s="1"/>
  <c r="K67" i="77"/>
  <c r="J67" i="77"/>
  <c r="D67" i="77"/>
  <c r="N66" i="77"/>
  <c r="M66" i="77"/>
  <c r="K66" i="77"/>
  <c r="J66" i="77" s="1"/>
  <c r="D66" i="77"/>
  <c r="M65" i="77"/>
  <c r="N65" i="77" s="1"/>
  <c r="K65" i="77"/>
  <c r="J65" i="77"/>
  <c r="D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M59" i="77"/>
  <c r="N59" i="77" s="1"/>
  <c r="K59" i="77"/>
  <c r="J59" i="77"/>
  <c r="F59" i="77"/>
  <c r="H66" i="77" s="1"/>
  <c r="D59" i="77"/>
  <c r="E59" i="77" s="1"/>
  <c r="B57" i="77" s="1"/>
  <c r="M56" i="77"/>
  <c r="N56" i="77" s="1"/>
  <c r="K56" i="77"/>
  <c r="J56" i="77" s="1"/>
  <c r="D56" i="77"/>
  <c r="M55" i="77"/>
  <c r="N55" i="77" s="1"/>
  <c r="K55" i="77"/>
  <c r="J55" i="77" s="1"/>
  <c r="D55" i="77" s="1"/>
  <c r="M54" i="77"/>
  <c r="N54" i="77" s="1"/>
  <c r="K54" i="77"/>
  <c r="J54" i="77" s="1"/>
  <c r="D54" i="77"/>
  <c r="M53" i="77"/>
  <c r="N53" i="77" s="1"/>
  <c r="K53" i="77"/>
  <c r="J53" i="77" s="1"/>
  <c r="M52" i="77"/>
  <c r="N52" i="77" s="1"/>
  <c r="K52" i="77"/>
  <c r="J52" i="77" s="1"/>
  <c r="D52" i="77"/>
  <c r="B52" i="77"/>
  <c r="M51" i="77"/>
  <c r="N51" i="77" s="1"/>
  <c r="K51" i="77"/>
  <c r="J51" i="77"/>
  <c r="D51" i="77"/>
  <c r="M50" i="77"/>
  <c r="N50" i="77" s="1"/>
  <c r="K50" i="77"/>
  <c r="J50" i="77"/>
  <c r="D50" i="77"/>
  <c r="B50" i="77"/>
  <c r="M49" i="77"/>
  <c r="N49" i="77" s="1"/>
  <c r="K49" i="77"/>
  <c r="J49" i="77" s="1"/>
  <c r="M48" i="77"/>
  <c r="N48" i="77" s="1"/>
  <c r="K48" i="77"/>
  <c r="J48" i="77" s="1"/>
  <c r="D48" i="77"/>
  <c r="B48" i="77"/>
  <c r="H39" i="77"/>
  <c r="H38" i="77"/>
  <c r="H37" i="77"/>
  <c r="H36" i="77"/>
  <c r="H35" i="77"/>
  <c r="H34" i="77"/>
  <c r="H33" i="77"/>
  <c r="P25" i="77"/>
  <c r="P21" i="77"/>
  <c r="M20" i="77"/>
  <c r="J20" i="77"/>
  <c r="I20" i="77"/>
  <c r="O19" i="77"/>
  <c r="M19" i="77"/>
  <c r="I19" i="77"/>
  <c r="G19" i="77"/>
  <c r="P24" i="77" s="1"/>
  <c r="C19" i="77"/>
  <c r="C18" i="77"/>
  <c r="F15" i="77"/>
  <c r="E15" i="77"/>
  <c r="D15" i="77"/>
  <c r="C15" i="77"/>
  <c r="C12" i="77" s="1"/>
  <c r="AI12" i="77"/>
  <c r="AG12" i="77"/>
  <c r="AE12" i="77"/>
  <c r="AC12" i="77"/>
  <c r="AA12" i="77"/>
  <c r="Y12" i="77"/>
  <c r="M12" i="77"/>
  <c r="N11" i="77"/>
  <c r="AJ10" i="77"/>
  <c r="AF10" i="77"/>
  <c r="AB10" i="77"/>
  <c r="Y10" i="77"/>
  <c r="N10" i="77"/>
  <c r="C10" i="77"/>
  <c r="C11" i="77" s="1"/>
  <c r="E11" i="77" s="1"/>
  <c r="AJ9" i="77"/>
  <c r="AJ12" i="77" s="1"/>
  <c r="AI9" i="77"/>
  <c r="AI10" i="77" s="1"/>
  <c r="AH9" i="77"/>
  <c r="AH12" i="77" s="1"/>
  <c r="AG9" i="77"/>
  <c r="AG10" i="77" s="1"/>
  <c r="AF9" i="77"/>
  <c r="AF12" i="77" s="1"/>
  <c r="AE9" i="77"/>
  <c r="AE10" i="77" s="1"/>
  <c r="AD9" i="77"/>
  <c r="AD12" i="77" s="1"/>
  <c r="AC9" i="77"/>
  <c r="AC10" i="77" s="1"/>
  <c r="AB9" i="77"/>
  <c r="AB12" i="77" s="1"/>
  <c r="AA9" i="77"/>
  <c r="AA10" i="77" s="1"/>
  <c r="Z9" i="77"/>
  <c r="Z12" i="77" s="1"/>
  <c r="M9" i="77"/>
  <c r="C9" i="77"/>
  <c r="M8" i="77"/>
  <c r="M7" i="77"/>
  <c r="C7" i="77"/>
  <c r="A7" i="77"/>
  <c r="N6" i="77"/>
  <c r="N5" i="77"/>
  <c r="M4" i="77"/>
  <c r="N3" i="77"/>
  <c r="M2" i="77"/>
  <c r="I2" i="77"/>
  <c r="G2" i="77"/>
  <c r="J17" i="77" s="1"/>
  <c r="N1" i="77"/>
  <c r="M1" i="77"/>
  <c r="D1" i="77"/>
  <c r="M70" i="83"/>
  <c r="AL7" i="1"/>
  <c r="AK7" i="1"/>
  <c r="Y6" i="1"/>
  <c r="Y7" i="1" s="1"/>
  <c r="N7" i="1"/>
  <c r="F9" i="84"/>
  <c r="F6" i="84"/>
  <c r="F7" i="84"/>
  <c r="M9" i="84"/>
  <c r="F13" i="84"/>
  <c r="J15" i="84"/>
  <c r="M8" i="84"/>
  <c r="C76" i="84"/>
  <c r="M24" i="84"/>
  <c r="M22" i="84"/>
  <c r="F36" i="84"/>
  <c r="M26" i="84"/>
  <c r="F38" i="84"/>
  <c r="F37" i="84"/>
  <c r="M27" i="84"/>
  <c r="F26" i="84"/>
  <c r="M28" i="84"/>
  <c r="M23" i="84"/>
  <c r="F40" i="84"/>
  <c r="L47" i="84"/>
  <c r="F42" i="84"/>
  <c r="F16" i="84"/>
  <c r="F8" i="84"/>
  <c r="L48" i="84"/>
  <c r="M6" i="84"/>
  <c r="M69" i="83" l="1"/>
  <c r="K31" i="9"/>
  <c r="M68" i="83"/>
  <c r="K30" i="9"/>
  <c r="M66" i="83"/>
  <c r="K28" i="9"/>
  <c r="M65" i="83"/>
  <c r="K27" i="9"/>
  <c r="K25" i="9"/>
  <c r="M63" i="83"/>
  <c r="D1" i="80"/>
  <c r="M67" i="83"/>
  <c r="D1" i="82"/>
  <c r="D49" i="82"/>
  <c r="D54" i="82"/>
  <c r="E48" i="82"/>
  <c r="B46" i="82" s="1"/>
  <c r="C24" i="82" s="1"/>
  <c r="D53" i="81"/>
  <c r="D48" i="81"/>
  <c r="D53" i="80"/>
  <c r="E48" i="80" s="1"/>
  <c r="B46" i="80" s="1"/>
  <c r="C24" i="80" s="1"/>
  <c r="D49" i="79"/>
  <c r="D53" i="79"/>
  <c r="E48" i="79"/>
  <c r="B46" i="79" s="1"/>
  <c r="C24" i="79" s="1"/>
  <c r="D53" i="78"/>
  <c r="E48" i="78" s="1"/>
  <c r="B46" i="78" s="1"/>
  <c r="C24" i="78" s="1"/>
  <c r="D49" i="77"/>
  <c r="E48" i="77" s="1"/>
  <c r="B46" i="77" s="1"/>
  <c r="C24" i="77" s="1"/>
  <c r="D53" i="77"/>
  <c r="C27" i="84"/>
  <c r="F50" i="84"/>
  <c r="M7" i="84"/>
  <c r="J6" i="84" s="1"/>
  <c r="L59" i="84"/>
  <c r="L58" i="84"/>
  <c r="F64" i="84"/>
  <c r="F66" i="84"/>
  <c r="C6" i="84"/>
  <c r="F51" i="84"/>
  <c r="F68" i="84"/>
  <c r="L57" i="84"/>
  <c r="L56" i="84"/>
  <c r="K53" i="84"/>
  <c r="L60" i="84"/>
  <c r="J57" i="84"/>
  <c r="J55" i="84" s="1"/>
  <c r="J58" i="84" s="1"/>
  <c r="Q50" i="84" s="1"/>
  <c r="J60" i="84"/>
  <c r="Q48" i="84" s="1"/>
  <c r="J59" i="84"/>
  <c r="J53" i="84"/>
  <c r="F65" i="84"/>
  <c r="Q71" i="84"/>
  <c r="M1" i="82"/>
  <c r="N2" i="82"/>
  <c r="M3" i="82"/>
  <c r="N1" i="82"/>
  <c r="H113" i="82"/>
  <c r="I17" i="82"/>
  <c r="G17" i="82"/>
  <c r="C17" i="82"/>
  <c r="M2" i="82"/>
  <c r="N3" i="82"/>
  <c r="M4" i="82"/>
  <c r="N5" i="82"/>
  <c r="C6" i="82"/>
  <c r="N6" i="82"/>
  <c r="M7" i="82"/>
  <c r="M8" i="82"/>
  <c r="M9" i="82"/>
  <c r="E10" i="82"/>
  <c r="N10" i="82"/>
  <c r="AB10" i="82"/>
  <c r="AF10" i="82"/>
  <c r="AJ10" i="82"/>
  <c r="N11" i="82"/>
  <c r="AC12" i="82"/>
  <c r="AG12" i="82"/>
  <c r="H17" i="82"/>
  <c r="F34" i="82"/>
  <c r="F36" i="82"/>
  <c r="F38" i="82"/>
  <c r="N12" i="82"/>
  <c r="M11" i="82"/>
  <c r="N4" i="82"/>
  <c r="F48" i="82" s="1"/>
  <c r="M5" i="82"/>
  <c r="M6" i="82"/>
  <c r="N7" i="82"/>
  <c r="N8" i="82"/>
  <c r="N9" i="82"/>
  <c r="M10" i="82"/>
  <c r="AA12" i="82"/>
  <c r="AE12" i="82"/>
  <c r="AI12" i="82"/>
  <c r="E17" i="82"/>
  <c r="J17" i="82"/>
  <c r="F33" i="82"/>
  <c r="F35" i="82"/>
  <c r="F37" i="82"/>
  <c r="F39" i="82"/>
  <c r="P22" i="82"/>
  <c r="P23" i="82"/>
  <c r="H59" i="82"/>
  <c r="H61" i="82"/>
  <c r="H62" i="82"/>
  <c r="H65" i="82"/>
  <c r="H67" i="82"/>
  <c r="H70" i="82"/>
  <c r="H72" i="82"/>
  <c r="H74" i="82"/>
  <c r="H77" i="82"/>
  <c r="H78" i="82"/>
  <c r="H81" i="82"/>
  <c r="H83" i="82"/>
  <c r="H85" i="82"/>
  <c r="H88" i="82"/>
  <c r="F100" i="82"/>
  <c r="J100" i="82"/>
  <c r="N100" i="82"/>
  <c r="H60" i="82"/>
  <c r="H63" i="82"/>
  <c r="H64" i="82"/>
  <c r="H71" i="82"/>
  <c r="H73" i="82"/>
  <c r="H75" i="82"/>
  <c r="H82" i="82"/>
  <c r="H84" i="82"/>
  <c r="H86" i="82"/>
  <c r="C108" i="82"/>
  <c r="C100" i="82"/>
  <c r="E108" i="82"/>
  <c r="E100" i="82"/>
  <c r="G108" i="82"/>
  <c r="G100" i="82"/>
  <c r="I108" i="82"/>
  <c r="I100" i="82"/>
  <c r="K108" i="82"/>
  <c r="K100" i="82"/>
  <c r="M108" i="82"/>
  <c r="M100" i="82"/>
  <c r="H113" i="81"/>
  <c r="I17" i="81"/>
  <c r="G17" i="81"/>
  <c r="C17" i="81"/>
  <c r="N12" i="81"/>
  <c r="M11" i="81"/>
  <c r="N2" i="81"/>
  <c r="M3" i="81"/>
  <c r="N4" i="81"/>
  <c r="M5" i="81"/>
  <c r="M6" i="81"/>
  <c r="N7" i="81"/>
  <c r="X7" i="81"/>
  <c r="N8" i="81"/>
  <c r="N9" i="81"/>
  <c r="M10" i="81"/>
  <c r="Z10" i="81"/>
  <c r="AD10" i="81"/>
  <c r="AH10" i="81"/>
  <c r="AA12" i="81"/>
  <c r="AE12" i="81"/>
  <c r="AI12" i="81"/>
  <c r="E17" i="81"/>
  <c r="J17" i="81"/>
  <c r="F33" i="81"/>
  <c r="F35" i="81"/>
  <c r="F37" i="81"/>
  <c r="F39" i="81"/>
  <c r="C6" i="81"/>
  <c r="M9" i="81"/>
  <c r="N10" i="81"/>
  <c r="AB10" i="81"/>
  <c r="AF10" i="81"/>
  <c r="AJ10" i="81"/>
  <c r="N11" i="81"/>
  <c r="M12" i="81"/>
  <c r="H17" i="81"/>
  <c r="F34" i="81"/>
  <c r="F36" i="81"/>
  <c r="F38" i="81"/>
  <c r="F48" i="81"/>
  <c r="P22" i="81"/>
  <c r="P23" i="81"/>
  <c r="H59" i="81"/>
  <c r="H61" i="81"/>
  <c r="H62" i="81"/>
  <c r="H65" i="81"/>
  <c r="H67" i="81"/>
  <c r="H70" i="81"/>
  <c r="H72" i="81"/>
  <c r="H74" i="81"/>
  <c r="H77" i="81"/>
  <c r="H78" i="81"/>
  <c r="H81" i="81"/>
  <c r="H83" i="81"/>
  <c r="H85" i="81"/>
  <c r="H88" i="81"/>
  <c r="F100" i="81"/>
  <c r="J100" i="81"/>
  <c r="N100" i="81"/>
  <c r="H60" i="81"/>
  <c r="H63" i="81"/>
  <c r="H64" i="81"/>
  <c r="H71" i="81"/>
  <c r="H73" i="81"/>
  <c r="H75" i="81"/>
  <c r="H82" i="81"/>
  <c r="H84" i="81"/>
  <c r="H86" i="81"/>
  <c r="C108" i="81"/>
  <c r="C100" i="81"/>
  <c r="E108" i="81"/>
  <c r="E100" i="81"/>
  <c r="G108" i="81"/>
  <c r="G100" i="81"/>
  <c r="I108" i="81"/>
  <c r="I100" i="81"/>
  <c r="K108" i="81"/>
  <c r="K100" i="81"/>
  <c r="M108" i="81"/>
  <c r="M100" i="81"/>
  <c r="N12" i="80"/>
  <c r="M11" i="80"/>
  <c r="N2" i="80"/>
  <c r="M3" i="80"/>
  <c r="N4" i="80"/>
  <c r="M5" i="80"/>
  <c r="N9" i="80"/>
  <c r="M10" i="80"/>
  <c r="E11" i="80"/>
  <c r="AA12" i="80"/>
  <c r="AE12" i="80"/>
  <c r="AI12" i="80"/>
  <c r="N1" i="80"/>
  <c r="H113" i="80"/>
  <c r="I17" i="80"/>
  <c r="G17" i="80"/>
  <c r="C17" i="80"/>
  <c r="M2" i="80"/>
  <c r="N3" i="80"/>
  <c r="M4" i="80"/>
  <c r="N5" i="80"/>
  <c r="C6" i="80"/>
  <c r="N6" i="80"/>
  <c r="M7" i="80"/>
  <c r="M8" i="80"/>
  <c r="M9" i="80"/>
  <c r="N10" i="80"/>
  <c r="AB10" i="80"/>
  <c r="AF10" i="80"/>
  <c r="AJ10" i="80"/>
  <c r="N11" i="80"/>
  <c r="M12" i="80"/>
  <c r="AC12" i="80"/>
  <c r="AG12" i="80"/>
  <c r="H17" i="80"/>
  <c r="F34" i="80"/>
  <c r="F36" i="80"/>
  <c r="F38" i="80"/>
  <c r="F48" i="80"/>
  <c r="M6" i="80"/>
  <c r="N7" i="80"/>
  <c r="N8" i="80"/>
  <c r="P22" i="80"/>
  <c r="P23" i="80"/>
  <c r="H59" i="80"/>
  <c r="H61" i="80"/>
  <c r="H62" i="80"/>
  <c r="H65" i="80"/>
  <c r="H67" i="80"/>
  <c r="H70" i="80"/>
  <c r="H72" i="80"/>
  <c r="H74" i="80"/>
  <c r="H77" i="80"/>
  <c r="H78" i="80"/>
  <c r="H81" i="80"/>
  <c r="H83" i="80"/>
  <c r="H85" i="80"/>
  <c r="H88" i="80"/>
  <c r="F100" i="80"/>
  <c r="J100" i="80"/>
  <c r="N100" i="80"/>
  <c r="H60" i="80"/>
  <c r="H63" i="80"/>
  <c r="H64" i="80"/>
  <c r="H71" i="80"/>
  <c r="H73" i="80"/>
  <c r="H75" i="80"/>
  <c r="H82" i="80"/>
  <c r="H84" i="80"/>
  <c r="H86" i="80"/>
  <c r="C108" i="80"/>
  <c r="C100" i="80"/>
  <c r="E108" i="80"/>
  <c r="E100" i="80"/>
  <c r="G108" i="80"/>
  <c r="G100" i="80"/>
  <c r="I108" i="80"/>
  <c r="I100" i="80"/>
  <c r="K108" i="80"/>
  <c r="K100" i="80"/>
  <c r="M108" i="80"/>
  <c r="M100" i="80"/>
  <c r="M1" i="79"/>
  <c r="N2" i="79"/>
  <c r="M3" i="79"/>
  <c r="M6" i="79"/>
  <c r="N1" i="79"/>
  <c r="H113" i="79"/>
  <c r="I17" i="79"/>
  <c r="G17" i="79"/>
  <c r="C17" i="79"/>
  <c r="M2" i="79"/>
  <c r="N3" i="79"/>
  <c r="M4" i="79"/>
  <c r="N5" i="79"/>
  <c r="C6" i="79"/>
  <c r="N6" i="79"/>
  <c r="M7" i="79"/>
  <c r="M8" i="79"/>
  <c r="E10" i="79"/>
  <c r="Z10" i="79"/>
  <c r="AD10" i="79"/>
  <c r="AH10" i="79"/>
  <c r="AA12" i="79"/>
  <c r="AE12" i="79"/>
  <c r="AI12" i="79"/>
  <c r="E17" i="79"/>
  <c r="J17" i="79"/>
  <c r="F33" i="79"/>
  <c r="F35" i="79"/>
  <c r="F37" i="79"/>
  <c r="F39" i="79"/>
  <c r="N12" i="79"/>
  <c r="M11" i="79"/>
  <c r="M10" i="79"/>
  <c r="N4" i="79"/>
  <c r="F48" i="79" s="1"/>
  <c r="M5" i="79"/>
  <c r="N7" i="79"/>
  <c r="N8" i="79"/>
  <c r="N9" i="79"/>
  <c r="N10" i="79"/>
  <c r="N11" i="79"/>
  <c r="M12" i="79"/>
  <c r="AC12" i="79"/>
  <c r="AG12" i="79"/>
  <c r="H17" i="79"/>
  <c r="F34" i="79"/>
  <c r="F36" i="79"/>
  <c r="F38" i="79"/>
  <c r="P22" i="79"/>
  <c r="P23" i="79"/>
  <c r="H59" i="79"/>
  <c r="H61" i="79"/>
  <c r="H62" i="79"/>
  <c r="H65" i="79"/>
  <c r="H67" i="79"/>
  <c r="H70" i="79"/>
  <c r="H72" i="79"/>
  <c r="H74" i="79"/>
  <c r="H77" i="79"/>
  <c r="H78" i="79"/>
  <c r="H83" i="79"/>
  <c r="H85" i="79"/>
  <c r="H88" i="79"/>
  <c r="F100" i="79"/>
  <c r="J100" i="79"/>
  <c r="N100" i="79"/>
  <c r="H60" i="79"/>
  <c r="H63" i="79"/>
  <c r="H64" i="79"/>
  <c r="H71" i="79"/>
  <c r="H73" i="79"/>
  <c r="H75" i="79"/>
  <c r="H82" i="79"/>
  <c r="H84" i="79"/>
  <c r="H86" i="79"/>
  <c r="C108" i="79"/>
  <c r="C100" i="79"/>
  <c r="E108" i="79"/>
  <c r="E100" i="79"/>
  <c r="G108" i="79"/>
  <c r="G100" i="79"/>
  <c r="I108" i="79"/>
  <c r="I100" i="79"/>
  <c r="K108" i="79"/>
  <c r="K100" i="79"/>
  <c r="M108" i="79"/>
  <c r="M100" i="79"/>
  <c r="H113" i="78"/>
  <c r="I17" i="78"/>
  <c r="G17" i="78"/>
  <c r="C17" i="78"/>
  <c r="C6" i="78"/>
  <c r="AB10" i="78"/>
  <c r="E17" i="78"/>
  <c r="N12" i="78"/>
  <c r="M11" i="78"/>
  <c r="N2" i="78"/>
  <c r="M3" i="78"/>
  <c r="N4" i="78"/>
  <c r="M5" i="78"/>
  <c r="M6" i="78"/>
  <c r="N7" i="78"/>
  <c r="X7" i="78"/>
  <c r="N8" i="78"/>
  <c r="N9" i="78"/>
  <c r="M10" i="78"/>
  <c r="AC10" i="78"/>
  <c r="AF10" i="78"/>
  <c r="AJ10" i="78"/>
  <c r="N11" i="78"/>
  <c r="M12" i="78"/>
  <c r="AG12" i="78"/>
  <c r="H17" i="78"/>
  <c r="F34" i="78"/>
  <c r="F36" i="78"/>
  <c r="F38" i="78"/>
  <c r="F48" i="78"/>
  <c r="Z10" i="78"/>
  <c r="AD10" i="78"/>
  <c r="AH10" i="78"/>
  <c r="J17" i="78"/>
  <c r="F33" i="78"/>
  <c r="F35" i="78"/>
  <c r="F37" i="78"/>
  <c r="F39" i="78"/>
  <c r="P22" i="78"/>
  <c r="P23" i="78"/>
  <c r="H59" i="78"/>
  <c r="H61" i="78"/>
  <c r="H62" i="78"/>
  <c r="H65" i="78"/>
  <c r="H67" i="78"/>
  <c r="H70" i="78"/>
  <c r="H72" i="78"/>
  <c r="H74" i="78"/>
  <c r="H77" i="78"/>
  <c r="H78" i="78"/>
  <c r="H81" i="78"/>
  <c r="H83" i="78"/>
  <c r="H85" i="78"/>
  <c r="H88" i="78"/>
  <c r="F100" i="78"/>
  <c r="J100" i="78"/>
  <c r="N100" i="78"/>
  <c r="H60" i="78"/>
  <c r="H63" i="78"/>
  <c r="H64" i="78"/>
  <c r="H71" i="78"/>
  <c r="H73" i="78"/>
  <c r="H75" i="78"/>
  <c r="H82" i="78"/>
  <c r="H84" i="78"/>
  <c r="H86" i="78"/>
  <c r="C108" i="78"/>
  <c r="C100" i="78"/>
  <c r="E108" i="78"/>
  <c r="E100" i="78"/>
  <c r="G108" i="78"/>
  <c r="G100" i="78"/>
  <c r="I108" i="78"/>
  <c r="I100" i="78"/>
  <c r="K108" i="78"/>
  <c r="K100" i="78"/>
  <c r="M108" i="78"/>
  <c r="M100" i="78"/>
  <c r="C6" i="77"/>
  <c r="H17" i="77"/>
  <c r="N12" i="77"/>
  <c r="M11" i="77"/>
  <c r="M10" i="77"/>
  <c r="N2" i="77"/>
  <c r="M3" i="77"/>
  <c r="N4" i="77"/>
  <c r="M5" i="77"/>
  <c r="M6" i="77"/>
  <c r="N7" i="77"/>
  <c r="X7" i="77"/>
  <c r="E8" i="77"/>
  <c r="G39" i="77" s="1"/>
  <c r="I39" i="77" s="1"/>
  <c r="N8" i="77"/>
  <c r="E9" i="77"/>
  <c r="N9" i="77"/>
  <c r="E10" i="77"/>
  <c r="Z10" i="77"/>
  <c r="AD10" i="77"/>
  <c r="AH10" i="77"/>
  <c r="E17" i="77"/>
  <c r="H113" i="77"/>
  <c r="F48" i="77"/>
  <c r="F38" i="77"/>
  <c r="F37" i="77"/>
  <c r="F36" i="77"/>
  <c r="F35" i="77"/>
  <c r="F34" i="77"/>
  <c r="F33" i="77"/>
  <c r="I17" i="77"/>
  <c r="G17" i="77"/>
  <c r="C17" i="77"/>
  <c r="F39" i="77"/>
  <c r="P22" i="77"/>
  <c r="P23" i="77"/>
  <c r="H59" i="77"/>
  <c r="H61" i="77"/>
  <c r="H62" i="77"/>
  <c r="H65" i="77"/>
  <c r="H67" i="77"/>
  <c r="H70" i="77"/>
  <c r="H72" i="77"/>
  <c r="H74" i="77"/>
  <c r="H77" i="77"/>
  <c r="H78" i="77"/>
  <c r="H81" i="77"/>
  <c r="H83" i="77"/>
  <c r="H85" i="77"/>
  <c r="H88" i="77"/>
  <c r="F100" i="77"/>
  <c r="J100" i="77"/>
  <c r="N100" i="77"/>
  <c r="H60" i="77"/>
  <c r="H63" i="77"/>
  <c r="H64" i="77"/>
  <c r="H71" i="77"/>
  <c r="H73" i="77"/>
  <c r="H75" i="77"/>
  <c r="H82" i="77"/>
  <c r="H84" i="77"/>
  <c r="H86" i="77"/>
  <c r="C108" i="77"/>
  <c r="C100" i="77"/>
  <c r="E108" i="77"/>
  <c r="E100" i="77"/>
  <c r="G108" i="77"/>
  <c r="G100" i="77"/>
  <c r="I108" i="77"/>
  <c r="I100" i="77"/>
  <c r="K108" i="77"/>
  <c r="K100" i="77"/>
  <c r="M108" i="77"/>
  <c r="M100" i="77"/>
  <c r="J7" i="1"/>
  <c r="M71" i="83" l="1"/>
  <c r="N63" i="83" s="1"/>
  <c r="E48" i="81"/>
  <c r="B46" i="81" s="1"/>
  <c r="C24" i="81" s="1"/>
  <c r="C49" i="84"/>
  <c r="Q57" i="84"/>
  <c r="Q66" i="84"/>
  <c r="L46" i="84"/>
  <c r="Q73" i="84"/>
  <c r="Q60" i="84"/>
  <c r="Q52" i="84"/>
  <c r="F1" i="84"/>
  <c r="Q74" i="84"/>
  <c r="Q61" i="84"/>
  <c r="H55" i="82"/>
  <c r="H53" i="82"/>
  <c r="H52" i="82"/>
  <c r="H49" i="82"/>
  <c r="H56" i="82"/>
  <c r="H54" i="82"/>
  <c r="H51" i="82"/>
  <c r="H50" i="82"/>
  <c r="H48" i="82"/>
  <c r="C16" i="82"/>
  <c r="C5" i="82" s="1"/>
  <c r="H55" i="81"/>
  <c r="H53" i="81"/>
  <c r="H52" i="81"/>
  <c r="H49" i="81"/>
  <c r="H56" i="81"/>
  <c r="H54" i="81"/>
  <c r="H51" i="81"/>
  <c r="H50" i="81"/>
  <c r="H48" i="81"/>
  <c r="C16" i="81"/>
  <c r="D5" i="81" s="1"/>
  <c r="H55" i="80"/>
  <c r="H53" i="80"/>
  <c r="H52" i="80"/>
  <c r="H56" i="80"/>
  <c r="H54" i="80"/>
  <c r="H51" i="80"/>
  <c r="H50" i="80"/>
  <c r="H48" i="80"/>
  <c r="H49" i="80"/>
  <c r="C16" i="80"/>
  <c r="C5" i="80" s="1"/>
  <c r="H55" i="79"/>
  <c r="H53" i="79"/>
  <c r="H52" i="79"/>
  <c r="H49" i="79"/>
  <c r="H56" i="79"/>
  <c r="H54" i="79"/>
  <c r="H51" i="79"/>
  <c r="H50" i="79"/>
  <c r="H48" i="79"/>
  <c r="C16" i="79"/>
  <c r="D5" i="79" s="1"/>
  <c r="C16" i="77"/>
  <c r="D5" i="77" s="1"/>
  <c r="C16" i="78"/>
  <c r="C5" i="78" s="1"/>
  <c r="H55" i="78"/>
  <c r="H53" i="78"/>
  <c r="H52" i="78"/>
  <c r="H56" i="78"/>
  <c r="H54" i="78"/>
  <c r="H51" i="78"/>
  <c r="H50" i="78"/>
  <c r="H48" i="78"/>
  <c r="H49" i="78"/>
  <c r="H55" i="77"/>
  <c r="H53" i="77"/>
  <c r="H52" i="77"/>
  <c r="H49" i="77"/>
  <c r="H56" i="77"/>
  <c r="H54" i="77"/>
  <c r="H51" i="77"/>
  <c r="H50" i="77"/>
  <c r="H48" i="77"/>
  <c r="C5" i="77"/>
  <c r="D3" i="4"/>
  <c r="D5" i="82" l="1"/>
  <c r="C5" i="81"/>
  <c r="D5" i="80"/>
  <c r="C5" i="79"/>
  <c r="D5" i="78"/>
  <c r="A21" i="62"/>
  <c r="A20" i="62"/>
  <c r="A22" i="51"/>
  <c r="A21" i="51"/>
  <c r="A20" i="51"/>
  <c r="A14" i="62" l="1"/>
  <c r="A13" i="62"/>
  <c r="A2" i="53"/>
  <c r="A19" i="62" l="1"/>
  <c r="A12" i="62"/>
  <c r="A120" i="9"/>
  <c r="H2" i="52"/>
  <c r="A1" i="52"/>
  <c r="A3" i="53"/>
  <c r="L5" i="71" l="1"/>
  <c r="Q5" i="71" s="1"/>
  <c r="K5" i="71"/>
  <c r="P5" i="71" s="1"/>
  <c r="J5" i="71"/>
  <c r="O5" i="71" s="1"/>
  <c r="I5" i="71"/>
  <c r="N5" i="71" s="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6" i="73"/>
  <c r="F3" i="73"/>
  <c r="D4" i="73"/>
  <c r="D7" i="73"/>
  <c r="F6" i="73"/>
  <c r="D3" i="73"/>
  <c r="F5" i="73"/>
  <c r="F4" i="73"/>
  <c r="E20" i="82" l="1"/>
  <c r="E20" i="81"/>
  <c r="E20" i="80"/>
  <c r="E20" i="79"/>
  <c r="E20" i="78"/>
  <c r="E20" i="77"/>
  <c r="E20" i="43"/>
  <c r="I1" i="73"/>
  <c r="B39" i="1" s="1"/>
  <c r="D5" i="73"/>
  <c r="F11" i="84" l="1"/>
  <c r="M11" i="84"/>
  <c r="J10" i="84" s="1"/>
  <c r="J5" i="84" s="1"/>
  <c r="O17" i="82"/>
  <c r="M17" i="82"/>
  <c r="G20" i="82" s="1"/>
  <c r="C20" i="82" s="1"/>
  <c r="P17" i="82"/>
  <c r="N17" i="82"/>
  <c r="O17" i="81"/>
  <c r="M17" i="81"/>
  <c r="G20" i="81" s="1"/>
  <c r="C20" i="81" s="1"/>
  <c r="N17" i="81"/>
  <c r="P17" i="81"/>
  <c r="O17" i="80"/>
  <c r="M17" i="80"/>
  <c r="G20" i="80" s="1"/>
  <c r="C20" i="80" s="1"/>
  <c r="P17" i="80"/>
  <c r="N17" i="80"/>
  <c r="O17" i="79"/>
  <c r="M17" i="79"/>
  <c r="G20" i="79" s="1"/>
  <c r="C20" i="79" s="1"/>
  <c r="N17" i="79"/>
  <c r="P17" i="79"/>
  <c r="O17" i="78"/>
  <c r="M17" i="78"/>
  <c r="G20" i="78" s="1"/>
  <c r="C20" i="78" s="1"/>
  <c r="P17" i="78"/>
  <c r="N17" i="78"/>
  <c r="O17" i="77"/>
  <c r="M17" i="77"/>
  <c r="G20" i="77" s="1"/>
  <c r="C20" i="77" s="1"/>
  <c r="P17" i="77"/>
  <c r="N17"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84" l="1"/>
  <c r="J24" i="84"/>
  <c r="J18" i="84"/>
  <c r="C53" i="84"/>
  <c r="C48" i="84" s="1"/>
  <c r="C10" i="84"/>
  <c r="C5" i="84" s="1"/>
  <c r="T11" i="82"/>
  <c r="V11" i="82" s="1"/>
  <c r="C38" i="82"/>
  <c r="T12" i="82"/>
  <c r="V12" i="82" s="1"/>
  <c r="C37" i="82"/>
  <c r="T13" i="82"/>
  <c r="V13" i="82" s="1"/>
  <c r="T8" i="82"/>
  <c r="V8" i="82" s="1"/>
  <c r="T16" i="82"/>
  <c r="V16" i="82" s="1"/>
  <c r="T10" i="82"/>
  <c r="V10" i="82" s="1"/>
  <c r="T14" i="82"/>
  <c r="V14" i="82" s="1"/>
  <c r="C39" i="82"/>
  <c r="E39" i="82" s="1"/>
  <c r="T15" i="82"/>
  <c r="V15" i="82" s="1"/>
  <c r="T9" i="82"/>
  <c r="V9" i="82" s="1"/>
  <c r="C34" i="82"/>
  <c r="C33" i="82"/>
  <c r="C36" i="82"/>
  <c r="C35" i="82"/>
  <c r="C35" i="81"/>
  <c r="C36" i="81"/>
  <c r="C33" i="81"/>
  <c r="C34" i="81"/>
  <c r="T11" i="81"/>
  <c r="V11" i="81" s="1"/>
  <c r="C39" i="81"/>
  <c r="E39" i="81" s="1"/>
  <c r="T15" i="81"/>
  <c r="V15" i="81" s="1"/>
  <c r="T9" i="81"/>
  <c r="V9" i="81" s="1"/>
  <c r="T14" i="81"/>
  <c r="V14" i="81" s="1"/>
  <c r="T16" i="81"/>
  <c r="V16" i="81" s="1"/>
  <c r="T10" i="81"/>
  <c r="V10" i="81" s="1"/>
  <c r="C37" i="81"/>
  <c r="T13" i="81"/>
  <c r="V13" i="81" s="1"/>
  <c r="T8" i="81"/>
  <c r="V8" i="81" s="1"/>
  <c r="C38" i="81"/>
  <c r="T12" i="81"/>
  <c r="V12" i="81" s="1"/>
  <c r="T16" i="80"/>
  <c r="V16" i="80" s="1"/>
  <c r="T10" i="80"/>
  <c r="V10" i="80" s="1"/>
  <c r="C39" i="80"/>
  <c r="E39" i="80" s="1"/>
  <c r="T15" i="80"/>
  <c r="V15" i="80" s="1"/>
  <c r="T9" i="80"/>
  <c r="V9" i="80" s="1"/>
  <c r="T12" i="80"/>
  <c r="V12" i="80" s="1"/>
  <c r="T11" i="80"/>
  <c r="V11" i="80" s="1"/>
  <c r="C38" i="80"/>
  <c r="C37" i="80"/>
  <c r="T13" i="80"/>
  <c r="V13" i="80" s="1"/>
  <c r="T8" i="80"/>
  <c r="V8" i="80" s="1"/>
  <c r="T14" i="80"/>
  <c r="V14" i="80" s="1"/>
  <c r="C36" i="80"/>
  <c r="C35" i="80"/>
  <c r="C34" i="80"/>
  <c r="C33" i="80"/>
  <c r="C35" i="79"/>
  <c r="C36" i="79"/>
  <c r="C33" i="79"/>
  <c r="C34" i="79"/>
  <c r="T16" i="79"/>
  <c r="V16" i="79" s="1"/>
  <c r="T10" i="79"/>
  <c r="V10" i="79" s="1"/>
  <c r="C37" i="79"/>
  <c r="T13" i="79"/>
  <c r="V13" i="79" s="1"/>
  <c r="T14" i="79"/>
  <c r="V14" i="79" s="1"/>
  <c r="T9" i="79"/>
  <c r="V9" i="79" s="1"/>
  <c r="T11" i="79"/>
  <c r="V11" i="79" s="1"/>
  <c r="C39" i="79"/>
  <c r="E39" i="79" s="1"/>
  <c r="T15" i="79"/>
  <c r="V15" i="79" s="1"/>
  <c r="C38" i="79"/>
  <c r="T12" i="79"/>
  <c r="V12" i="79" s="1"/>
  <c r="T8" i="79"/>
  <c r="V8" i="79" s="1"/>
  <c r="T16" i="78"/>
  <c r="V16" i="78" s="1"/>
  <c r="C38" i="78"/>
  <c r="T12" i="78"/>
  <c r="V12" i="78" s="1"/>
  <c r="C37" i="78"/>
  <c r="T13" i="78"/>
  <c r="V13" i="78" s="1"/>
  <c r="T8" i="78"/>
  <c r="V8" i="78" s="1"/>
  <c r="T11" i="78"/>
  <c r="V11" i="78" s="1"/>
  <c r="T14" i="78"/>
  <c r="V14" i="78" s="1"/>
  <c r="C39" i="78"/>
  <c r="E39" i="78" s="1"/>
  <c r="T15" i="78"/>
  <c r="V15" i="78" s="1"/>
  <c r="T10" i="78"/>
  <c r="V10" i="78" s="1"/>
  <c r="T9" i="78"/>
  <c r="V9" i="78" s="1"/>
  <c r="C34" i="78"/>
  <c r="C33" i="78"/>
  <c r="C36" i="78"/>
  <c r="C35" i="78"/>
  <c r="T14" i="77"/>
  <c r="V14" i="77" s="1"/>
  <c r="C38" i="77"/>
  <c r="T11" i="77"/>
  <c r="V11" i="77" s="1"/>
  <c r="T8" i="77"/>
  <c r="V8" i="77" s="1"/>
  <c r="T12" i="77"/>
  <c r="V12" i="77" s="1"/>
  <c r="T15" i="77"/>
  <c r="V15" i="77" s="1"/>
  <c r="T9" i="77"/>
  <c r="V9" i="77" s="1"/>
  <c r="C36" i="77"/>
  <c r="C34" i="77"/>
  <c r="C39" i="77"/>
  <c r="E39" i="77" s="1"/>
  <c r="C37" i="77"/>
  <c r="T16" i="77"/>
  <c r="V16" i="77" s="1"/>
  <c r="T10" i="77"/>
  <c r="V10" i="77" s="1"/>
  <c r="T13" i="77"/>
  <c r="V13" i="77" s="1"/>
  <c r="C35" i="77"/>
  <c r="C33" i="77"/>
  <c r="AA10" i="43"/>
  <c r="AC10" i="43"/>
  <c r="AE10" i="43"/>
  <c r="AG10" i="43"/>
  <c r="AI10" i="43"/>
  <c r="Z10" i="43"/>
  <c r="AB10" i="43"/>
  <c r="AD10" i="43"/>
  <c r="AF10" i="43"/>
  <c r="AH10" i="43"/>
  <c r="AJ10" i="43"/>
  <c r="C38" i="84" l="1"/>
  <c r="C32" i="84"/>
  <c r="C60" i="84"/>
  <c r="C66" i="84"/>
  <c r="G36" i="82"/>
  <c r="I36" i="82" s="1"/>
  <c r="E36" i="82"/>
  <c r="G34" i="82"/>
  <c r="I34" i="82" s="1"/>
  <c r="E34" i="82"/>
  <c r="G37" i="82"/>
  <c r="I37" i="82" s="1"/>
  <c r="E37" i="82"/>
  <c r="G35" i="82"/>
  <c r="I35" i="82" s="1"/>
  <c r="E35" i="82"/>
  <c r="G33" i="82"/>
  <c r="I33" i="82" s="1"/>
  <c r="E33" i="82"/>
  <c r="G38" i="82"/>
  <c r="I38" i="82" s="1"/>
  <c r="E38" i="82"/>
  <c r="G38" i="81"/>
  <c r="I38" i="81" s="1"/>
  <c r="E38" i="81"/>
  <c r="G34" i="81"/>
  <c r="I34" i="81" s="1"/>
  <c r="E34" i="81"/>
  <c r="G36" i="81"/>
  <c r="I36" i="81" s="1"/>
  <c r="E36" i="81"/>
  <c r="G37" i="81"/>
  <c r="I37" i="81" s="1"/>
  <c r="E37" i="81"/>
  <c r="G33" i="81"/>
  <c r="I33" i="81" s="1"/>
  <c r="E33" i="81"/>
  <c r="G35" i="81"/>
  <c r="I35" i="81" s="1"/>
  <c r="E35" i="81"/>
  <c r="G34" i="80"/>
  <c r="I34" i="80" s="1"/>
  <c r="E34" i="80"/>
  <c r="G36" i="80"/>
  <c r="I36" i="80" s="1"/>
  <c r="E36" i="80"/>
  <c r="G37" i="80"/>
  <c r="I37" i="80" s="1"/>
  <c r="E37" i="80"/>
  <c r="G38" i="80"/>
  <c r="I38" i="80" s="1"/>
  <c r="E38" i="80"/>
  <c r="G33" i="80"/>
  <c r="I33" i="80" s="1"/>
  <c r="E33" i="80"/>
  <c r="G35" i="80"/>
  <c r="I35" i="80" s="1"/>
  <c r="E35" i="80"/>
  <c r="G34" i="79"/>
  <c r="I34" i="79" s="1"/>
  <c r="E34" i="79"/>
  <c r="G36" i="79"/>
  <c r="I36" i="79" s="1"/>
  <c r="E36" i="79"/>
  <c r="G38" i="79"/>
  <c r="I38" i="79" s="1"/>
  <c r="E38" i="79"/>
  <c r="G37" i="79"/>
  <c r="I37" i="79" s="1"/>
  <c r="E37" i="79"/>
  <c r="G33" i="79"/>
  <c r="I33" i="79" s="1"/>
  <c r="E33" i="79"/>
  <c r="G35" i="79"/>
  <c r="I35" i="79" s="1"/>
  <c r="E35" i="79"/>
  <c r="G35" i="78"/>
  <c r="I35" i="78" s="1"/>
  <c r="E35" i="78"/>
  <c r="G33" i="78"/>
  <c r="I33" i="78" s="1"/>
  <c r="E33" i="78"/>
  <c r="G37" i="78"/>
  <c r="I37" i="78" s="1"/>
  <c r="E37" i="78"/>
  <c r="G36" i="78"/>
  <c r="I36" i="78" s="1"/>
  <c r="E36" i="78"/>
  <c r="G34" i="78"/>
  <c r="I34" i="78" s="1"/>
  <c r="E34" i="78"/>
  <c r="G38" i="78"/>
  <c r="I38" i="78" s="1"/>
  <c r="E38" i="78"/>
  <c r="E33" i="77"/>
  <c r="G33" i="77"/>
  <c r="I33" i="77" s="1"/>
  <c r="G35" i="77"/>
  <c r="I35" i="77" s="1"/>
  <c r="E35" i="77"/>
  <c r="G37" i="77"/>
  <c r="I37" i="77" s="1"/>
  <c r="E37" i="77"/>
  <c r="G34" i="77"/>
  <c r="I34" i="77" s="1"/>
  <c r="E34" i="77"/>
  <c r="G38" i="77"/>
  <c r="I38" i="77" s="1"/>
  <c r="E38" i="77"/>
  <c r="G36" i="77"/>
  <c r="I36" i="77" s="1"/>
  <c r="E36" i="77"/>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C9" i="71"/>
  <c r="Y8" i="71"/>
  <c r="Z8" i="71" s="1"/>
  <c r="AB8" i="71"/>
  <c r="X9" i="71"/>
  <c r="AA9" i="71"/>
  <c r="X10" i="71"/>
  <c r="AA10" i="71"/>
  <c r="X11" i="71"/>
  <c r="AA11" i="71"/>
  <c r="C13" i="71"/>
  <c r="Y12" i="71"/>
  <c r="Z12" i="71" s="1"/>
  <c r="AB12" i="71"/>
  <c r="X14" i="71"/>
  <c r="AA14" i="71"/>
  <c r="X15" i="71"/>
  <c r="AA15" i="7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10" i="1"/>
  <c r="AO12" i="1"/>
  <c r="AO13" i="1"/>
  <c r="AO9" i="1"/>
  <c r="AO11" i="1"/>
  <c r="B66" i="82" l="1"/>
  <c r="B75" i="81"/>
  <c r="B55" i="81"/>
  <c r="B66" i="80"/>
  <c r="B66" i="79"/>
  <c r="B75" i="78"/>
  <c r="B55" i="78"/>
  <c r="B66" i="77"/>
  <c r="B75" i="82"/>
  <c r="B55" i="82"/>
  <c r="B66" i="81"/>
  <c r="B75" i="80"/>
  <c r="B55" i="80"/>
  <c r="B75" i="79"/>
  <c r="B55" i="79"/>
  <c r="B66" i="78"/>
  <c r="B75" i="77"/>
  <c r="B55" i="77"/>
  <c r="B13" i="70"/>
  <c r="B11" i="70"/>
  <c r="B9"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Z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5" i="3" s="1"/>
  <c r="F29" i="6" s="1"/>
  <c r="BM16" i="3"/>
  <c r="BM17" i="3"/>
  <c r="BO13" i="3"/>
  <c r="BO14" i="3"/>
  <c r="BO15" i="3"/>
  <c r="BO16" i="3"/>
  <c r="BO17" i="3"/>
  <c r="BN13" i="3"/>
  <c r="BN14" i="3"/>
  <c r="BN15" i="3"/>
  <c r="BN16" i="3"/>
  <c r="BN17" i="3"/>
  <c r="BP13" i="3"/>
  <c r="BP14" i="3"/>
  <c r="BP15" i="3"/>
  <c r="BP16" i="3"/>
  <c r="BP17" i="3"/>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AZ16" i="3" s="1"/>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F39" i="37"/>
  <c r="S39" i="37" s="1"/>
  <c r="U14" i="37"/>
  <c r="F29" i="36"/>
  <c r="AA29" i="36" s="1"/>
  <c r="W8" i="36"/>
  <c r="F16" i="36"/>
  <c r="AA16" i="36" s="1"/>
  <c r="U9" i="36"/>
  <c r="W28" i="36"/>
  <c r="S30" i="36"/>
  <c r="AA31" i="36"/>
  <c r="AC31" i="36"/>
  <c r="W31" i="36"/>
  <c r="U31" i="36"/>
  <c r="H22" i="35"/>
  <c r="AB22" i="35" s="1"/>
  <c r="W28" i="35"/>
  <c r="U31" i="35"/>
  <c r="S34" i="35"/>
  <c r="W34" i="35"/>
  <c r="W36"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AZ586" i="3" s="1"/>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497"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AZ541" i="3"/>
  <c r="AZ545" i="3"/>
  <c r="BO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BB5" i="3"/>
  <c r="E8" i="6" s="1"/>
  <c r="F27" i="6" s="1"/>
  <c r="BR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G28" i="6" l="1"/>
  <c r="G29" i="6"/>
  <c r="E29" i="6" s="1"/>
  <c r="BL18" i="3"/>
  <c r="G19" i="3"/>
  <c r="G20" i="3"/>
  <c r="G21" i="3"/>
  <c r="G22" i="3"/>
  <c r="G23" i="3"/>
  <c r="G24" i="3"/>
  <c r="G25" i="3"/>
  <c r="G27" i="3"/>
  <c r="G28" i="3"/>
  <c r="G29" i="3"/>
  <c r="G31" i="3"/>
  <c r="BL32" i="3"/>
  <c r="AZ32" i="3" s="1"/>
  <c r="I4" i="6"/>
  <c r="E20" i="6"/>
  <c r="BA18" i="3"/>
  <c r="BA19" i="3"/>
  <c r="AZ19" i="3" s="1"/>
  <c r="G27" i="6"/>
  <c r="C30" i="9"/>
  <c r="B77" i="43"/>
  <c r="B77" i="82"/>
  <c r="B67" i="82"/>
  <c r="B56" i="82"/>
  <c r="B77" i="81"/>
  <c r="B67" i="81"/>
  <c r="B56" i="81"/>
  <c r="B77" i="80"/>
  <c r="B67" i="80"/>
  <c r="B56" i="80"/>
  <c r="B77" i="79"/>
  <c r="B67" i="79"/>
  <c r="B56" i="79"/>
  <c r="B77" i="78"/>
  <c r="B67" i="78"/>
  <c r="B56" i="78"/>
  <c r="B77" i="77"/>
  <c r="B67" i="77"/>
  <c r="B56" i="77"/>
  <c r="B74" i="43"/>
  <c r="B74" i="82"/>
  <c r="B65" i="82"/>
  <c r="B54" i="82"/>
  <c r="B74" i="81"/>
  <c r="B65" i="81"/>
  <c r="B54" i="81"/>
  <c r="B74" i="80"/>
  <c r="B65" i="80"/>
  <c r="B54" i="80"/>
  <c r="B74" i="79"/>
  <c r="B65" i="79"/>
  <c r="B54" i="79"/>
  <c r="B74" i="78"/>
  <c r="B65" i="78"/>
  <c r="B54" i="78"/>
  <c r="B74" i="77"/>
  <c r="B65" i="77"/>
  <c r="B54" i="77"/>
  <c r="B71" i="43"/>
  <c r="B60" i="82"/>
  <c r="B71" i="81"/>
  <c r="B49" i="81"/>
  <c r="B60" i="80"/>
  <c r="B60" i="79"/>
  <c r="B71" i="78"/>
  <c r="B49" i="78"/>
  <c r="B60" i="77"/>
  <c r="B71" i="82"/>
  <c r="B49" i="82"/>
  <c r="B60" i="81"/>
  <c r="B71" i="80"/>
  <c r="B49" i="80"/>
  <c r="B71" i="79"/>
  <c r="B49" i="79"/>
  <c r="B60" i="78"/>
  <c r="B71" i="77"/>
  <c r="B49" i="77"/>
  <c r="B70" i="43"/>
  <c r="B70" i="81"/>
  <c r="B70" i="78"/>
  <c r="B70" i="82"/>
  <c r="B70" i="80"/>
  <c r="B70" i="79"/>
  <c r="B70" i="77"/>
  <c r="B59" i="43"/>
  <c r="B59" i="81"/>
  <c r="B59" i="78"/>
  <c r="B59" i="82"/>
  <c r="B59" i="80"/>
  <c r="B59" i="79"/>
  <c r="B59" i="77"/>
  <c r="M20" i="15"/>
  <c r="M20" i="84"/>
  <c r="F34" i="84"/>
  <c r="F62" i="84" s="1"/>
  <c r="K8" i="1"/>
  <c r="M8" i="1" s="1"/>
  <c r="G20" i="43"/>
  <c r="BL22" i="3"/>
  <c r="AZ22" i="3" s="1"/>
  <c r="BL27" i="3"/>
  <c r="AZ27" i="3" s="1"/>
  <c r="BL30" i="3"/>
  <c r="AZ30" i="3" s="1"/>
  <c r="BL15" i="3"/>
  <c r="AZ15" i="3" s="1"/>
  <c r="F28" i="6"/>
  <c r="G30" i="3"/>
  <c r="G14" i="3"/>
  <c r="E15" i="6"/>
  <c r="E60" i="40" s="1"/>
  <c r="E12" i="6"/>
  <c r="E13" i="6"/>
  <c r="A15" i="62"/>
  <c r="B61" i="72" s="1"/>
  <c r="AC26" i="33"/>
  <c r="W26" i="33"/>
  <c r="AA32" i="36"/>
  <c r="S32" i="36"/>
  <c r="AC39" i="40"/>
  <c r="W39" i="40"/>
  <c r="AZ404" i="3"/>
  <c r="AZ409" i="3"/>
  <c r="W12" i="33"/>
  <c r="AC12" i="33"/>
  <c r="AB33" i="36"/>
  <c r="U33" i="36"/>
  <c r="AZ551" i="3"/>
  <c r="AZ550" i="3"/>
  <c r="AZ400" i="3"/>
  <c r="AZ407" i="3"/>
  <c r="BL14" i="3"/>
  <c r="AZ416" i="3"/>
  <c r="AZ420" i="3"/>
  <c r="AZ431" i="3"/>
  <c r="AZ437" i="3"/>
  <c r="AZ441" i="3"/>
  <c r="AZ453" i="3"/>
  <c r="AZ457" i="3"/>
  <c r="AZ468" i="3"/>
  <c r="AZ473" i="3"/>
  <c r="AZ385" i="3"/>
  <c r="AZ210" i="3"/>
  <c r="AZ216" i="3"/>
  <c r="AZ221" i="3"/>
  <c r="AZ228" i="3"/>
  <c r="AZ231" i="3"/>
  <c r="AZ244" i="3"/>
  <c r="AZ247" i="3"/>
  <c r="AZ260" i="3"/>
  <c r="AZ264" i="3"/>
  <c r="AZ267" i="3"/>
  <c r="AZ278"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BA14" i="3"/>
  <c r="AZ14" i="3" s="1"/>
  <c r="AZ289" i="3"/>
  <c r="AZ292" i="3"/>
  <c r="AZ298" i="3"/>
  <c r="AZ301" i="3"/>
  <c r="AZ122" i="3"/>
  <c r="AZ125" i="3"/>
  <c r="AZ205" i="3"/>
  <c r="AZ18" i="3"/>
  <c r="AZ25" i="3"/>
  <c r="AZ46" i="3"/>
  <c r="AZ49" i="3"/>
  <c r="AZ62" i="3"/>
  <c r="AZ65" i="3"/>
  <c r="AZ35" i="3"/>
  <c r="S12" i="1"/>
  <c r="AR12" i="1" s="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C24" i="12" s="1"/>
  <c r="H100" i="43"/>
  <c r="E26" i="66"/>
  <c r="C30" i="66"/>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61" i="39" s="1"/>
  <c r="BL17" i="3"/>
  <c r="AZ17" i="3" s="1"/>
  <c r="BL13" i="3"/>
  <c r="E65" i="39"/>
  <c r="G30" i="6"/>
  <c r="G31" i="6" s="1"/>
  <c r="J56" i="9"/>
  <c r="J57" i="9" s="1"/>
  <c r="A24" i="51"/>
  <c r="B18" i="72" s="1"/>
  <c r="U29" i="34"/>
  <c r="E14" i="6"/>
  <c r="E64" i="39" s="1"/>
  <c r="E5" i="6"/>
  <c r="D9" i="11" s="1"/>
  <c r="C9" i="11" s="1"/>
  <c r="P10" i="1"/>
  <c r="E32" i="6"/>
  <c r="L19" i="6" s="1"/>
  <c r="G1" i="68"/>
  <c r="K1" i="12"/>
  <c r="AZ13" i="3"/>
  <c r="F30" i="6"/>
  <c r="F31" i="6" s="1"/>
  <c r="E28" i="6"/>
  <c r="E57" i="40"/>
  <c r="AR13" i="1"/>
  <c r="AQ13" i="1"/>
  <c r="T13" i="1"/>
  <c r="AR11" i="1"/>
  <c r="AQ11" i="1"/>
  <c r="T11" i="1"/>
  <c r="AR9" i="1"/>
  <c r="AQ9" i="1"/>
  <c r="T9" i="1"/>
  <c r="AR10" i="1"/>
  <c r="AQ10" i="1"/>
  <c r="T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P24" i="43"/>
  <c r="B66" i="40" s="1"/>
  <c r="A4" i="51"/>
  <c r="B6" i="72" s="1"/>
  <c r="D68" i="39"/>
  <c r="D70" i="39" s="1"/>
  <c r="C58" i="33"/>
  <c r="D58" i="33" s="1"/>
  <c r="E58" i="33" s="1"/>
  <c r="F58" i="33" s="1"/>
  <c r="G58" i="33" s="1"/>
  <c r="H58" i="33" s="1"/>
  <c r="I58" i="33" s="1"/>
  <c r="J58" i="33" s="1"/>
  <c r="K58" i="33" s="1"/>
  <c r="L58" i="33" s="1"/>
  <c r="M58" i="33" s="1"/>
  <c r="N58" i="33" s="1"/>
  <c r="O58" i="33"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M29" i="84"/>
  <c r="F42" i="15"/>
  <c r="F42" i="67"/>
  <c r="M6" i="67"/>
  <c r="M24" i="67"/>
  <c r="L47" i="67"/>
  <c r="F13" i="15"/>
  <c r="F26" i="15"/>
  <c r="F37" i="67"/>
  <c r="F6" i="67"/>
  <c r="M8" i="67"/>
  <c r="M9" i="15"/>
  <c r="F36" i="15"/>
  <c r="C76" i="15"/>
  <c r="M9" i="67"/>
  <c r="F40" i="67"/>
  <c r="F37" i="15"/>
  <c r="F8" i="67"/>
  <c r="F9" i="67"/>
  <c r="F16" i="67"/>
  <c r="F8" i="15"/>
  <c r="F40" i="15"/>
  <c r="M22" i="15"/>
  <c r="F38" i="15"/>
  <c r="M28" i="67"/>
  <c r="F36" i="67"/>
  <c r="M29" i="67"/>
  <c r="M24" i="15"/>
  <c r="F9" i="15"/>
  <c r="M23" i="67"/>
  <c r="M26" i="67"/>
  <c r="M26" i="15"/>
  <c r="F7" i="67"/>
  <c r="M6" i="15"/>
  <c r="F43" i="67"/>
  <c r="M28" i="15"/>
  <c r="F13" i="67"/>
  <c r="J15" i="67"/>
  <c r="F38" i="67"/>
  <c r="G1" i="73"/>
  <c r="M22" i="67"/>
  <c r="F16" i="15"/>
  <c r="F43" i="84"/>
  <c r="C76" i="67"/>
  <c r="L48" i="67"/>
  <c r="J15" i="15"/>
  <c r="F26" i="67"/>
  <c r="L47" i="15"/>
  <c r="M8" i="15"/>
  <c r="M23" i="15"/>
  <c r="L48" i="15"/>
  <c r="E30" i="6" l="1"/>
  <c r="K15" i="1"/>
  <c r="AQ12" i="1"/>
  <c r="T12" i="1"/>
  <c r="E59" i="40"/>
  <c r="G3" i="43"/>
  <c r="G3" i="82"/>
  <c r="G3" i="81"/>
  <c r="G3" i="78"/>
  <c r="G3" i="77"/>
  <c r="G3" i="80"/>
  <c r="G3" i="79"/>
  <c r="E19" i="6"/>
  <c r="K6" i="1" s="1"/>
  <c r="F71" i="84"/>
  <c r="BA5" i="3"/>
  <c r="E27" i="6" s="1"/>
  <c r="K20" i="6" s="1"/>
  <c r="D9" i="69"/>
  <c r="C9" i="69" s="1"/>
  <c r="D19" i="12"/>
  <c r="C19" i="12" s="1"/>
  <c r="E16" i="6"/>
  <c r="E56" i="40"/>
  <c r="E58" i="40"/>
  <c r="E63" i="39"/>
  <c r="E4" i="4"/>
  <c r="K4" i="4" s="1"/>
  <c r="B46" i="48" s="1"/>
  <c r="B4" i="72" s="1"/>
  <c r="C31" i="12"/>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66" i="39"/>
  <c r="C30" i="69"/>
  <c r="C48" i="69"/>
  <c r="D9" i="68"/>
  <c r="C9" i="68" s="1"/>
  <c r="C28" i="15"/>
  <c r="AA39" i="40"/>
  <c r="S39" i="40"/>
  <c r="W33" i="36"/>
  <c r="AC33" i="36"/>
  <c r="C48" i="68"/>
  <c r="C30" i="68"/>
  <c r="C77" i="9"/>
  <c r="C74" i="9" s="1"/>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B40" i="1"/>
  <c r="F24" i="84"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S24"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L59" i="15"/>
  <c r="Q74" i="15" s="1"/>
  <c r="L58" i="15"/>
  <c r="Q73" i="15" s="1"/>
  <c r="C27" i="15"/>
  <c r="Q71" i="15"/>
  <c r="F64" i="15"/>
  <c r="F51" i="15"/>
  <c r="F65" i="15"/>
  <c r="J57" i="15"/>
  <c r="J55" i="15" s="1"/>
  <c r="J58" i="15" s="1"/>
  <c r="Q50" i="15" s="1"/>
  <c r="L56" i="15"/>
  <c r="F68" i="15"/>
  <c r="F66" i="15"/>
  <c r="C10" i="67"/>
  <c r="AP7" i="1"/>
  <c r="M7" i="1"/>
  <c r="Q16" i="1"/>
  <c r="F27" i="69" s="1"/>
  <c r="H16" i="1"/>
  <c r="K16" i="1"/>
  <c r="B29" i="1" s="1"/>
  <c r="C8" i="68" s="1"/>
  <c r="AB45" i="21"/>
  <c r="AC33" i="21"/>
  <c r="W33" i="21"/>
  <c r="S33" i="21"/>
  <c r="AA33" i="21"/>
  <c r="W32" i="21"/>
  <c r="AC32" i="21"/>
  <c r="AB9" i="21"/>
  <c r="U9" i="21"/>
  <c r="AA32" i="21"/>
  <c r="S32" i="21"/>
  <c r="W9" i="21"/>
  <c r="AC9" i="21"/>
  <c r="AB32" i="21"/>
  <c r="U32" i="21"/>
  <c r="AA10" i="21"/>
  <c r="S10" i="21"/>
  <c r="C36" i="69"/>
  <c r="M17" i="67"/>
  <c r="F31" i="15"/>
  <c r="M17" i="15"/>
  <c r="F31" i="67"/>
  <c r="F59" i="67"/>
  <c r="F59" i="15"/>
  <c r="F7" i="15"/>
  <c r="F43" i="15"/>
  <c r="M29" i="15"/>
  <c r="C16" i="84"/>
  <c r="C16" i="67"/>
  <c r="E31" i="6" l="1"/>
  <c r="F71" i="15"/>
  <c r="F50" i="15"/>
  <c r="C49" i="15" s="1"/>
  <c r="M7" i="15"/>
  <c r="J6" i="15" s="1"/>
  <c r="M6" i="1"/>
  <c r="E22" i="80"/>
  <c r="J22" i="80"/>
  <c r="AJ11" i="80"/>
  <c r="AJ13" i="80" s="1"/>
  <c r="B113" i="80"/>
  <c r="K101" i="80"/>
  <c r="G101" i="80"/>
  <c r="C101" i="80"/>
  <c r="H101" i="80"/>
  <c r="N101" i="80"/>
  <c r="F101" i="80"/>
  <c r="F22" i="80"/>
  <c r="AG11" i="80"/>
  <c r="AG13" i="80" s="1"/>
  <c r="AC11" i="80"/>
  <c r="AC13" i="80" s="1"/>
  <c r="Y11" i="80"/>
  <c r="Y13" i="80" s="1"/>
  <c r="Z11" i="80"/>
  <c r="Z13" i="80" s="1"/>
  <c r="AH11" i="80"/>
  <c r="AH13" i="80" s="1"/>
  <c r="AF11" i="80"/>
  <c r="AF13" i="80" s="1"/>
  <c r="AB11" i="80"/>
  <c r="AB13" i="80" s="1"/>
  <c r="M101" i="80"/>
  <c r="I101" i="80"/>
  <c r="E101" i="80"/>
  <c r="L101" i="80"/>
  <c r="D101" i="80"/>
  <c r="J101" i="80"/>
  <c r="H22" i="80"/>
  <c r="AI11" i="80"/>
  <c r="AI13" i="80" s="1"/>
  <c r="AE11" i="80"/>
  <c r="AE13" i="80" s="1"/>
  <c r="AA11" i="80"/>
  <c r="AA13" i="80" s="1"/>
  <c r="Z7" i="80"/>
  <c r="AD11" i="80"/>
  <c r="AD13" i="80" s="1"/>
  <c r="G22" i="80"/>
  <c r="C101" i="78"/>
  <c r="G22" i="78"/>
  <c r="M101" i="78"/>
  <c r="I101" i="78"/>
  <c r="E101" i="78"/>
  <c r="L101" i="78"/>
  <c r="D101" i="78"/>
  <c r="J101" i="78"/>
  <c r="H22" i="78"/>
  <c r="AI11" i="78"/>
  <c r="AI13" i="78" s="1"/>
  <c r="AE11" i="78"/>
  <c r="AE13" i="78" s="1"/>
  <c r="AA11" i="78"/>
  <c r="AA13" i="78" s="1"/>
  <c r="AF11" i="78"/>
  <c r="AF13" i="78" s="1"/>
  <c r="AD11" i="78"/>
  <c r="AD13" i="78" s="1"/>
  <c r="AJ11" i="78"/>
  <c r="AJ13" i="78" s="1"/>
  <c r="E22" i="78"/>
  <c r="B113" i="78"/>
  <c r="K101" i="78"/>
  <c r="G101" i="78"/>
  <c r="H101" i="78"/>
  <c r="N101" i="78"/>
  <c r="F101" i="78"/>
  <c r="F22" i="78"/>
  <c r="AG11" i="78"/>
  <c r="AG13" i="78" s="1"/>
  <c r="AC11" i="78"/>
  <c r="AC13" i="78" s="1"/>
  <c r="Y11" i="78"/>
  <c r="Y13" i="78" s="1"/>
  <c r="Z7" i="78"/>
  <c r="AB11" i="78"/>
  <c r="AB13" i="78" s="1"/>
  <c r="Z11" i="78"/>
  <c r="Z13" i="78" s="1"/>
  <c r="AH11" i="78"/>
  <c r="AH13" i="78" s="1"/>
  <c r="J22" i="78"/>
  <c r="AJ11" i="82"/>
  <c r="AJ13" i="82" s="1"/>
  <c r="AF11" i="82"/>
  <c r="AF13" i="82" s="1"/>
  <c r="AB11" i="82"/>
  <c r="AB13" i="82" s="1"/>
  <c r="M101" i="82"/>
  <c r="I101" i="82"/>
  <c r="E101" i="82"/>
  <c r="L101" i="82"/>
  <c r="D101" i="82"/>
  <c r="J101" i="82"/>
  <c r="H22" i="82"/>
  <c r="AI11" i="82"/>
  <c r="AI13" i="82" s="1"/>
  <c r="AE11" i="82"/>
  <c r="AE13" i="82" s="1"/>
  <c r="AA11" i="82"/>
  <c r="AA13" i="82" s="1"/>
  <c r="Z7" i="82"/>
  <c r="AD11" i="82"/>
  <c r="AD13" i="82" s="1"/>
  <c r="E22" i="82"/>
  <c r="B113" i="82"/>
  <c r="K101" i="82"/>
  <c r="G101" i="82"/>
  <c r="C101" i="82"/>
  <c r="H101" i="82"/>
  <c r="N101" i="82"/>
  <c r="F101" i="82"/>
  <c r="F22" i="82"/>
  <c r="AG11" i="82"/>
  <c r="AG13" i="82" s="1"/>
  <c r="AC11" i="82"/>
  <c r="AC13" i="82" s="1"/>
  <c r="Y11" i="82"/>
  <c r="Y13" i="82" s="1"/>
  <c r="Z11" i="82"/>
  <c r="Z13" i="82" s="1"/>
  <c r="AH11" i="82"/>
  <c r="AH13" i="82" s="1"/>
  <c r="G22" i="82"/>
  <c r="J22" i="82"/>
  <c r="B113" i="79"/>
  <c r="K101" i="79"/>
  <c r="G101" i="79"/>
  <c r="C101" i="79"/>
  <c r="H101" i="79"/>
  <c r="N101" i="79"/>
  <c r="F101" i="79"/>
  <c r="F22" i="79"/>
  <c r="AG11" i="79"/>
  <c r="AG13" i="79" s="1"/>
  <c r="E101" i="79"/>
  <c r="AD11" i="79"/>
  <c r="AD13" i="79" s="1"/>
  <c r="I101" i="79"/>
  <c r="L101" i="79"/>
  <c r="J101" i="79"/>
  <c r="AI11" i="79"/>
  <c r="AI13" i="79" s="1"/>
  <c r="AC11" i="79"/>
  <c r="AC13" i="79" s="1"/>
  <c r="Y11" i="79"/>
  <c r="Y13" i="79" s="1"/>
  <c r="AF11" i="79"/>
  <c r="AF13" i="79" s="1"/>
  <c r="J22" i="79"/>
  <c r="Z11" i="79"/>
  <c r="Z13" i="79" s="1"/>
  <c r="AH11" i="79"/>
  <c r="AH13" i="79" s="1"/>
  <c r="M101" i="79"/>
  <c r="D101" i="79"/>
  <c r="H22" i="79"/>
  <c r="AE11" i="79"/>
  <c r="AE13" i="79" s="1"/>
  <c r="AA11" i="79"/>
  <c r="AA13" i="79" s="1"/>
  <c r="Z7" i="79"/>
  <c r="AB11" i="79"/>
  <c r="AB13" i="79" s="1"/>
  <c r="AJ11" i="79"/>
  <c r="AJ13" i="79" s="1"/>
  <c r="E22" i="79"/>
  <c r="G22" i="79"/>
  <c r="J22" i="77"/>
  <c r="Z11" i="77"/>
  <c r="Z13" i="77" s="1"/>
  <c r="AJ11" i="77"/>
  <c r="AJ13" i="77" s="1"/>
  <c r="M101" i="77"/>
  <c r="J101" i="77"/>
  <c r="AI11" i="77"/>
  <c r="AI13" i="77" s="1"/>
  <c r="AA11" i="77"/>
  <c r="AA13" i="77" s="1"/>
  <c r="Z7" i="77"/>
  <c r="AD11" i="77"/>
  <c r="AD13" i="77" s="1"/>
  <c r="AF11" i="77"/>
  <c r="AF13" i="77" s="1"/>
  <c r="B113" i="77"/>
  <c r="K101" i="77"/>
  <c r="G101" i="77"/>
  <c r="C101" i="77"/>
  <c r="H101" i="77"/>
  <c r="N101" i="77"/>
  <c r="F101" i="77"/>
  <c r="F22" i="77"/>
  <c r="AG11" i="77"/>
  <c r="AG13" i="77" s="1"/>
  <c r="AC11" i="77"/>
  <c r="AC13" i="77" s="1"/>
  <c r="Y11" i="77"/>
  <c r="Y13" i="77" s="1"/>
  <c r="AH11" i="77"/>
  <c r="AH13" i="77" s="1"/>
  <c r="AB11" i="77"/>
  <c r="AB13" i="77" s="1"/>
  <c r="E22" i="77"/>
  <c r="I101" i="77"/>
  <c r="E101" i="77"/>
  <c r="L101" i="77"/>
  <c r="D101" i="77"/>
  <c r="H22" i="77"/>
  <c r="AE11" i="77"/>
  <c r="AE13" i="77" s="1"/>
  <c r="G22" i="77"/>
  <c r="B113" i="81"/>
  <c r="K101" i="81"/>
  <c r="G101" i="81"/>
  <c r="C101" i="81"/>
  <c r="H101" i="81"/>
  <c r="N101" i="81"/>
  <c r="F101" i="81"/>
  <c r="F22" i="81"/>
  <c r="AG11" i="81"/>
  <c r="AG13" i="81" s="1"/>
  <c r="AC11" i="81"/>
  <c r="AC13" i="81" s="1"/>
  <c r="Y11" i="81"/>
  <c r="Y13" i="81" s="1"/>
  <c r="AF11" i="81"/>
  <c r="AF13" i="81" s="1"/>
  <c r="J22" i="81"/>
  <c r="AD11" i="81"/>
  <c r="AD13" i="81" s="1"/>
  <c r="G22" i="81"/>
  <c r="M101" i="81"/>
  <c r="I101" i="81"/>
  <c r="E101" i="81"/>
  <c r="L101" i="81"/>
  <c r="D101" i="81"/>
  <c r="J101" i="81"/>
  <c r="H22" i="81"/>
  <c r="AI11" i="81"/>
  <c r="AI13" i="81" s="1"/>
  <c r="AE11" i="81"/>
  <c r="AE13" i="81" s="1"/>
  <c r="AA11" i="81"/>
  <c r="AA13" i="81" s="1"/>
  <c r="AB11" i="81"/>
  <c r="AB13" i="81" s="1"/>
  <c r="AJ11" i="81"/>
  <c r="AJ13" i="81" s="1"/>
  <c r="E22" i="81"/>
  <c r="Z7" i="81"/>
  <c r="Z11" i="81"/>
  <c r="Z13" i="81" s="1"/>
  <c r="AH11" i="81"/>
  <c r="AH13" i="81" s="1"/>
  <c r="F22" i="43"/>
  <c r="K101" i="43"/>
  <c r="N101" i="43"/>
  <c r="F101" i="43"/>
  <c r="J101" i="43"/>
  <c r="G101" i="43"/>
  <c r="L101" i="43"/>
  <c r="D101" i="43"/>
  <c r="I101" i="43"/>
  <c r="G22" i="43"/>
  <c r="AH11" i="43"/>
  <c r="AH13" i="43" s="1"/>
  <c r="AD11" i="43"/>
  <c r="AD13" i="43" s="1"/>
  <c r="Z11" i="43"/>
  <c r="Z13" i="43" s="1"/>
  <c r="AI11" i="43"/>
  <c r="AI13" i="43" s="1"/>
  <c r="AE11" i="43"/>
  <c r="AE13" i="43" s="1"/>
  <c r="AA11" i="43"/>
  <c r="AA13" i="43" s="1"/>
  <c r="N104" i="46"/>
  <c r="B113" i="43"/>
  <c r="C101" i="43"/>
  <c r="E22" i="43"/>
  <c r="H22" i="43"/>
  <c r="H101" i="43"/>
  <c r="M101" i="43"/>
  <c r="E101" i="43"/>
  <c r="AJ11" i="43"/>
  <c r="AJ13" i="43" s="1"/>
  <c r="AF11" i="43"/>
  <c r="AF13" i="43" s="1"/>
  <c r="AB11" i="43"/>
  <c r="AB13" i="43" s="1"/>
  <c r="Z7" i="43"/>
  <c r="AG11" i="43"/>
  <c r="AG13" i="43" s="1"/>
  <c r="AC11" i="43"/>
  <c r="AC13" i="43" s="1"/>
  <c r="Y11" i="43"/>
  <c r="Y13" i="43" s="1"/>
  <c r="S7" i="1"/>
  <c r="M20" i="6"/>
  <c r="I20" i="6" s="1"/>
  <c r="S20" i="6" s="1"/>
  <c r="AQ6" i="1"/>
  <c r="E6" i="70"/>
  <c r="O7" i="1"/>
  <c r="C24" i="84"/>
  <c r="M19" i="6"/>
  <c r="D5" i="43"/>
  <c r="C35" i="43" s="1"/>
  <c r="M21" i="6"/>
  <c r="I21" i="6" s="1"/>
  <c r="S21" i="6" s="1"/>
  <c r="S8" i="1"/>
  <c r="AR6" i="1"/>
  <c r="K27" i="6"/>
  <c r="B5" i="62"/>
  <c r="B73" i="72" s="1"/>
  <c r="A18" i="62"/>
  <c r="B64" i="72" s="1"/>
  <c r="B14" i="74"/>
  <c r="B1" i="74" s="1"/>
  <c r="D3" i="34"/>
  <c r="D3" i="21"/>
  <c r="D3" i="33"/>
  <c r="C33" i="43"/>
  <c r="G33" i="43" s="1"/>
  <c r="I33"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I19" i="6"/>
  <c r="H10" i="39"/>
  <c r="J10" i="39"/>
  <c r="Q61" i="15"/>
  <c r="Q60" i="15"/>
  <c r="M16" i="1"/>
  <c r="N16" i="1" s="1"/>
  <c r="Q60" i="67"/>
  <c r="Q73" i="67"/>
  <c r="F27" i="11"/>
  <c r="Q61" i="67"/>
  <c r="Q74" i="67"/>
  <c r="C49" i="67"/>
  <c r="F1" i="67"/>
  <c r="Q52" i="67"/>
  <c r="C16" i="15"/>
  <c r="C17" i="15"/>
  <c r="C17" i="84"/>
  <c r="M27" i="6" l="1"/>
  <c r="D22" i="81"/>
  <c r="J10" i="15"/>
  <c r="J5" i="15" s="1"/>
  <c r="M109" i="43"/>
  <c r="M102" i="43"/>
  <c r="M106" i="43"/>
  <c r="M103" i="43"/>
  <c r="M104" i="43"/>
  <c r="M107" i="43"/>
  <c r="M105" i="43"/>
  <c r="E102" i="43"/>
  <c r="E106" i="43"/>
  <c r="E103" i="43"/>
  <c r="E104" i="43"/>
  <c r="E107" i="43"/>
  <c r="E105" i="43"/>
  <c r="E109" i="43"/>
  <c r="H102" i="43"/>
  <c r="H103" i="43"/>
  <c r="H104" i="43"/>
  <c r="H109" i="43"/>
  <c r="H107" i="43"/>
  <c r="H106" i="43"/>
  <c r="H105" i="43"/>
  <c r="D22" i="43"/>
  <c r="B115" i="43"/>
  <c r="I115" i="43"/>
  <c r="J115" i="43" s="1"/>
  <c r="K115" i="43" s="1"/>
  <c r="L115" i="43" s="1"/>
  <c r="M115" i="43" s="1"/>
  <c r="D116" i="43"/>
  <c r="E116" i="43" s="1"/>
  <c r="F116" i="43" s="1"/>
  <c r="G116" i="43" s="1"/>
  <c r="H116"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09" i="43"/>
  <c r="D105" i="43"/>
  <c r="D106" i="43"/>
  <c r="D102" i="43"/>
  <c r="D103" i="43"/>
  <c r="D104" i="43"/>
  <c r="D107" i="43"/>
  <c r="G105" i="43"/>
  <c r="G107" i="43"/>
  <c r="G104" i="43"/>
  <c r="G106" i="43"/>
  <c r="G109" i="43"/>
  <c r="G102" i="43"/>
  <c r="G103" i="43"/>
  <c r="F104" i="43"/>
  <c r="F102" i="43"/>
  <c r="F103" i="43"/>
  <c r="F109" i="43"/>
  <c r="F107" i="43"/>
  <c r="F106" i="43"/>
  <c r="F105" i="43"/>
  <c r="K103" i="43"/>
  <c r="K102" i="43"/>
  <c r="K105" i="43"/>
  <c r="K109" i="43"/>
  <c r="K107" i="43"/>
  <c r="K104" i="43"/>
  <c r="K106" i="43"/>
  <c r="J109" i="81"/>
  <c r="J107" i="81"/>
  <c r="J105" i="81"/>
  <c r="J103" i="81"/>
  <c r="J106" i="81"/>
  <c r="J104" i="81"/>
  <c r="J102" i="81"/>
  <c r="L109" i="81"/>
  <c r="L106" i="81"/>
  <c r="L104" i="81"/>
  <c r="L102" i="81"/>
  <c r="L105" i="81"/>
  <c r="L107" i="81"/>
  <c r="L103" i="81"/>
  <c r="I109" i="81"/>
  <c r="I106" i="81"/>
  <c r="I104" i="81"/>
  <c r="I102" i="81"/>
  <c r="I105" i="81"/>
  <c r="I107" i="81"/>
  <c r="I103" i="81"/>
  <c r="N109" i="81"/>
  <c r="N107" i="81"/>
  <c r="N105" i="81"/>
  <c r="N103" i="81"/>
  <c r="N104" i="81"/>
  <c r="N106" i="81"/>
  <c r="N102" i="81"/>
  <c r="C109" i="81"/>
  <c r="C107" i="81"/>
  <c r="C105" i="81"/>
  <c r="C103" i="81"/>
  <c r="C104" i="81"/>
  <c r="C106" i="81"/>
  <c r="C102" i="81"/>
  <c r="K109" i="81"/>
  <c r="K107" i="81"/>
  <c r="K105" i="81"/>
  <c r="K103" i="81"/>
  <c r="K104" i="81"/>
  <c r="K106" i="81"/>
  <c r="K102" i="81"/>
  <c r="L103" i="77"/>
  <c r="L106" i="77"/>
  <c r="L104" i="77"/>
  <c r="L102" i="77"/>
  <c r="L109" i="77"/>
  <c r="L107" i="77"/>
  <c r="L105" i="77"/>
  <c r="I109" i="77"/>
  <c r="I105" i="77"/>
  <c r="I106" i="77"/>
  <c r="I104" i="77"/>
  <c r="I102" i="77"/>
  <c r="I107" i="77"/>
  <c r="I103" i="77"/>
  <c r="D22" i="77"/>
  <c r="F109" i="77"/>
  <c r="F105" i="77"/>
  <c r="F106" i="77"/>
  <c r="F104" i="77"/>
  <c r="F102" i="77"/>
  <c r="F107" i="77"/>
  <c r="F103" i="77"/>
  <c r="H109" i="77"/>
  <c r="H105" i="77"/>
  <c r="H106" i="77"/>
  <c r="H104" i="77"/>
  <c r="H102" i="77"/>
  <c r="H107" i="77"/>
  <c r="H103" i="77"/>
  <c r="G109" i="77"/>
  <c r="G103" i="77"/>
  <c r="G106" i="77"/>
  <c r="G104" i="77"/>
  <c r="G102" i="77"/>
  <c r="G107" i="77"/>
  <c r="G105" i="77"/>
  <c r="D118" i="77"/>
  <c r="E118" i="77" s="1"/>
  <c r="F118" i="77" s="1"/>
  <c r="I118" i="77"/>
  <c r="J118" i="77" s="1"/>
  <c r="K118" i="77" s="1"/>
  <c r="L118" i="77" s="1"/>
  <c r="M118" i="77" s="1"/>
  <c r="B118" i="77"/>
  <c r="C118" i="77" s="1"/>
  <c r="B117" i="77"/>
  <c r="C117" i="77" s="1"/>
  <c r="B116" i="77"/>
  <c r="C116" i="77" s="1"/>
  <c r="B115" i="77"/>
  <c r="I117" i="77"/>
  <c r="J117" i="77" s="1"/>
  <c r="K117" i="77" s="1"/>
  <c r="L117" i="77" s="1"/>
  <c r="M117" i="77" s="1"/>
  <c r="I115" i="77"/>
  <c r="J115" i="77" s="1"/>
  <c r="K115" i="77" s="1"/>
  <c r="L115" i="77" s="1"/>
  <c r="M115" i="77" s="1"/>
  <c r="D117" i="77"/>
  <c r="E117" i="77" s="1"/>
  <c r="F117" i="77" s="1"/>
  <c r="G117" i="77" s="1"/>
  <c r="H117" i="77" s="1"/>
  <c r="D116" i="77"/>
  <c r="E116" i="77" s="1"/>
  <c r="F116" i="77" s="1"/>
  <c r="G116" i="77" s="1"/>
  <c r="H116" i="77" s="1"/>
  <c r="D115" i="77"/>
  <c r="E115" i="77" s="1"/>
  <c r="F115" i="77" s="1"/>
  <c r="G115" i="77" s="1"/>
  <c r="H115" i="77" s="1"/>
  <c r="I116" i="77"/>
  <c r="J116" i="77" s="1"/>
  <c r="K116" i="77" s="1"/>
  <c r="L116" i="77" s="1"/>
  <c r="M116" i="77" s="1"/>
  <c r="G118" i="77"/>
  <c r="H118" i="77" s="1"/>
  <c r="M109" i="77"/>
  <c r="M107" i="77"/>
  <c r="M106" i="77"/>
  <c r="M104" i="77"/>
  <c r="M102" i="77"/>
  <c r="M105" i="77"/>
  <c r="M103" i="77"/>
  <c r="M109" i="79"/>
  <c r="M106" i="79"/>
  <c r="M107" i="79"/>
  <c r="M105" i="79"/>
  <c r="M103" i="79"/>
  <c r="M104" i="79"/>
  <c r="M102" i="79"/>
  <c r="J109" i="79"/>
  <c r="J106" i="79"/>
  <c r="J107" i="79"/>
  <c r="J105" i="79"/>
  <c r="J103" i="79"/>
  <c r="J104" i="79"/>
  <c r="J102" i="79"/>
  <c r="I109" i="79"/>
  <c r="I106" i="79"/>
  <c r="I107" i="79"/>
  <c r="I105" i="79"/>
  <c r="I103" i="79"/>
  <c r="I104" i="79"/>
  <c r="I102" i="79"/>
  <c r="F109" i="79"/>
  <c r="F106" i="79"/>
  <c r="F104" i="79"/>
  <c r="F102" i="79"/>
  <c r="F103" i="79"/>
  <c r="F105" i="79"/>
  <c r="F107" i="79"/>
  <c r="H109" i="79"/>
  <c r="H106" i="79"/>
  <c r="H104" i="79"/>
  <c r="H102" i="79"/>
  <c r="H105" i="79"/>
  <c r="H107" i="79"/>
  <c r="H103" i="79"/>
  <c r="G109" i="79"/>
  <c r="G106" i="79"/>
  <c r="G104" i="79"/>
  <c r="G105" i="79"/>
  <c r="G103" i="79"/>
  <c r="G107" i="79"/>
  <c r="G102" i="79"/>
  <c r="B117" i="79"/>
  <c r="C117" i="79" s="1"/>
  <c r="I115" i="79"/>
  <c r="J115" i="79" s="1"/>
  <c r="K115" i="79" s="1"/>
  <c r="L115" i="79" s="1"/>
  <c r="M115" i="79" s="1"/>
  <c r="D118" i="79"/>
  <c r="E118" i="79" s="1"/>
  <c r="F118" i="79" s="1"/>
  <c r="D117" i="79"/>
  <c r="E117" i="79" s="1"/>
  <c r="F117" i="79" s="1"/>
  <c r="G117" i="79" s="1"/>
  <c r="H117" i="79" s="1"/>
  <c r="D116" i="79"/>
  <c r="E116" i="79" s="1"/>
  <c r="F116" i="79" s="1"/>
  <c r="G116" i="79" s="1"/>
  <c r="H116" i="79" s="1"/>
  <c r="D115" i="79"/>
  <c r="E115" i="79" s="1"/>
  <c r="F115" i="79" s="1"/>
  <c r="G115" i="79" s="1"/>
  <c r="H115" i="79" s="1"/>
  <c r="I118" i="79"/>
  <c r="J118" i="79" s="1"/>
  <c r="K118" i="79" s="1"/>
  <c r="L118" i="79" s="1"/>
  <c r="M118" i="79" s="1"/>
  <c r="I116" i="79"/>
  <c r="J116" i="79" s="1"/>
  <c r="K116" i="79" s="1"/>
  <c r="L116" i="79" s="1"/>
  <c r="M116" i="79" s="1"/>
  <c r="G118" i="79"/>
  <c r="H118" i="79" s="1"/>
  <c r="B118" i="79"/>
  <c r="C118" i="79" s="1"/>
  <c r="B116" i="79"/>
  <c r="C116" i="79" s="1"/>
  <c r="B115" i="79"/>
  <c r="I117" i="79"/>
  <c r="J117" i="79" s="1"/>
  <c r="K117" i="79" s="1"/>
  <c r="L117" i="79" s="1"/>
  <c r="M117" i="79" s="1"/>
  <c r="N109" i="82"/>
  <c r="N106" i="82"/>
  <c r="N104" i="82"/>
  <c r="N102" i="82"/>
  <c r="N107" i="82"/>
  <c r="N105" i="82"/>
  <c r="N103" i="82"/>
  <c r="C106" i="82"/>
  <c r="C104" i="82"/>
  <c r="C102" i="82"/>
  <c r="C109" i="82"/>
  <c r="C107" i="82"/>
  <c r="C105" i="82"/>
  <c r="C103" i="82"/>
  <c r="K106" i="82"/>
  <c r="K104" i="82"/>
  <c r="K102" i="82"/>
  <c r="K109" i="82"/>
  <c r="K107" i="82"/>
  <c r="K105" i="82"/>
  <c r="K103" i="82"/>
  <c r="J109" i="82"/>
  <c r="J107" i="82"/>
  <c r="J105" i="82"/>
  <c r="J103" i="82"/>
  <c r="J106" i="82"/>
  <c r="J104" i="82"/>
  <c r="J102" i="82"/>
  <c r="L109" i="82"/>
  <c r="L107" i="82"/>
  <c r="L105" i="82"/>
  <c r="L103" i="82"/>
  <c r="L106" i="82"/>
  <c r="L104" i="82"/>
  <c r="L102" i="82"/>
  <c r="I109" i="82"/>
  <c r="I107" i="82"/>
  <c r="I105" i="82"/>
  <c r="I103" i="82"/>
  <c r="I106" i="82"/>
  <c r="I104" i="82"/>
  <c r="I102" i="82"/>
  <c r="N109" i="78"/>
  <c r="N104" i="78"/>
  <c r="N107" i="78"/>
  <c r="N105" i="78"/>
  <c r="N103" i="78"/>
  <c r="N106" i="78"/>
  <c r="N102" i="78"/>
  <c r="G109" i="78"/>
  <c r="G104" i="78"/>
  <c r="G107" i="78"/>
  <c r="G105" i="78"/>
  <c r="G103" i="78"/>
  <c r="G106" i="78"/>
  <c r="G102" i="78"/>
  <c r="B117" i="78"/>
  <c r="C117" i="78" s="1"/>
  <c r="I117" i="78"/>
  <c r="J117" i="78" s="1"/>
  <c r="K117" i="78" s="1"/>
  <c r="L117" i="78" s="1"/>
  <c r="M117" i="78" s="1"/>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6" i="78"/>
  <c r="C116" i="78" s="1"/>
  <c r="B115" i="78"/>
  <c r="I115" i="78"/>
  <c r="J115" i="78" s="1"/>
  <c r="K115" i="78" s="1"/>
  <c r="L115" i="78" s="1"/>
  <c r="M115" i="78" s="1"/>
  <c r="D109" i="78"/>
  <c r="D105" i="78"/>
  <c r="D106" i="78"/>
  <c r="D104" i="78"/>
  <c r="D102" i="78"/>
  <c r="D107" i="78"/>
  <c r="D103" i="78"/>
  <c r="E109" i="78"/>
  <c r="E107" i="78"/>
  <c r="E103" i="78"/>
  <c r="E106" i="78"/>
  <c r="E104" i="78"/>
  <c r="E102" i="78"/>
  <c r="E105" i="78"/>
  <c r="M109" i="78"/>
  <c r="M107" i="78"/>
  <c r="M103" i="78"/>
  <c r="M106" i="78"/>
  <c r="M104" i="78"/>
  <c r="M102" i="78"/>
  <c r="M105" i="78"/>
  <c r="J109" i="80"/>
  <c r="J107" i="80"/>
  <c r="J105" i="80"/>
  <c r="J103" i="80"/>
  <c r="J104" i="80"/>
  <c r="J106" i="80"/>
  <c r="J102" i="80"/>
  <c r="L109" i="80"/>
  <c r="L107" i="80"/>
  <c r="L105" i="80"/>
  <c r="L103" i="80"/>
  <c r="L104" i="80"/>
  <c r="L106" i="80"/>
  <c r="L102" i="80"/>
  <c r="I109" i="80"/>
  <c r="I107" i="80"/>
  <c r="I105" i="80"/>
  <c r="I103" i="80"/>
  <c r="I104" i="80"/>
  <c r="I106" i="80"/>
  <c r="I102" i="80"/>
  <c r="F109" i="80"/>
  <c r="F107" i="80"/>
  <c r="F105" i="80"/>
  <c r="F103" i="80"/>
  <c r="F104" i="80"/>
  <c r="F106" i="80"/>
  <c r="F102" i="80"/>
  <c r="H109" i="80"/>
  <c r="H107" i="80"/>
  <c r="H105" i="80"/>
  <c r="H103" i="80"/>
  <c r="H104" i="80"/>
  <c r="H106" i="80"/>
  <c r="H102" i="80"/>
  <c r="G109" i="80"/>
  <c r="G107" i="80"/>
  <c r="G105" i="80"/>
  <c r="G103" i="80"/>
  <c r="G104" i="80"/>
  <c r="G106" i="80"/>
  <c r="G102" i="80"/>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6" i="80"/>
  <c r="J116" i="80" s="1"/>
  <c r="K116" i="80" s="1"/>
  <c r="L116" i="80" s="1"/>
  <c r="M116" i="80" s="1"/>
  <c r="G118" i="80"/>
  <c r="H118" i="80" s="1"/>
  <c r="B117" i="80"/>
  <c r="C117" i="80" s="1"/>
  <c r="B115" i="80"/>
  <c r="I115" i="80"/>
  <c r="J115" i="80" s="1"/>
  <c r="K115" i="80" s="1"/>
  <c r="L115" i="80" s="1"/>
  <c r="M115" i="80" s="1"/>
  <c r="B118" i="80"/>
  <c r="C118" i="80" s="1"/>
  <c r="B116" i="80"/>
  <c r="C116" i="80" s="1"/>
  <c r="I117" i="80"/>
  <c r="J117" i="80" s="1"/>
  <c r="K117" i="80" s="1"/>
  <c r="L117" i="80" s="1"/>
  <c r="M117" i="80" s="1"/>
  <c r="C104" i="43"/>
  <c r="C106" i="43"/>
  <c r="C107" i="43"/>
  <c r="C103" i="43"/>
  <c r="C105" i="43"/>
  <c r="C102" i="43"/>
  <c r="C109" i="43"/>
  <c r="I109" i="43"/>
  <c r="I104" i="43"/>
  <c r="I107" i="43"/>
  <c r="I105" i="43"/>
  <c r="I102" i="43"/>
  <c r="I106" i="43"/>
  <c r="I103" i="43"/>
  <c r="L109" i="43"/>
  <c r="L106" i="43"/>
  <c r="L107" i="43"/>
  <c r="L103" i="43"/>
  <c r="L102" i="43"/>
  <c r="L105" i="43"/>
  <c r="L104" i="43"/>
  <c r="J104" i="43"/>
  <c r="J107" i="43"/>
  <c r="J102" i="43"/>
  <c r="J106" i="43"/>
  <c r="J109" i="43"/>
  <c r="J105" i="43"/>
  <c r="J103" i="43"/>
  <c r="N102" i="43"/>
  <c r="N105" i="43"/>
  <c r="N107" i="43"/>
  <c r="N103" i="43"/>
  <c r="N106" i="43"/>
  <c r="N104" i="43"/>
  <c r="N109" i="43"/>
  <c r="D109" i="81"/>
  <c r="D107" i="81"/>
  <c r="D105" i="81"/>
  <c r="D103" i="81"/>
  <c r="D106" i="81"/>
  <c r="D104" i="81"/>
  <c r="D102" i="81"/>
  <c r="E109" i="81"/>
  <c r="E106" i="81"/>
  <c r="E104" i="81"/>
  <c r="E102" i="81"/>
  <c r="E107" i="81"/>
  <c r="E103" i="81"/>
  <c r="E105" i="81"/>
  <c r="M109" i="81"/>
  <c r="M106" i="81"/>
  <c r="M104" i="81"/>
  <c r="M102" i="81"/>
  <c r="M107" i="81"/>
  <c r="M103" i="81"/>
  <c r="M105" i="81"/>
  <c r="F109" i="81"/>
  <c r="F107" i="81"/>
  <c r="F105" i="81"/>
  <c r="F103" i="81"/>
  <c r="F106" i="81"/>
  <c r="F102" i="81"/>
  <c r="F104" i="81"/>
  <c r="H109" i="81"/>
  <c r="H107" i="81"/>
  <c r="H105" i="81"/>
  <c r="H103" i="81"/>
  <c r="H106" i="81"/>
  <c r="H102" i="81"/>
  <c r="H104" i="81"/>
  <c r="G109" i="81"/>
  <c r="G107" i="81"/>
  <c r="G105" i="81"/>
  <c r="G103" i="81"/>
  <c r="G106" i="81"/>
  <c r="G102" i="81"/>
  <c r="G104" i="81"/>
  <c r="D118" i="81"/>
  <c r="E118" i="81" s="1"/>
  <c r="F118" i="81" s="1"/>
  <c r="D117" i="81"/>
  <c r="E117" i="81" s="1"/>
  <c r="F117" i="81" s="1"/>
  <c r="G117" i="81" s="1"/>
  <c r="H117" i="81" s="1"/>
  <c r="D116" i="81"/>
  <c r="E116" i="81" s="1"/>
  <c r="F116" i="81" s="1"/>
  <c r="G116" i="81" s="1"/>
  <c r="H116" i="81" s="1"/>
  <c r="D115" i="81"/>
  <c r="E115" i="81" s="1"/>
  <c r="F115" i="81" s="1"/>
  <c r="G115" i="81" s="1"/>
  <c r="H115" i="81" s="1"/>
  <c r="I118" i="81"/>
  <c r="J118" i="81" s="1"/>
  <c r="K118" i="81" s="1"/>
  <c r="L118" i="81" s="1"/>
  <c r="M118" i="81" s="1"/>
  <c r="I116" i="81"/>
  <c r="J116" i="81" s="1"/>
  <c r="K116" i="81" s="1"/>
  <c r="L116" i="81" s="1"/>
  <c r="M116" i="81" s="1"/>
  <c r="G118" i="81"/>
  <c r="H118" i="81" s="1"/>
  <c r="B118" i="81"/>
  <c r="C118" i="81" s="1"/>
  <c r="B116" i="81"/>
  <c r="C116" i="81" s="1"/>
  <c r="I117" i="81"/>
  <c r="J117" i="81" s="1"/>
  <c r="K117" i="81" s="1"/>
  <c r="L117" i="81" s="1"/>
  <c r="M117" i="81" s="1"/>
  <c r="B117" i="81"/>
  <c r="C117" i="81" s="1"/>
  <c r="B115" i="81"/>
  <c r="I115" i="81"/>
  <c r="J115" i="81" s="1"/>
  <c r="K115" i="81" s="1"/>
  <c r="L115" i="81" s="1"/>
  <c r="M115" i="81" s="1"/>
  <c r="D103" i="77"/>
  <c r="D106" i="77"/>
  <c r="D104" i="77"/>
  <c r="D102" i="77"/>
  <c r="D109" i="77"/>
  <c r="D107" i="77"/>
  <c r="D105" i="77"/>
  <c r="E109" i="77"/>
  <c r="E103" i="77"/>
  <c r="E106" i="77"/>
  <c r="E104" i="77"/>
  <c r="E102" i="77"/>
  <c r="E107" i="77"/>
  <c r="E105" i="77"/>
  <c r="N109" i="77"/>
  <c r="N107" i="77"/>
  <c r="N103" i="77"/>
  <c r="N106" i="77"/>
  <c r="N104" i="77"/>
  <c r="N102" i="77"/>
  <c r="N105" i="77"/>
  <c r="C109" i="77"/>
  <c r="C107" i="77"/>
  <c r="C103" i="77"/>
  <c r="C106" i="77"/>
  <c r="C104" i="77"/>
  <c r="C102" i="77"/>
  <c r="C105" i="77"/>
  <c r="K109" i="77"/>
  <c r="K105" i="77"/>
  <c r="K106" i="77"/>
  <c r="K104" i="77"/>
  <c r="K102" i="77"/>
  <c r="K107" i="77"/>
  <c r="K103" i="77"/>
  <c r="J105" i="77"/>
  <c r="J106" i="77"/>
  <c r="J104" i="77"/>
  <c r="J102" i="77"/>
  <c r="J107" i="77"/>
  <c r="J103" i="77"/>
  <c r="J109" i="77"/>
  <c r="D22" i="79"/>
  <c r="D109" i="79"/>
  <c r="D106" i="79"/>
  <c r="D102" i="79"/>
  <c r="D107" i="79"/>
  <c r="D105" i="79"/>
  <c r="D103" i="79"/>
  <c r="D104" i="79"/>
  <c r="L109" i="79"/>
  <c r="L104" i="79"/>
  <c r="L107" i="79"/>
  <c r="L105" i="79"/>
  <c r="L103" i="79"/>
  <c r="L106" i="79"/>
  <c r="L102" i="79"/>
  <c r="E109" i="79"/>
  <c r="E104" i="79"/>
  <c r="E107" i="79"/>
  <c r="E105" i="79"/>
  <c r="E103" i="79"/>
  <c r="E106" i="79"/>
  <c r="E102" i="79"/>
  <c r="N109" i="79"/>
  <c r="N106" i="79"/>
  <c r="N104" i="79"/>
  <c r="N102" i="79"/>
  <c r="N107" i="79"/>
  <c r="N103" i="79"/>
  <c r="N105" i="79"/>
  <c r="C109" i="79"/>
  <c r="C106" i="79"/>
  <c r="C104" i="79"/>
  <c r="C102" i="79"/>
  <c r="C107" i="79"/>
  <c r="C103" i="79"/>
  <c r="C105" i="79"/>
  <c r="K109" i="79"/>
  <c r="K104" i="79"/>
  <c r="K107" i="79"/>
  <c r="K105" i="79"/>
  <c r="K103" i="79"/>
  <c r="K106" i="79"/>
  <c r="K102" i="79"/>
  <c r="F109" i="82"/>
  <c r="C23" i="82" s="1"/>
  <c r="C21" i="82" s="1"/>
  <c r="F106" i="82"/>
  <c r="F104" i="82"/>
  <c r="F102" i="82"/>
  <c r="F107" i="82"/>
  <c r="F105" i="82"/>
  <c r="F103" i="82"/>
  <c r="H109" i="82"/>
  <c r="H106" i="82"/>
  <c r="H104" i="82"/>
  <c r="H102" i="82"/>
  <c r="H107" i="82"/>
  <c r="H105" i="82"/>
  <c r="H103" i="82"/>
  <c r="G109" i="82"/>
  <c r="G106" i="82"/>
  <c r="G104" i="82"/>
  <c r="G102" i="82"/>
  <c r="G107" i="82"/>
  <c r="G105" i="82"/>
  <c r="G103" i="82"/>
  <c r="B118" i="82"/>
  <c r="C118" i="82" s="1"/>
  <c r="B117" i="82"/>
  <c r="C117" i="82" s="1"/>
  <c r="B116" i="82"/>
  <c r="C116" i="82" s="1"/>
  <c r="B115" i="82"/>
  <c r="I117" i="82"/>
  <c r="J117" i="82" s="1"/>
  <c r="K117" i="82" s="1"/>
  <c r="L117" i="82" s="1"/>
  <c r="M117" i="82" s="1"/>
  <c r="I115" i="82"/>
  <c r="J115" i="82" s="1"/>
  <c r="K115" i="82" s="1"/>
  <c r="L115" i="82" s="1"/>
  <c r="M115" i="82" s="1"/>
  <c r="D118" i="82"/>
  <c r="E118" i="82" s="1"/>
  <c r="F118" i="82" s="1"/>
  <c r="D117" i="82"/>
  <c r="E117" i="82" s="1"/>
  <c r="F117" i="82" s="1"/>
  <c r="G117" i="82" s="1"/>
  <c r="H117" i="82" s="1"/>
  <c r="D116" i="82"/>
  <c r="E116" i="82" s="1"/>
  <c r="F116" i="82" s="1"/>
  <c r="G116" i="82" s="1"/>
  <c r="H116" i="82" s="1"/>
  <c r="D115" i="82"/>
  <c r="E115" i="82" s="1"/>
  <c r="F115" i="82" s="1"/>
  <c r="G115" i="82" s="1"/>
  <c r="H115" i="82" s="1"/>
  <c r="I118" i="82"/>
  <c r="J118" i="82" s="1"/>
  <c r="K118" i="82" s="1"/>
  <c r="L118" i="82" s="1"/>
  <c r="M118" i="82" s="1"/>
  <c r="I116" i="82"/>
  <c r="J116" i="82" s="1"/>
  <c r="K116" i="82" s="1"/>
  <c r="L116" i="82" s="1"/>
  <c r="M116" i="82" s="1"/>
  <c r="G118" i="82"/>
  <c r="H118" i="82" s="1"/>
  <c r="D22" i="82"/>
  <c r="D109" i="82"/>
  <c r="D107" i="82"/>
  <c r="D105" i="82"/>
  <c r="D103" i="82"/>
  <c r="D106" i="82"/>
  <c r="D104" i="82"/>
  <c r="D102" i="82"/>
  <c r="E107" i="82"/>
  <c r="E105" i="82"/>
  <c r="E103" i="82"/>
  <c r="E109" i="82"/>
  <c r="E106" i="82"/>
  <c r="E104" i="82"/>
  <c r="E102" i="82"/>
  <c r="M107" i="82"/>
  <c r="M105" i="82"/>
  <c r="M103" i="82"/>
  <c r="M109" i="82"/>
  <c r="M106" i="82"/>
  <c r="M104" i="82"/>
  <c r="M102" i="82"/>
  <c r="F109" i="78"/>
  <c r="F104" i="78"/>
  <c r="F107" i="78"/>
  <c r="F105" i="78"/>
  <c r="F103" i="78"/>
  <c r="F106" i="78"/>
  <c r="F102" i="78"/>
  <c r="H109" i="78"/>
  <c r="H102" i="78"/>
  <c r="H107" i="78"/>
  <c r="H105" i="78"/>
  <c r="H103" i="78"/>
  <c r="H106" i="78"/>
  <c r="H104" i="78"/>
  <c r="K109" i="78"/>
  <c r="K106" i="78"/>
  <c r="K102" i="78"/>
  <c r="K107" i="78"/>
  <c r="K105" i="78"/>
  <c r="K103" i="78"/>
  <c r="K104" i="78"/>
  <c r="D22" i="78"/>
  <c r="J109" i="78"/>
  <c r="J107" i="78"/>
  <c r="J106" i="78"/>
  <c r="J104" i="78"/>
  <c r="J102" i="78"/>
  <c r="J105" i="78"/>
  <c r="J103" i="78"/>
  <c r="L109" i="78"/>
  <c r="L107" i="78"/>
  <c r="L106" i="78"/>
  <c r="L104" i="78"/>
  <c r="L102" i="78"/>
  <c r="L105" i="78"/>
  <c r="L103" i="78"/>
  <c r="I109" i="78"/>
  <c r="I105" i="78"/>
  <c r="I106" i="78"/>
  <c r="I104" i="78"/>
  <c r="I102" i="78"/>
  <c r="I107" i="78"/>
  <c r="I103" i="78"/>
  <c r="C109" i="78"/>
  <c r="C102" i="78"/>
  <c r="C107" i="78"/>
  <c r="C105" i="78"/>
  <c r="C103" i="78"/>
  <c r="C106" i="78"/>
  <c r="C104" i="78"/>
  <c r="D109" i="80"/>
  <c r="D107" i="80"/>
  <c r="D105" i="80"/>
  <c r="D103" i="80"/>
  <c r="D106" i="80"/>
  <c r="D102" i="80"/>
  <c r="D104" i="80"/>
  <c r="E109" i="80"/>
  <c r="E107" i="80"/>
  <c r="E105" i="80"/>
  <c r="E103" i="80"/>
  <c r="E106" i="80"/>
  <c r="E102" i="80"/>
  <c r="E104" i="80"/>
  <c r="M109" i="80"/>
  <c r="M107" i="80"/>
  <c r="M105" i="80"/>
  <c r="M103" i="80"/>
  <c r="M106" i="80"/>
  <c r="M102" i="80"/>
  <c r="M104" i="80"/>
  <c r="D22" i="80"/>
  <c r="N109" i="80"/>
  <c r="N107" i="80"/>
  <c r="N105" i="80"/>
  <c r="N103" i="80"/>
  <c r="N106" i="80"/>
  <c r="N102" i="80"/>
  <c r="N104" i="80"/>
  <c r="C109" i="80"/>
  <c r="C107" i="80"/>
  <c r="C105" i="80"/>
  <c r="C103" i="80"/>
  <c r="C106" i="80"/>
  <c r="C102" i="80"/>
  <c r="C104" i="80"/>
  <c r="K109" i="80"/>
  <c r="K107" i="80"/>
  <c r="K105" i="80"/>
  <c r="K103" i="80"/>
  <c r="K106" i="80"/>
  <c r="K102" i="80"/>
  <c r="K104" i="80"/>
  <c r="AR7" i="1"/>
  <c r="T7" i="1"/>
  <c r="E7" i="70"/>
  <c r="AQ7" i="1"/>
  <c r="C34" i="43"/>
  <c r="E34" i="43" s="1"/>
  <c r="C36" i="43"/>
  <c r="E36" i="43" s="1"/>
  <c r="AQ8" i="1"/>
  <c r="AR8" i="1"/>
  <c r="T8" i="1"/>
  <c r="E37" i="43"/>
  <c r="AA7" i="36"/>
  <c r="R36" i="36" s="1"/>
  <c r="E36" i="36" s="1"/>
  <c r="E40" i="36" s="1"/>
  <c r="F40" i="36" s="1"/>
  <c r="AC11" i="37"/>
  <c r="W11" i="37"/>
  <c r="AB7" i="37"/>
  <c r="T42" i="37" s="1"/>
  <c r="G42" i="37" s="1"/>
  <c r="G46" i="37" s="1"/>
  <c r="H46" i="37" s="1"/>
  <c r="W11" i="34"/>
  <c r="AC11" i="34"/>
  <c r="J5" i="67"/>
  <c r="H20" i="6"/>
  <c r="C14" i="74"/>
  <c r="B2" i="74" s="1"/>
  <c r="AB7" i="36"/>
  <c r="T36" i="36" s="1"/>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14" i="84"/>
  <c r="C34" i="11" l="1"/>
  <c r="C35" i="11" s="1"/>
  <c r="S5" i="79"/>
  <c r="T5" i="79" s="1"/>
  <c r="V5" i="79" s="1"/>
  <c r="S6" i="79"/>
  <c r="T6" i="79" s="1"/>
  <c r="V6" i="79" s="1"/>
  <c r="S2" i="79"/>
  <c r="T2" i="79" s="1"/>
  <c r="V2" i="79" s="1"/>
  <c r="C23" i="79"/>
  <c r="C21" i="79" s="1"/>
  <c r="S4" i="79"/>
  <c r="T4" i="79" s="1"/>
  <c r="V4" i="79" s="1"/>
  <c r="S3" i="79"/>
  <c r="T3" i="79" s="1"/>
  <c r="V3" i="79" s="1"/>
  <c r="S7" i="79"/>
  <c r="T7" i="79" s="1"/>
  <c r="V7" i="79" s="1"/>
  <c r="C23" i="77"/>
  <c r="C21" i="77" s="1"/>
  <c r="S2" i="77"/>
  <c r="T2" i="77" s="1"/>
  <c r="V2" i="77" s="1"/>
  <c r="S4" i="77"/>
  <c r="T4" i="77" s="1"/>
  <c r="V4" i="77" s="1"/>
  <c r="S6" i="77"/>
  <c r="T6" i="77" s="1"/>
  <c r="V6" i="77" s="1"/>
  <c r="S3" i="77"/>
  <c r="T3" i="77" s="1"/>
  <c r="V3" i="77" s="1"/>
  <c r="S7" i="77"/>
  <c r="T7" i="77" s="1"/>
  <c r="V7" i="77" s="1"/>
  <c r="S5" i="77"/>
  <c r="T5" i="77" s="1"/>
  <c r="V5" i="77" s="1"/>
  <c r="C115" i="81"/>
  <c r="D113" i="81" s="1"/>
  <c r="C115" i="78"/>
  <c r="D113" i="78" s="1"/>
  <c r="S4" i="82"/>
  <c r="T4" i="82" s="1"/>
  <c r="V4" i="82" s="1"/>
  <c r="S6" i="82"/>
  <c r="T6" i="82" s="1"/>
  <c r="V6" i="82" s="1"/>
  <c r="S2" i="82"/>
  <c r="T2" i="82" s="1"/>
  <c r="V2" i="82" s="1"/>
  <c r="S3" i="82"/>
  <c r="T3" i="82" s="1"/>
  <c r="V3" i="82" s="1"/>
  <c r="S5" i="82"/>
  <c r="T5" i="82" s="1"/>
  <c r="V5" i="82" s="1"/>
  <c r="S7" i="82"/>
  <c r="T7" i="82" s="1"/>
  <c r="V7" i="82" s="1"/>
  <c r="S6" i="81"/>
  <c r="T6" i="81" s="1"/>
  <c r="V6" i="81" s="1"/>
  <c r="S7" i="81"/>
  <c r="T7" i="81" s="1"/>
  <c r="V7" i="81" s="1"/>
  <c r="S3" i="81"/>
  <c r="T3" i="81" s="1"/>
  <c r="V3" i="81" s="1"/>
  <c r="S5" i="81"/>
  <c r="T5" i="81" s="1"/>
  <c r="V5" i="81" s="1"/>
  <c r="S4" i="81"/>
  <c r="T4" i="81" s="1"/>
  <c r="V4" i="81" s="1"/>
  <c r="S2" i="81"/>
  <c r="T2" i="81" s="1"/>
  <c r="V2" i="81" s="1"/>
  <c r="C23" i="81"/>
  <c r="C21" i="81" s="1"/>
  <c r="S7" i="80"/>
  <c r="T7" i="80" s="1"/>
  <c r="V7" i="80" s="1"/>
  <c r="S6" i="80"/>
  <c r="T6" i="80" s="1"/>
  <c r="V6" i="80" s="1"/>
  <c r="S4" i="80"/>
  <c r="T4" i="80" s="1"/>
  <c r="V4" i="80" s="1"/>
  <c r="S3" i="80"/>
  <c r="T3" i="80" s="1"/>
  <c r="V3" i="80" s="1"/>
  <c r="S5" i="80"/>
  <c r="T5" i="80" s="1"/>
  <c r="V5" i="80" s="1"/>
  <c r="C23" i="80"/>
  <c r="C21" i="80" s="1"/>
  <c r="S2" i="80"/>
  <c r="T2" i="80" s="1"/>
  <c r="V2" i="80" s="1"/>
  <c r="S2" i="78"/>
  <c r="T2" i="78" s="1"/>
  <c r="V2" i="78" s="1"/>
  <c r="S7" i="78"/>
  <c r="T7" i="78" s="1"/>
  <c r="V7" i="78" s="1"/>
  <c r="S3" i="78"/>
  <c r="T3" i="78" s="1"/>
  <c r="V3" i="78" s="1"/>
  <c r="C23" i="78"/>
  <c r="C21" i="78" s="1"/>
  <c r="S6" i="78"/>
  <c r="T6" i="78" s="1"/>
  <c r="V6" i="78" s="1"/>
  <c r="S4" i="78"/>
  <c r="T4" i="78" s="1"/>
  <c r="V4" i="78" s="1"/>
  <c r="S5" i="78"/>
  <c r="T5" i="78" s="1"/>
  <c r="V5" i="78" s="1"/>
  <c r="C115" i="82"/>
  <c r="D113" i="82" s="1"/>
  <c r="P69" i="83"/>
  <c r="C29" i="82"/>
  <c r="S5" i="43"/>
  <c r="T5" i="43" s="1"/>
  <c r="V5" i="43" s="1"/>
  <c r="S6" i="43"/>
  <c r="T6" i="43" s="1"/>
  <c r="V6" i="43" s="1"/>
  <c r="S4" i="43"/>
  <c r="T4" i="43" s="1"/>
  <c r="V4" i="43" s="1"/>
  <c r="S3" i="43"/>
  <c r="T3" i="43" s="1"/>
  <c r="V3" i="43" s="1"/>
  <c r="S2" i="43"/>
  <c r="T2" i="43" s="1"/>
  <c r="V2" i="43" s="1"/>
  <c r="S7" i="43"/>
  <c r="T7" i="43" s="1"/>
  <c r="V7" i="43" s="1"/>
  <c r="C23" i="43"/>
  <c r="C21" i="43" s="1"/>
  <c r="C115" i="80"/>
  <c r="D113" i="80" s="1"/>
  <c r="C115" i="79"/>
  <c r="D113" i="79" s="1"/>
  <c r="C115" i="77"/>
  <c r="D113" i="77" s="1"/>
  <c r="C115" i="43"/>
  <c r="D113" i="43" s="1"/>
  <c r="J22" i="43" s="1"/>
  <c r="C18" i="84"/>
  <c r="C15" i="84"/>
  <c r="R20" i="6"/>
  <c r="R7" i="1" s="1"/>
  <c r="G36" i="43"/>
  <c r="I36" i="43" s="1"/>
  <c r="G34" i="43"/>
  <c r="I34" i="43"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C19" i="84" l="1"/>
  <c r="C20" i="84" s="1"/>
  <c r="P63" i="83"/>
  <c r="K70" i="83" s="1"/>
  <c r="L70" i="83" s="1"/>
  <c r="N70" i="83" s="1"/>
  <c r="C29" i="43"/>
  <c r="K69" i="83"/>
  <c r="L69" i="83" s="1"/>
  <c r="N69" i="83" s="1"/>
  <c r="P65" i="83"/>
  <c r="C29" i="78"/>
  <c r="P64" i="83"/>
  <c r="C29" i="77"/>
  <c r="P66" i="83"/>
  <c r="C29" i="79"/>
  <c r="E29" i="82"/>
  <c r="C26" i="82" s="1"/>
  <c r="C30" i="82"/>
  <c r="E30" i="82" s="1"/>
  <c r="C27" i="82" s="1"/>
  <c r="P67" i="83"/>
  <c r="C29" i="80"/>
  <c r="P68" i="83"/>
  <c r="C29" i="81"/>
  <c r="C23" i="84"/>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84"/>
  <c r="F35" i="67"/>
  <c r="F35" i="84"/>
  <c r="E12" i="76"/>
  <c r="F35" i="15"/>
  <c r="M21" i="15"/>
  <c r="M21" i="67"/>
  <c r="C26" i="84" l="1"/>
  <c r="C29" i="84" s="1"/>
  <c r="E29" i="81"/>
  <c r="C26" i="81" s="1"/>
  <c r="C30" i="81"/>
  <c r="E30" i="81" s="1"/>
  <c r="C27" i="81" s="1"/>
  <c r="C30" i="80"/>
  <c r="E30" i="80" s="1"/>
  <c r="C27" i="80" s="1"/>
  <c r="E29" i="80"/>
  <c r="C26" i="80" s="1"/>
  <c r="C30" i="79"/>
  <c r="E30" i="79" s="1"/>
  <c r="C27" i="79" s="1"/>
  <c r="E29" i="79"/>
  <c r="C26" i="79" s="1"/>
  <c r="E29" i="78"/>
  <c r="C26" i="78" s="1"/>
  <c r="C30" i="78"/>
  <c r="E30" i="78" s="1"/>
  <c r="C27" i="78" s="1"/>
  <c r="K68" i="83"/>
  <c r="L68" i="83" s="1"/>
  <c r="N68" i="83" s="1"/>
  <c r="K67" i="83"/>
  <c r="L67" i="83" s="1"/>
  <c r="N67" i="83" s="1"/>
  <c r="B2" i="82"/>
  <c r="K66" i="83"/>
  <c r="L66" i="83" s="1"/>
  <c r="N66" i="83" s="1"/>
  <c r="K64" i="83"/>
  <c r="L64" i="83" s="1"/>
  <c r="N64" i="83" s="1"/>
  <c r="K65" i="83"/>
  <c r="L65" i="83" s="1"/>
  <c r="N65" i="83" s="1"/>
  <c r="C30" i="43"/>
  <c r="E30" i="43" s="1"/>
  <c r="C27" i="43" s="1"/>
  <c r="E29" i="43"/>
  <c r="C26" i="43" s="1"/>
  <c r="C30" i="77"/>
  <c r="E30" i="77" s="1"/>
  <c r="C27" i="77" s="1"/>
  <c r="E29" i="77"/>
  <c r="C26" i="77" s="1"/>
  <c r="I5" i="6"/>
  <c r="C34" i="84"/>
  <c r="F63" i="84"/>
  <c r="C62" i="84" s="1"/>
  <c r="J20" i="84"/>
  <c r="C49" i="21"/>
  <c r="F63" i="67"/>
  <c r="C62" i="67" s="1"/>
  <c r="C34" i="67"/>
  <c r="J20" i="67"/>
  <c r="C24" i="68"/>
  <c r="J20" i="15"/>
  <c r="F63" i="15"/>
  <c r="C62" i="15" s="1"/>
  <c r="C34" i="15"/>
  <c r="R16" i="1"/>
  <c r="C22" i="12"/>
  <c r="C30" i="12" s="1"/>
  <c r="C28" i="12" s="1"/>
  <c r="C33" i="68"/>
  <c r="I63" i="40"/>
  <c r="H65" i="40"/>
  <c r="C39" i="11"/>
  <c r="C43" i="11" s="1"/>
  <c r="C41" i="11" s="1"/>
  <c r="I70" i="39"/>
  <c r="E13" i="76"/>
  <c r="E11" i="76"/>
  <c r="E8" i="76"/>
  <c r="E7" i="76"/>
  <c r="B12" i="76"/>
  <c r="E6" i="76"/>
  <c r="E9" i="76"/>
  <c r="E10" i="76"/>
  <c r="Q49" i="84" l="1"/>
  <c r="C13" i="84"/>
  <c r="C56" i="84" s="1"/>
  <c r="C65" i="84" s="1"/>
  <c r="C57" i="84"/>
  <c r="C64" i="84" s="1"/>
  <c r="C36" i="84"/>
  <c r="J14" i="84"/>
  <c r="J22" i="84" s="1"/>
  <c r="C33" i="84"/>
  <c r="C31" i="84" s="1"/>
  <c r="J19" i="84"/>
  <c r="N71" i="83"/>
  <c r="U6" i="1" s="1"/>
  <c r="E2" i="76"/>
  <c r="B2" i="77"/>
  <c r="B2" i="43"/>
  <c r="B2" i="79"/>
  <c r="B2" i="80"/>
  <c r="B3" i="82"/>
  <c r="B2" i="78"/>
  <c r="B2" i="81"/>
  <c r="J17" i="84"/>
  <c r="C27" i="12"/>
  <c r="C25" i="12" s="1"/>
  <c r="C32" i="12" s="1"/>
  <c r="B2" i="12" s="1"/>
  <c r="B3" i="12" s="1"/>
  <c r="C39" i="68"/>
  <c r="C43" i="68" s="1"/>
  <c r="C42" i="68"/>
  <c r="J63" i="40"/>
  <c r="I65" i="40"/>
  <c r="C46" i="11"/>
  <c r="C45" i="11" s="1"/>
  <c r="C49" i="11" s="1"/>
  <c r="C51" i="11" s="1"/>
  <c r="C52" i="11" s="1"/>
  <c r="B2" i="11" s="1"/>
  <c r="B3" i="11" s="1"/>
  <c r="J70" i="39"/>
  <c r="B6" i="76"/>
  <c r="B13" i="76"/>
  <c r="B7" i="76"/>
  <c r="B9" i="76"/>
  <c r="B10" i="76"/>
  <c r="B11" i="76"/>
  <c r="F6" i="15"/>
  <c r="B8" i="76"/>
  <c r="Q70" i="84" l="1"/>
  <c r="C61" i="84"/>
  <c r="C59" i="84" s="1"/>
  <c r="C58" i="84" s="1"/>
  <c r="C67" i="84" s="1"/>
  <c r="C37" i="84"/>
  <c r="C75" i="84"/>
  <c r="J13" i="84"/>
  <c r="J23" i="84" s="1"/>
  <c r="J16" i="84" s="1"/>
  <c r="J25" i="84" s="1"/>
  <c r="C10" i="15"/>
  <c r="C6" i="15"/>
  <c r="B2" i="76"/>
  <c r="B3" i="78"/>
  <c r="B3" i="80"/>
  <c r="B3" i="81"/>
  <c r="B3" i="79"/>
  <c r="B3" i="77"/>
  <c r="B3" i="43"/>
  <c r="C30" i="84"/>
  <c r="C39" i="84" s="1"/>
  <c r="C41" i="68"/>
  <c r="C46" i="68"/>
  <c r="C45" i="68" s="1"/>
  <c r="K63" i="40"/>
  <c r="J65" i="40"/>
  <c r="K70" i="39"/>
  <c r="C56" i="11"/>
  <c r="C57" i="11" s="1"/>
  <c r="L51" i="84"/>
  <c r="C5" i="15" l="1"/>
  <c r="C38" i="15" s="1"/>
  <c r="C6" i="68"/>
  <c r="C7" i="68" s="1"/>
  <c r="C5" i="68" s="1"/>
  <c r="C23" i="68" s="1"/>
  <c r="B3" i="76"/>
  <c r="Q67" i="84"/>
  <c r="Q69" i="84"/>
  <c r="Q68" i="84" s="1"/>
  <c r="C80" i="84"/>
  <c r="C79" i="84" s="1"/>
  <c r="C49" i="68"/>
  <c r="C51" i="68" s="1"/>
  <c r="L63" i="40"/>
  <c r="K65" i="40"/>
  <c r="L70" i="39"/>
  <c r="E2" i="70"/>
  <c r="C34" i="69"/>
  <c r="C17" i="67"/>
  <c r="C32" i="15" l="1"/>
  <c r="C20" i="68"/>
  <c r="C28" i="68" s="1"/>
  <c r="C27" i="68" s="1"/>
  <c r="M63" i="40"/>
  <c r="L65" i="40"/>
  <c r="M70" i="39"/>
  <c r="C35" i="69"/>
  <c r="C38" i="69"/>
  <c r="D10" i="69"/>
  <c r="C25" i="68" l="1"/>
  <c r="C22" i="68" s="1"/>
  <c r="C31" i="68" s="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84"/>
  <c r="F69" i="84" l="1"/>
  <c r="C68" i="84" s="1"/>
  <c r="J29" i="84"/>
  <c r="C40" i="84"/>
  <c r="C66" i="15"/>
  <c r="C60" i="15"/>
  <c r="C59" i="15" s="1"/>
  <c r="AG6" i="1"/>
  <c r="C80" i="15"/>
  <c r="C79" i="15" s="1"/>
  <c r="C65" i="15"/>
  <c r="Q68" i="15"/>
  <c r="L57" i="15"/>
  <c r="L60" i="15" s="1"/>
  <c r="L51" i="15"/>
  <c r="F41" i="15"/>
  <c r="M27" i="67"/>
  <c r="M27" i="15"/>
  <c r="F41" i="67"/>
  <c r="Q67" i="15" l="1"/>
  <c r="Q65" i="84"/>
  <c r="Q75" i="84" s="1"/>
  <c r="Q56" i="84"/>
  <c r="Q62" i="84" s="1"/>
  <c r="C43" i="84"/>
  <c r="Q47" i="84"/>
  <c r="Q53" i="84" s="1"/>
  <c r="B2" i="84"/>
  <c r="B3" i="84" s="1"/>
  <c r="C83" i="84"/>
  <c r="C82" i="84" s="1"/>
  <c r="C71" i="84"/>
  <c r="C46" i="84"/>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E2" i="69"/>
  <c r="AO8" i="1"/>
  <c r="B8" i="70" l="1"/>
  <c r="B7" i="70"/>
  <c r="B6" i="70"/>
  <c r="C46" i="15"/>
  <c r="B2" i="69"/>
  <c r="B3" i="69" s="1"/>
  <c r="B2" i="68"/>
  <c r="B3" i="67"/>
  <c r="D2" i="21"/>
  <c r="E2" i="68"/>
  <c r="D2" i="34"/>
  <c r="D2" i="35"/>
  <c r="C19" i="9"/>
  <c r="D2" i="36"/>
  <c r="D2" i="33"/>
  <c r="F20" i="31"/>
  <c r="D2" i="37"/>
  <c r="B20" i="31" l="1"/>
  <c r="B2" i="36"/>
  <c r="B3" i="36" s="1"/>
  <c r="B2" i="35"/>
  <c r="B3" i="35" s="1"/>
  <c r="B2" i="37"/>
  <c r="B3" i="37" s="1"/>
  <c r="B2" i="34"/>
  <c r="B3" i="34" s="1"/>
  <c r="B2" i="21"/>
  <c r="B3" i="21" s="1"/>
  <c r="B2" i="70"/>
  <c r="B3" i="70" s="1"/>
  <c r="C102" i="9"/>
  <c r="C21" i="9"/>
  <c r="B3" i="68"/>
  <c r="D19" i="9"/>
  <c r="C20" i="9"/>
  <c r="D20" i="9"/>
  <c r="G19" i="9" l="1"/>
  <c r="D102" i="9"/>
  <c r="D22" i="9"/>
  <c r="D21" i="9"/>
  <c r="C103" i="9"/>
  <c r="D103" i="9"/>
  <c r="G20" i="9"/>
  <c r="M25" i="9" l="1"/>
  <c r="O72" i="83"/>
  <c r="C32" i="9"/>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5" i="9" l="1"/>
  <c r="M65" i="9" s="1"/>
  <c r="L67" i="9"/>
  <c r="M67" i="9" s="1"/>
  <c r="L63" i="9"/>
  <c r="M63" i="9" s="1"/>
  <c r="L68" i="9"/>
  <c r="M68" i="9" s="1"/>
  <c r="L64" i="9"/>
  <c r="M64" i="9" s="1"/>
  <c r="L66" i="9"/>
  <c r="M66"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<sst xmlns="http://schemas.openxmlformats.org/spreadsheetml/2006/main" count="9680" uniqueCount="3144">
  <si>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</si>
  <si>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</si>
  <si>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</si>
  <si>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</si>
  <si>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</si>
  <si>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</si>
  <si>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</si>
  <si>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</si>
  <si>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</si>
  <si>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</si>
  <si>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</si>
  <si>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</si>
  <si>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</si>
  <si>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</si>
  <si>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</si>
  <si>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</si>
  <si>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</si>
  <si>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</si>
  <si>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</si>
  <si>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</si>
  <si>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</si>
  <si>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</si>
  <si>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</si>
  <si>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</si>
  <si>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</si>
  <si>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</si>
  <si>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</si>
  <si>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</si>
  <si>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</si>
  <si>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</si>
  <si>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</si>
  <si>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</si>
  <si>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</si>
  <si>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</si>
  <si>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</si>
  <si>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</si>
  <si>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</si>
  <si>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</si>
  <si>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</si>
  <si>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</si>
  <si>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</si>
  <si>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</si>
  <si>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</si>
  <si>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</si>
  <si>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</si>
  <si>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</si>
  <si>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</si>
  <si>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</si>
  <si>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</si>
  <si>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</si>
  <si>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</si>
  <si>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</si>
  <si>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</si>
  <si>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</si>
  <si>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</si>
  <si>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</si>
  <si>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</si>
  <si>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</si>
  <si>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</si>
  <si>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</si>
  <si>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</si>
  <si>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</si>
  <si>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</si>
  <si>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</si>
  <si>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</si>
  <si>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</si>
  <si>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</si>
  <si>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</si>
  <si>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</si>
  <si>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</si>
  <si>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</si>
  <si>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</si>
  <si>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</si>
  <si>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</si>
  <si>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</si>
  <si>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</si>
  <si>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</si>
  <si>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</si>
  <si>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</si>
  <si>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</si>
  <si>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</si>
  <si>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</si>
  <si>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</si>
  <si>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</si>
  <si>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</si>
  <si>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</si>
  <si>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</si>
  <si>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</si>
  <si>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</si>
  <si>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</si>
  <si>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</si>
  <si>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</si>
  <si>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</si>
  <si>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</si>
  <si>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</si>
  <si>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</si>
  <si>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</si>
  <si>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</si>
  <si>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</si>
  <si>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</si>
  <si>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</si>
  <si>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</si>
  <si>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</si>
  <si>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</si>
  <si>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</si>
  <si>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</si>
  <si>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</si>
  <si>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</si>
  <si>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</si>
  <si>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</si>
  <si>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</si>
  <si>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</si>
  <si>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</si>
  <si>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</si>
  <si>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</si>
  <si>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</si>
  <si>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</si>
  <si>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</si>
  <si>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</si>
  <si>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</si>
  <si>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</si>
  <si>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</si>
  <si>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</si>
  <si>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</si>
  <si>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</si>
  <si>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</si>
  <si>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</si>
  <si>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</si>
  <si>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</si>
  <si>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</si>
  <si>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</si>
  <si>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</si>
  <si>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</si>
  <si>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</si>
  <si>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</si>
  <si>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</si>
  <si>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</si>
  <si>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</si>
  <si>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</si>
  <si>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</si>
  <si>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</si>
  <si>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</si>
  <si>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</si>
  <si>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</si>
  <si>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</si>
  <si>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</si>
  <si>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</si>
  <si>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</si>
  <si>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</si>
  <si>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</si>
  <si>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</si>
  <si>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</si>
  <si>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</si>
  <si>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</si>
  <si>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</si>
  <si>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</si>
  <si>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</si>
  <si>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</si>
  <si>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</si>
  <si>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</si>
  <si>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</si>
  <si>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</si>
  <si>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</si>
  <si>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</si>
  <si>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</si>
  <si>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</si>
  <si>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</si>
  <si>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</si>
  <si>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</si>
  <si>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</si>
  <si>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</si>
  <si>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</si>
  <si>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</si>
  <si>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</si>
  <si>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</si>
  <si>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</si>
  <si>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</si>
  <si>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</si>
  <si>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</si>
  <si>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</si>
  <si>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</si>
  <si>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</si>
  <si>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</si>
  <si>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</si>
  <si>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</si>
  <si>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</si>
  <si>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</si>
  <si>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</si>
  <si>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</si>
  <si>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</si>
  <si>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</si>
  <si>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</si>
  <si>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</si>
  <si>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</si>
  <si>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</si>
  <si>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</si>
  <si>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</si>
  <si>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</si>
  <si>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</si>
  <si>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</si>
  <si>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</si>
  <si>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</si>
  <si>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</si>
  <si>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</si>
  <si>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</si>
  <si>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</si>
  <si>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</si>
  <si>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</si>
  <si>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</si>
  <si>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</si>
  <si>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</si>
  <si>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</si>
  <si>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</si>
  <si>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</si>
  <si>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</si>
  <si>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</si>
  <si>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</si>
  <si>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</si>
  <si>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</si>
  <si>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</si>
  <si>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</si>
  <si>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</si>
  <si>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</si>
  <si>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</si>
  <si>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</si>
  <si>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</si>
  <si>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</si>
  <si>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</si>
  <si>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</si>
  <si>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</si>
  <si>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</si>
  <si>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</si>
  <si>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</si>
  <si>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</si>
  <si>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</si>
  <si>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</si>
  <si>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</si>
  <si>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</si>
  <si>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</si>
  <si>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</si>
  <si>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</si>
  <si>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</si>
  <si>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</si>
  <si>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</si>
  <si>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</si>
  <si>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</si>
  <si>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</si>
  <si>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</si>
  <si>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</si>
  <si>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</si>
  <si>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</si>
  <si>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</si>
  <si>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</si>
  <si>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</si>
  <si>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</si>
  <si>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</si>
  <si>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</si>
  <si>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</si>
  <si>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</si>
  <si>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</si>
  <si>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</si>
  <si>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</si>
  <si>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</si>
  <si>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</si>
  <si>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</si>
  <si>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</si>
  <si>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</si>
  <si>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</si>
  <si>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</si>
  <si>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</si>
  <si>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</si>
  <si>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</si>
  <si>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</si>
  <si>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</si>
  <si>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</si>
  <si>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</si>
  <si>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</si>
  <si>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</si>
  <si>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</si>
  <si>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</si>
  <si>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</si>
  <si>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</si>
  <si>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</si>
  <si>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</si>
  <si>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</si>
  <si>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</si>
  <si>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</si>
  <si>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</si>
  <si>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</si>
  <si>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</si>
  <si>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</si>
  <si>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</si>
  <si>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</si>
  <si>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</si>
  <si>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</si>
  <si>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</si>
  <si>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</si>
  <si>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</si>
  <si>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</si>
  <si>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</si>
  <si>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</si>
  <si>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</si>
  <si>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</si>
  <si>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</si>
  <si>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</si>
  <si>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</si>
  <si>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</si>
  <si>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</si>
  <si>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</si>
  <si>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</si>
  <si>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</si>
  <si>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</si>
  <si>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</si>
  <si>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</si>
  <si>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</si>
  <si>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</si>
  <si>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</si>
  <si>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</si>
  <si>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</si>
  <si>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</si>
  <si>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</si>
  <si>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</si>
  <si>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</si>
  <si>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</si>
  <si>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</si>
  <si>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</si>
  <si>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</si>
  <si>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</si>
  <si>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</si>
  <si>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</si>
  <si>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</si>
  <si>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</si>
  <si>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</si>
  <si>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</si>
  <si>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</si>
  <si>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</si>
  <si>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</si>
  <si>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</si>
  <si>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</si>
  <si>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</si>
  <si>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</si>
  <si>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</si>
  <si>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</si>
  <si>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</si>
  <si>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</si>
  <si>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</si>
  <si>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</si>
  <si>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</si>
  <si>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</si>
  <si>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</si>
  <si>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</si>
  <si>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</si>
  <si>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</si>
  <si>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</si>
  <si>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</si>
  <si>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</si>
  <si>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</si>
  <si>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</si>
  <si>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</si>
  <si>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</si>
  <si>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</si>
  <si>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</si>
  <si>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</si>
  <si>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</si>
  <si>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</si>
  <si>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</si>
  <si>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</si>
  <si>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</si>
  <si>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</si>
  <si>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</si>
  <si>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</si>
  <si>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</si>
  <si>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</si>
  <si>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</si>
  <si>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</si>
  <si>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</si>
  <si>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</si>
  <si>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</si>
  <si>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</si>
  <si>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</si>
  <si>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</si>
  <si>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</si>
  <si>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</si>
  <si>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</si>
  <si>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</si>
  <si>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</si>
  <si>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</si>
  <si>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</si>
  <si>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</si>
  <si>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</si>
  <si>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</si>
  <si>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</si>
  <si>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</si>
  <si>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</si>
  <si>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</si>
  <si>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</si>
  <si>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</si>
  <si>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</si>
  <si>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</si>
  <si>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</si>
  <si>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</si>
  <si>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</si>
  <si>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</si>
  <si>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</si>
  <si>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</si>
  <si>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</si>
  <si>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</si>
  <si>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</si>
  <si>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</si>
  <si>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</si>
  <si>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</si>
  <si>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</si>
  <si>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</si>
  <si>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</si>
  <si>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</si>
  <si>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</si>
  <si>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</si>
  <si>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</si>
  <si>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</si>
  <si>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</si>
  <si>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</si>
  <si>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</si>
  <si>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</si>
  <si>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</si>
  <si>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</si>
  <si>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</si>
  <si>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</si>
  <si>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</si>
  <si>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</si>
  <si>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</si>
  <si>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</si>
  <si>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</si>
  <si>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</si>
  <si>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</si>
  <si>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</si>
  <si>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</si>
  <si>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</si>
  <si>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</si>
  <si>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</si>
  <si>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</si>
  <si>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</si>
  <si>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</si>
  <si>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</si>
  <si>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</si>
  <si>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</si>
  <si>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</si>
  <si>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</si>
  <si>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</si>
  <si>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</si>
  <si>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</si>
  <si>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</si>
  <si>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</si>
  <si>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</si>
  <si>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</si>
  <si>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</si>
  <si>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</si>
  <si>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</si>
  <si>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</si>
  <si>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</si>
  <si>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</si>
  <si>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</si>
  <si>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</si>
  <si>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</si>
  <si>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</si>
  <si>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</si>
  <si>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</si>
  <si>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</si>
  <si>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</si>
  <si>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</si>
  <si>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</si>
  <si>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</si>
  <si>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</si>
  <si>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</si>
  <si>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</si>
  <si>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</si>
  <si>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</si>
  <si>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</si>
  <si>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</si>
  <si>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</si>
  <si>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</si>
  <si>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</si>
  <si>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</si>
  <si>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</si>
  <si>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</si>
  <si>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</si>
  <si>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</si>
  <si>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</si>
  <si>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</si>
  <si>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</si>
  <si>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</si>
  <si>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</si>
  <si>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</si>
  <si>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</si>
  <si>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</si>
  <si>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</si>
  <si>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</si>
  <si>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</si>
  <si>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</si>
  <si>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</si>
  <si>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</si>
  <si>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</si>
  <si>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</si>
  <si>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</si>
  <si>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</si>
  <si>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</si>
  <si>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</si>
  <si>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</si>
  <si>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</si>
  <si>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</si>
  <si>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</si>
  <si>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</si>
  <si>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</si>
  <si>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</si>
  <si>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</si>
  <si>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</si>
  <si>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</si>
  <si>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</si>
  <si>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</si>
  <si>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</si>
  <si>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</si>
  <si>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</si>
  <si>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</si>
  <si>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</si>
  <si>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</si>
  <si>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</si>
  <si>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</si>
  <si>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</si>
  <si>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</si>
  <si>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</si>
  <si>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</si>
  <si>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</si>
  <si>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</si>
  <si>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</si>
  <si>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</si>
  <si>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</si>
  <si>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</si>
  <si>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</si>
  <si>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</si>
  <si>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</si>
  <si>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</si>
  <si>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</si>
  <si>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</si>
  <si>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</si>
  <si>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</si>
  <si>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</si>
  <si>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</si>
  <si>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</si>
  <si>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</si>
  <si>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</si>
  <si>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</si>
  <si>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</si>
  <si>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</si>
  <si>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</si>
  <si>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</si>
  <si>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</si>
  <si>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</si>
  <si>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</si>
  <si>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</si>
  <si>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</si>
  <si>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</si>
  <si>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</si>
  <si>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</si>
  <si>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</si>
  <si>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</si>
  <si>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</si>
  <si>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</si>
  <si>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</si>
  <si>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</si>
  <si>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</si>
  <si>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</si>
  <si>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</si>
  <si>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</si>
  <si>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</si>
  <si>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</si>
  <si>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</si>
  <si>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</si>
  <si>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</si>
  <si>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</si>
  <si>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</si>
  <si>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</si>
  <si>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</si>
  <si>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</si>
  <si>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</si>
  <si>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</si>
  <si>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</si>
  <si>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</si>
  <si>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</si>
  <si>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</si>
  <si>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</si>
  <si>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</si>
  <si>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</si>
  <si>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</si>
  <si>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</si>
  <si>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</si>
  <si>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</si>
  <si>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</si>
  <si>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</si>
  <si>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</si>
  <si>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</si>
  <si>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</si>
  <si>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</si>
  <si>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</si>
  <si>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</si>
  <si>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</si>
  <si>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</si>
  <si>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</si>
  <si>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</si>
  <si>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</si>
  <si>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</si>
  <si>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</si>
  <si>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</si>
  <si>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</si>
  <si>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</si>
  <si>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</si>
  <si>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</si>
  <si>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</si>
  <si>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</si>
  <si>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</si>
  <si>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</si>
  <si>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</si>
  <si>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</si>
  <si>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</si>
  <si>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</si>
  <si>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</si>
  <si>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</si>
  <si>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</si>
  <si>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</si>
  <si>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</si>
  <si>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</si>
  <si>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</si>
  <si>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</si>
  <si>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</si>
  <si>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</si>
  <si>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</si>
  <si>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</si>
  <si>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</si>
  <si>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</si>
  <si>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</si>
  <si>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</si>
  <si>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</si>
  <si>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</si>
  <si>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</si>
  <si>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</si>
  <si>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</si>
  <si>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</si>
  <si>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</si>
  <si>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</si>
  <si>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</si>
  <si>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</si>
  <si>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</si>
  <si>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</si>
  <si>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</si>
  <si>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</si>
  <si>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</si>
  <si>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</si>
  <si>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</si>
  <si>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</si>
  <si>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</si>
  <si>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</si>
  <si>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</si>
  <si>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</si>
  <si>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</si>
  <si>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</si>
  <si>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</si>
  <si>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</si>
  <si>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</si>
  <si>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</si>
  <si>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</si>
  <si>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</si>
  <si>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</si>
  <si>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</si>
  <si>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</si>
  <si>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</si>
  <si>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</si>
  <si>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</si>
  <si>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</si>
  <si>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</si>
  <si>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</si>
  <si>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</si>
  <si>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</si>
  <si>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</si>
  <si>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</si>
  <si>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</si>
  <si>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</si>
  <si>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</si>
  <si>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</si>
  <si>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</si>
  <si>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</si>
  <si>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</si>
  <si>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</si>
  <si>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</si>
  <si>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</si>
  <si>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</si>
  <si>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</si>
  <si>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</si>
  <si>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</si>
  <si>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</si>
  <si>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</si>
  <si>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</si>
  <si>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</si>
  <si>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</si>
  <si>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</si>
  <si>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</si>
  <si>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</si>
  <si>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</si>
  <si>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</si>
  <si>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</si>
  <si>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</si>
  <si>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</si>
  <si>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</si>
  <si>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</si>
  <si>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</si>
  <si>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</si>
  <si>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</si>
  <si>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</si>
  <si>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</si>
  <si>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</si>
  <si>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</si>
  <si>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</si>
  <si>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</si>
  <si>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</si>
  <si>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</si>
  <si>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</si>
  <si>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</si>
  <si>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</si>
  <si>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</si>
  <si>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</si>
  <si>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</si>
  <si>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</si>
  <si>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</si>
  <si>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</si>
  <si>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</si>
  <si>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</si>
  <si>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</si>
  <si>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</si>
  <si>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</si>
  <si>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</si>
  <si>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</si>
  <si>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</si>
  <si>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</si>
  <si>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</si>
  <si>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</si>
  <si>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</si>
  <si>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</si>
  <si>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</si>
  <si>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</si>
  <si>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</si>
  <si>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</si>
  <si>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</si>
  <si>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</si>
  <si>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</si>
  <si>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</si>
  <si>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</si>
  <si>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</si>
  <si>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</si>
  <si>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</si>
  <si>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</si>
  <si>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</si>
  <si>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</si>
  <si>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</si>
  <si>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</si>
  <si>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</si>
  <si>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</si>
  <si>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</si>
  <si>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</si>
  <si>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</si>
  <si>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</si>
  <si>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</si>
  <si>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</si>
  <si>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</si>
  <si>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</si>
  <si>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</si>
  <si>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</si>
  <si>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</si>
  <si>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</si>
  <si>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</si>
  <si>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</si>
  <si>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</si>
  <si>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</si>
  <si>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</si>
  <si>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</si>
  <si>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</si>
  <si>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</si>
  <si>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</si>
  <si>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</si>
  <si>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</si>
  <si>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</si>
  <si>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</si>
  <si>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</si>
  <si>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</si>
  <si>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</si>
  <si>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</si>
  <si>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</si>
  <si>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</si>
  <si>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</si>
  <si>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</si>
  <si>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</si>
  <si>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</si>
  <si>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</si>
  <si>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</si>
  <si>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</si>
  <si>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</si>
  <si>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</si>
  <si>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</si>
  <si>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</si>
  <si>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</si>
  <si>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</si>
  <si>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</si>
  <si>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</si>
  <si>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</si>
  <si>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</si>
  <si>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</si>
  <si>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</si>
  <si>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</si>
  <si>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</si>
  <si>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</si>
  <si>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</si>
  <si>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</si>
  <si>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</si>
  <si>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</si>
  <si>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</si>
  <si>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</si>
  <si>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</si>
  <si>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</si>
  <si>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</si>
  <si>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</si>
  <si>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</si>
  <si>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</si>
  <si>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</si>
  <si>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</si>
  <si>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</si>
  <si>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</si>
  <si>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</si>
  <si>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</si>
  <si>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</si>
  <si>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</si>
  <si>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</si>
  <si>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</si>
  <si>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</si>
  <si>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</si>
  <si>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</si>
  <si>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</si>
  <si>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</si>
  <si>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</si>
  <si>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</si>
  <si>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</si>
  <si>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</si>
  <si>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</si>
  <si>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</si>
  <si>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</si>
  <si>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</si>
  <si>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</si>
  <si>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</si>
  <si>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</si>
  <si>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</si>
  <si>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</si>
  <si>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</si>
  <si>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</si>
  <si>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</si>
  <si>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</si>
  <si>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</si>
  <si>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</si>
  <si>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</si>
  <si>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</si>
  <si>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</si>
  <si>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</si>
  <si>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</si>
  <si>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</si>
  <si>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</si>
  <si>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</si>
  <si>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</si>
  <si>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</si>
  <si>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</si>
  <si>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</si>
  <si>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</si>
  <si>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</si>
  <si>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</si>
  <si>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</si>
  <si>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</si>
  <si>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</si>
  <si>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</si>
  <si>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</si>
  <si>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</si>
  <si>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</si>
  <si>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</si>
  <si>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</si>
  <si>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</si>
  <si>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</si>
  <si>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</si>
  <si>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</si>
  <si>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</si>
  <si>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</si>
  <si>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</si>
  <si>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</si>
  <si>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</si>
  <si>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</si>
  <si>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</si>
  <si>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</si>
  <si>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</si>
  <si>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</si>
  <si>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</si>
  <si>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</si>
  <si>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</si>
  <si>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</si>
  <si>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</si>
  <si>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</si>
  <si>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</si>
  <si>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</si>
  <si>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</si>
  <si>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</si>
  <si>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</si>
  <si>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</si>
  <si>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</si>
  <si>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</si>
  <si>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</si>
  <si>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</si>
  <si>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</si>
  <si>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</si>
  <si>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</si>
  <si>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</si>
  <si>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</si>
  <si>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</si>
  <si>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</si>
  <si>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</si>
  <si>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</si>
  <si>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</si>
  <si>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</si>
  <si>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</si>
  <si>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</si>
  <si>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</si>
  <si>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</si>
  <si>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</si>
  <si>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</si>
  <si>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</si>
  <si>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</si>
  <si>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</si>
  <si>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</si>
  <si>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</si>
  <si>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</si>
  <si>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</si>
  <si>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</si>
  <si>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</si>
  <si>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</si>
  <si>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</si>
  <si>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</si>
  <si>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</si>
  <si>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</si>
  <si>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</si>
  <si>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</si>
  <si>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</si>
  <si>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</si>
  <si>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</si>
  <si>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</si>
  <si>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</si>
  <si>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</si>
  <si>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</si>
  <si>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</si>
  <si>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</si>
  <si>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</si>
  <si>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</si>
  <si>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</si>
  <si>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</si>
  <si>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</si>
  <si>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</si>
  <si>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</si>
  <si>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</si>
  <si>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</si>
  <si>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</si>
  <si>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</si>
  <si>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</si>
  <si>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</si>
  <si>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</si>
  <si>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</si>
  <si>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</si>
  <si>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</si>
  <si>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</si>
  <si>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</si>
  <si>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</si>
  <si>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</si>
  <si>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</si>
  <si>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</si>
  <si>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</si>
  <si>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</si>
  <si>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</si>
  <si>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</si>
  <si>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</si>
  <si>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</si>
  <si>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</si>
  <si>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</si>
  <si>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</si>
  <si>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</si>
  <si>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</si>
  <si>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</si>
  <si>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</si>
  <si>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</si>
  <si>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</si>
  <si>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</si>
  <si>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</si>
  <si>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</si>
  <si>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</si>
  <si>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</si>
  <si>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</si>
  <si>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</si>
  <si>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</si>
  <si>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</si>
  <si>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</si>
  <si>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</si>
  <si>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</si>
  <si>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</si>
  <si>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</si>
  <si>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</si>
  <si>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</si>
  <si>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</si>
  <si>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</si>
  <si>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</si>
  <si>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</si>
  <si>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</si>
  <si>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</si>
  <si>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</si>
  <si>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</si>
  <si>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</si>
  <si>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</si>
  <si>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</si>
  <si>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</si>
  <si>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</si>
  <si>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</si>
  <si>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</si>
  <si>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</si>
  <si>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</si>
  <si>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</si>
  <si>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</si>
  <si>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</si>
  <si>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</si>
  <si>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</si>
  <si>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</si>
  <si>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</si>
  <si>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</si>
  <si>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</si>
  <si>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</si>
  <si>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</si>
  <si>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</si>
  <si>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</si>
  <si>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</si>
  <si>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</si>
  <si>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</si>
  <si>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</si>
  <si>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</si>
  <si>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</si>
  <si>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</si>
  <si>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</si>
  <si>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</si>
  <si>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</si>
  <si>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</si>
  <si>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</si>
  <si>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</si>
  <si>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</si>
  <si>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</si>
  <si>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</si>
  <si>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</si>
  <si>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</si>
  <si>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</si>
  <si>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</si>
  <si>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</si>
  <si>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</si>
  <si>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</si>
  <si>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</si>
  <si>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</si>
  <si>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</si>
  <si>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</si>
  <si>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</si>
  <si>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</si>
  <si>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</si>
  <si>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</si>
  <si>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</si>
  <si>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</si>
  <si>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</si>
  <si>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</si>
  <si>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</si>
  <si>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</si>
  <si>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</si>
  <si>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</si>
  <si>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</si>
  <si>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</si>
  <si>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</si>
  <si>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</si>
  <si>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</si>
  <si>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</si>
  <si>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</si>
  <si>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</si>
  <si>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</si>
  <si>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</si>
  <si>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</si>
  <si>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</si>
  <si>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</si>
  <si>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</si>
  <si>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</si>
  <si>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</si>
  <si>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</si>
  <si>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</si>
  <si>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</si>
  <si>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</si>
  <si>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</si>
  <si>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</si>
  <si>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</si>
  <si>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</si>
  <si>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</si>
  <si>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</si>
  <si>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</si>
  <si>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</si>
  <si>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</si>
  <si>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</si>
  <si>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</si>
  <si>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</si>
  <si>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</si>
  <si>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</si>
  <si>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</si>
  <si>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</si>
  <si>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</si>
  <si>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</si>
  <si>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</si>
  <si>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</si>
  <si>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</si>
  <si>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</si>
  <si>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</si>
  <si>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</si>
  <si>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</si>
  <si>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</si>
  <si>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</si>
  <si>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</si>
  <si>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</si>
  <si>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</si>
  <si>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</si>
  <si>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</si>
  <si>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</si>
  <si>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</si>
  <si>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</si>
  <si>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</si>
  <si>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</si>
  <si>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</si>
  <si>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</si>
  <si>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</si>
  <si>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</si>
  <si>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</si>
  <si>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</si>
  <si>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</si>
  <si>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</si>
  <si>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</si>
  <si>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</si>
  <si>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</si>
  <si>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</si>
  <si>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</si>
  <si>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</si>
  <si>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</si>
  <si>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</si>
  <si>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</si>
  <si>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</si>
  <si>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</si>
  <si>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</si>
  <si>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</si>
  <si>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</si>
  <si>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</si>
  <si>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</si>
  <si>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</si>
  <si>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</si>
  <si>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</si>
  <si>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</si>
  <si>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</si>
  <si>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</si>
  <si>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</si>
  <si>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</si>
  <si>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</si>
  <si>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</si>
  <si>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</si>
  <si>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</si>
  <si>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</si>
  <si>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</si>
  <si>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</si>
  <si>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</si>
  <si>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</si>
  <si>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</si>
  <si>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</si>
  <si>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</si>
  <si>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</si>
  <si>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</si>
  <si>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</si>
  <si>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</si>
  <si>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</si>
  <si>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</si>
  <si>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</si>
  <si>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</si>
  <si>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</si>
  <si>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</si>
  <si>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</si>
  <si>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</si>
  <si>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</si>
  <si>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</si>
  <si>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</si>
  <si>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</si>
  <si>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</si>
  <si>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</si>
  <si>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</si>
  <si>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</si>
  <si>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</si>
  <si>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</si>
  <si>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</si>
  <si>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</si>
  <si>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</si>
  <si>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</si>
  <si>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</si>
  <si>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</si>
  <si>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</si>
  <si>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</si>
  <si>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</si>
  <si>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</si>
  <si>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</si>
  <si>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</si>
  <si>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</si>
  <si>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</si>
  <si>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</si>
  <si>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</si>
  <si>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</si>
  <si>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</si>
  <si>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</si>
  <si>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</si>
  <si>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</si>
  <si>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</si>
  <si>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</si>
  <si>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</si>
  <si>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</si>
  <si>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</si>
  <si>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</si>
  <si>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</si>
  <si>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</si>
  <si>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</si>
  <si>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</si>
  <si>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</si>
  <si>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</si>
  <si>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</si>
  <si>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</si>
  <si>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</si>
  <si>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</si>
  <si>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</si>
  <si>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</si>
  <si>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</si>
  <si>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</si>
  <si>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</si>
  <si>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</si>
  <si>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</si>
  <si>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</si>
  <si>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</si>
  <si>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</si>
  <si>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</si>
  <si>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</si>
  <si>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</si>
  <si>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</si>
  <si>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</si>
  <si>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</si>
  <si>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</si>
  <si>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</si>
  <si>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</si>
  <si>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</si>
  <si>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</si>
  <si>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</si>
  <si>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</si>
  <si>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</si>
  <si>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</si>
  <si>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</si>
  <si>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</si>
  <si>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</si>
  <si>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</si>
  <si>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</si>
  <si>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</si>
  <si>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</si>
  <si>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</si>
  <si>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</si>
  <si>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</si>
  <si>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</si>
  <si>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</si>
  <si>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</si>
  <si>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</si>
  <si>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</si>
  <si>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</si>
  <si>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</si>
  <si>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</si>
  <si>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</si>
  <si>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</si>
  <si>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</si>
  <si>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</si>
  <si>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</si>
  <si>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</si>
  <si>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</si>
  <si>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</si>
  <si>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</si>
  <si>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</si>
  <si>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</si>
  <si>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</si>
  <si>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</si>
  <si>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</si>
  <si>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</si>
  <si>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</si>
  <si>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</si>
  <si>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</si>
  <si>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</si>
  <si>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</si>
  <si>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</si>
  <si>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</si>
  <si>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</si>
  <si>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</si>
  <si>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</si>
  <si>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</si>
  <si>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</si>
  <si>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</si>
  <si>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</si>
  <si>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</si>
  <si>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</si>
  <si>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</si>
  <si>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</si>
  <si>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</si>
  <si>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</si>
  <si>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</si>
  <si>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</si>
  <si>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</si>
  <si>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</si>
  <si>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</si>
  <si>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</si>
  <si>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</si>
  <si>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</si>
  <si>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</si>
  <si>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</si>
  <si>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</si>
  <si>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</si>
  <si>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</si>
  <si>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</si>
  <si>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</si>
  <si>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</si>
  <si>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</si>
  <si>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</si>
  <si>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</si>
  <si>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</si>
  <si>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</si>
  <si>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</si>
  <si>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</si>
  <si>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</si>
  <si>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</si>
  <si>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</si>
  <si>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</si>
  <si>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</si>
  <si>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</si>
  <si>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</si>
  <si>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</si>
  <si>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</si>
  <si>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</si>
  <si>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</si>
  <si>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</si>
  <si>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</si>
  <si>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</si>
  <si>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</si>
  <si>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</si>
  <si>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</si>
  <si>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</si>
  <si>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</si>
  <si>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</si>
  <si>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</si>
  <si>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</si>
  <si>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</si>
  <si>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</si>
  <si>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</si>
  <si>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</si>
  <si>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</si>
  <si>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</si>
  <si>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</si>
  <si>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</si>
  <si>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</si>
  <si>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</si>
  <si>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</si>
  <si>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</si>
  <si>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</si>
  <si>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</si>
  <si>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</si>
  <si>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</si>
  <si>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</si>
  <si>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</si>
  <si>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</si>
  <si>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</si>
  <si>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</si>
  <si>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</si>
  <si>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</si>
  <si>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</si>
  <si>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</si>
  <si>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</si>
  <si>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</si>
  <si>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</si>
  <si>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</si>
  <si>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</si>
  <si>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</si>
  <si>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</si>
  <si>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</si>
  <si>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</si>
  <si>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</si>
  <si>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</si>
  <si>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</si>
  <si>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</si>
  <si>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</si>
  <si>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</si>
  <si>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</si>
  <si>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</si>
  <si>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</si>
  <si>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</si>
  <si>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</si>
  <si>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</si>
  <si>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</si>
  <si>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</si>
  <si>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</si>
  <si>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</si>
  <si>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</si>
  <si>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</si>
  <si>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</si>
  <si>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</si>
  <si>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</si>
  <si>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</si>
  <si>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</si>
  <si>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</si>
  <si>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</si>
  <si>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</si>
  <si>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</si>
  <si>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</si>
  <si>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</si>
  <si>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</si>
  <si>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</si>
  <si>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</si>
  <si>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</si>
  <si>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</si>
  <si>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</si>
  <si>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</si>
  <si>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</si>
  <si>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</si>
  <si>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</si>
  <si>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</si>
  <si>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</si>
  <si>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</si>
  <si>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</si>
  <si>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</si>
  <si>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</si>
  <si>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</si>
  <si>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</si>
  <si>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</si>
  <si>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</si>
  <si>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</si>
  <si>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</si>
  <si>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</si>
  <si>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</si>
  <si>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</si>
  <si>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</si>
  <si>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</si>
  <si>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</si>
  <si>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</si>
  <si>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</si>
  <si>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</si>
  <si>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</si>
  <si>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</si>
  <si>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</si>
  <si>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</si>
  <si>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</si>
  <si>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</si>
  <si>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</si>
  <si>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</si>
  <si>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</si>
  <si>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</si>
  <si>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</si>
  <si>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</si>
  <si>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</si>
  <si>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</si>
  <si>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</si>
  <si>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</si>
  <si>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</si>
  <si>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</si>
  <si>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</si>
  <si>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</si>
  <si>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</si>
  <si>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</si>
  <si>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</si>
  <si>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</si>
  <si>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</si>
  <si>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</si>
  <si>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</si>
  <si>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</si>
  <si>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</si>
  <si>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</si>
  <si>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</si>
  <si>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</si>
  <si>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</si>
  <si>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</si>
  <si>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</si>
  <si>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</si>
  <si>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</si>
  <si>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</si>
  <si>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</si>
  <si>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</si>
  <si>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</si>
  <si>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</si>
  <si>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</si>
  <si>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</si>
  <si>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</si>
  <si>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</si>
  <si>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</si>
  <si>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</si>
  <si>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</si>
  <si>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</si>
  <si>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</si>
  <si>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</si>
  <si>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</si>
  <si>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</si>
  <si>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</si>
  <si>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</si>
  <si>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</si>
  <si>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</si>
  <si>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</si>
  <si>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</si>
  <si>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</si>
  <si>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</si>
  <si>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</si>
  <si>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</si>
  <si>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</si>
  <si>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</si>
  <si>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</si>
  <si>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</si>
  <si>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</si>
  <si>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</si>
  <si>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</si>
  <si>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</si>
  <si>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</si>
  <si>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</si>
  <si>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</si>
  <si>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</si>
  <si>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</si>
  <si>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</si>
  <si>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</si>
  <si>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</si>
  <si>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</si>
  <si>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</si>
  <si>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</si>
  <si>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</si>
  <si>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</si>
  <si>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</si>
  <si>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</si>
  <si>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</si>
  <si>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</si>
  <si>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</si>
  <si>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</si>
  <si>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</si>
  <si>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</si>
  <si>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</si>
  <si>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</si>
  <si>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</si>
  <si>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</si>
  <si>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</si>
  <si>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</si>
  <si>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</si>
  <si>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</si>
  <si>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</si>
  <si>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</si>
  <si>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</si>
  <si>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</si>
  <si>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</si>
  <si>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</si>
  <si>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</si>
  <si>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</si>
  <si>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</si>
  <si>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</si>
  <si>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</si>
  <si>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</si>
  <si>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</si>
  <si>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</si>
  <si>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</si>
  <si>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</si>
  <si>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</si>
  <si>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</si>
  <si>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</si>
  <si>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</si>
  <si>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</si>
  <si>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</si>
  <si>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</si>
  <si>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</si>
  <si>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</si>
  <si>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</si>
  <si>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</si>
  <si>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</si>
  <si>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</si>
  <si>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</si>
  <si>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</si>
  <si>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</si>
  <si>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</si>
  <si>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</si>
  <si>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</si>
  <si>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</si>
  <si>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</si>
  <si>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</si>
  <si>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</si>
  <si>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</si>
  <si>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</si>
  <si>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</si>
  <si>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</si>
  <si>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</si>
  <si>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</si>
  <si>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</si>
  <si>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</si>
  <si>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</si>
  <si>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</si>
  <si>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</si>
  <si>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</si>
  <si>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</si>
  <si>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</si>
  <si>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</si>
  <si>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</si>
  <si>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</si>
  <si>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</si>
  <si>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</si>
  <si>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</si>
  <si>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</si>
  <si>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</si>
  <si>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</si>
  <si>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</si>
  <si>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</si>
  <si>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</si>
  <si>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</si>
  <si>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</si>
  <si>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</si>
  <si>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</si>
  <si>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</si>
  <si>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</si>
  <si>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</si>
  <si>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</si>
  <si>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</si>
  <si>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</si>
  <si>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</si>
  <si>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</si>
  <si>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</si>
  <si>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</si>
  <si>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</si>
  <si>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</si>
  <si>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</si>
  <si>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</si>
  <si>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</si>
  <si>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</si>
  <si>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</si>
  <si>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</si>
  <si>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</si>
  <si>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</si>
  <si>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</si>
  <si>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</si>
  <si>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</si>
  <si>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</si>
  <si>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</si>
  <si>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</si>
  <si>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</si>
  <si>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</si>
  <si>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</si>
  <si>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</si>
  <si>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</si>
  <si>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</si>
  <si>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</si>
  <si>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</si>
  <si>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</si>
  <si>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</si>
  <si>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</si>
  <si>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</si>
  <si>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</si>
  <si>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</si>
  <si>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</si>
  <si>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</si>
  <si>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</si>
  <si>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</si>
  <si>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</si>
  <si>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</si>
  <si>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</si>
  <si>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</si>
  <si>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</si>
  <si>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</si>
  <si>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</si>
  <si>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</si>
  <si>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</si>
  <si>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</si>
  <si>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</si>
  <si>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</si>
  <si>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</si>
  <si>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</si>
  <si>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</si>
  <si>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</si>
  <si>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</si>
  <si>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</si>
  <si>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</si>
  <si>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</si>
  <si>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</si>
  <si>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</si>
  <si>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</si>
  <si>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</si>
  <si>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</si>
  <si>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</si>
  <si>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</si>
  <si>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</si>
  <si>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</si>
  <si>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</si>
  <si>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</si>
  <si>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</si>
  <si>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</si>
  <si>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</si>
  <si>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</si>
  <si>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</si>
  <si>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</si>
  <si>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</si>
  <si>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</si>
  <si>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</si>
  <si>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</si>
  <si>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</si>
  <si>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</si>
  <si>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</si>
  <si>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</si>
  <si>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</si>
  <si>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</si>
  <si>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</si>
  <si>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</si>
  <si>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</si>
  <si>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</si>
  <si>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</si>
  <si>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</si>
  <si>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</si>
  <si>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</si>
  <si>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</si>
  <si>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</si>
  <si>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</si>
  <si>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</si>
  <si>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</si>
  <si>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</si>
  <si>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</si>
  <si>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</si>
  <si>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</si>
  <si>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</si>
  <si>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</si>
  <si>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</si>
  <si>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</si>
  <si>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</si>
  <si>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</si>
  <si>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</si>
  <si>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</si>
  <si>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</si>
  <si>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</si>
  <si>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</si>
  <si>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</si>
  <si>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</si>
  <si>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</si>
  <si>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</si>
  <si>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</si>
  <si>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</si>
  <si>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</si>
  <si>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</si>
  <si>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</si>
  <si>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</si>
  <si>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</si>
  <si>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</si>
  <si>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</si>
  <si>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</si>
  <si>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</si>
  <si>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</si>
  <si>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</si>
  <si>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</si>
  <si>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</si>
  <si>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</si>
  <si>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</si>
  <si>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</si>
  <si>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</si>
  <si>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</si>
  <si>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</si>
  <si>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</si>
  <si>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</si>
  <si>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</si>
  <si>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</si>
  <si>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</si>
  <si>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</si>
  <si>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</si>
  <si>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</si>
  <si>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</si>
  <si>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</si>
  <si>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</si>
  <si>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</si>
  <si>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</si>
  <si>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</si>
  <si>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</si>
  <si>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</si>
  <si>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</si>
  <si>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</si>
  <si>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</si>
  <si>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</si>
  <si>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</si>
  <si>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</si>
  <si>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</si>
  <si>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</si>
  <si>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</si>
  <si>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</si>
  <si>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</si>
  <si>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</si>
  <si>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</si>
  <si>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</si>
  <si>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</si>
  <si>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</si>
  <si>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</si>
  <si>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</si>
  <si>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</si>
  <si>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</si>
  <si>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</si>
  <si>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</si>
  <si>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</si>
  <si>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</si>
  <si>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</si>
  <si>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</si>
  <si>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</si>
  <si>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</si>
  <si>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</si>
  <si>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</si>
  <si>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</si>
  <si>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</si>
  <si>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</si>
  <si>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</si>
  <si>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</si>
  <si>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</si>
  <si>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</si>
  <si>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</si>
  <si>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</si>
  <si>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</si>
  <si>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</si>
  <si>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</si>
  <si>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</si>
  <si>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</si>
  <si>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</si>
  <si>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</si>
  <si>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</si>
  <si>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</si>
  <si>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</si>
  <si>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</si>
  <si>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</si>
  <si>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</si>
  <si>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</si>
  <si>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</si>
  <si>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</si>
  <si>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</si>
  <si>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</si>
  <si>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</si>
  <si>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</si>
  <si>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</si>
  <si>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</si>
  <si>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</si>
  <si>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</si>
  <si>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</si>
  <si>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</si>
  <si>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</si>
  <si>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</si>
  <si>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</si>
  <si>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</si>
  <si>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</si>
  <si>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</si>
  <si>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</si>
  <si>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</si>
  <si>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</si>
  <si>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</si>
  <si>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</si>
  <si>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</si>
  <si>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</si>
  <si>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</si>
  <si>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</si>
  <si>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</si>
  <si>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</si>
  <si>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</si>
  <si>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</si>
  <si>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</si>
  <si>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</si>
  <si>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</si>
  <si>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</si>
  <si>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</si>
  <si>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</si>
  <si>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</si>
  <si>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</si>
  <si>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</si>
  <si>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</si>
  <si>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</si>
  <si>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</si>
  <si>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</si>
  <si>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</si>
  <si>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</si>
  <si>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</si>
  <si>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</si>
  <si>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</si>
  <si>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</si>
  <si>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</si>
  <si>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</si>
  <si>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</si>
  <si>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</si>
  <si>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</si>
  <si>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</si>
  <si>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</si>
  <si>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</si>
  <si>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</si>
  <si>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</si>
  <si>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</si>
  <si>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</si>
  <si>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</si>
  <si>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</si>
  <si>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</si>
  <si>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</si>
  <si>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</si>
  <si>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</si>
  <si>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</si>
  <si>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</si>
  <si>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</si>
  <si>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</si>
  <si>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</si>
  <si>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</si>
  <si>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</si>
  <si>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</si>
  <si>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</si>
  <si>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</si>
  <si>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</si>
  <si>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</si>
  <si>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</si>
  <si>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</si>
  <si>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</si>
  <si>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</si>
  <si>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</si>
  <si>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</si>
  <si>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</si>
  <si>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</si>
  <si>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</si>
  <si>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</si>
  <si>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</si>
  <si>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</si>
  <si>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</si>
  <si>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</si>
  <si>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</si>
  <si>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</si>
  <si>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</si>
  <si>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</si>
  <si>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</si>
  <si>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</si>
  <si>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</si>
  <si>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</si>
  <si>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</si>
  <si>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</si>
  <si>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</si>
  <si>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</si>
  <si>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</si>
  <si>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</si>
  <si>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</si>
  <si>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</si>
  <si>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</si>
  <si>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</si>
  <si>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</si>
  <si>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</si>
  <si>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</si>
  <si>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</si>
  <si>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</si>
  <si>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</si>
  <si>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</si>
  <si>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</si>
  <si>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</si>
  <si>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</si>
  <si>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</si>
  <si>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</si>
  <si>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</si>
  <si>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</si>
  <si>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</si>
  <si>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</si>
  <si>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</si>
  <si>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</si>
  <si>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</si>
  <si>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</si>
  <si>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</si>
  <si>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</si>
  <si>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</si>
  <si>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</si>
  <si>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</si>
  <si>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</si>
  <si>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</si>
  <si>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</si>
  <si>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</si>
  <si>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</si>
  <si>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</si>
  <si>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</si>
  <si>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</si>
  <si>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</si>
  <si>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</si>
  <si>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</si>
  <si>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</si>
  <si>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</si>
  <si>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</si>
  <si>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</si>
  <si>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</si>
  <si>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</si>
  <si>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</si>
  <si>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</si>
  <si>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</si>
  <si>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</si>
  <si>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</si>
  <si>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</si>
  <si>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</si>
  <si>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</si>
  <si>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</si>
  <si>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</si>
  <si>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</si>
  <si>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</si>
  <si>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</si>
  <si>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</si>
  <si>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</si>
  <si>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</si>
  <si>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</si>
  <si>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</si>
  <si>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</si>
  <si>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</si>
  <si>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</si>
  <si>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</si>
  <si>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</si>
  <si>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</si>
  <si>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</si>
  <si>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</si>
  <si>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</si>
  <si>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</si>
  <si>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</si>
  <si>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</si>
  <si>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</si>
  <si>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</si>
  <si>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</si>
  <si>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</si>
  <si>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</si>
  <si>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</si>
  <si>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</si>
  <si>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</si>
  <si>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</si>
  <si>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</si>
  <si>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</si>
  <si>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</si>
  <si>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</si>
  <si>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</si>
  <si>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</si>
  <si>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</si>
  <si>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</si>
  <si>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</si>
  <si>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</si>
  <si>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</si>
  <si>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</si>
  <si>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</si>
  <si>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</si>
  <si>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</si>
  <si>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</si>
  <si>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</si>
  <si>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</si>
  <si>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</si>
  <si>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</si>
  <si>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</si>
  <si>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</si>
  <si>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</si>
  <si>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</si>
  <si>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</si>
  <si>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</si>
  <si>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</si>
  <si>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</si>
  <si>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</si>
  <si>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</si>
  <si>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</si>
  <si>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</si>
  <si>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</si>
  <si>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</si>
  <si>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</si>
  <si>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</si>
  <si>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</si>
  <si>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</si>
  <si>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</si>
  <si>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</si>
  <si>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</si>
  <si>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</si>
  <si>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</si>
  <si>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</si>
  <si>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</si>
  <si>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</si>
  <si>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</si>
  <si>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</si>
  <si>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</si>
  <si>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</si>
  <si>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</si>
  <si>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</si>
  <si>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</si>
  <si>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</si>
  <si>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</si>
  <si>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</si>
  <si>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</si>
  <si>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</si>
  <si>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</si>
  <si>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</si>
  <si>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</si>
  <si>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</si>
  <si>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</si>
  <si>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</si>
  <si>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</si>
  <si>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</si>
  <si>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</si>
  <si>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</si>
  <si>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</si>
  <si>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</si>
  <si>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</si>
  <si>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</si>
  <si>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</si>
  <si>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</si>
  <si>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</si>
  <si>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</si>
  <si>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</si>
  <si>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</si>
  <si>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</si>
  <si>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</si>
  <si>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</si>
  <si>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</si>
  <si>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</si>
  <si>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</si>
  <si>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</si>
  <si>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</si>
  <si>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</si>
  <si>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</si>
  <si>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</si>
  <si>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</si>
  <si>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</si>
  <si>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</si>
  <si>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</si>
  <si>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</si>
  <si>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</si>
  <si>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</si>
  <si>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</si>
  <si>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</si>
  <si>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</si>
  <si>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</si>
  <si>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</si>
  <si>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</si>
  <si>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</si>
  <si>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</si>
  <si>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</si>
  <si>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</si>
  <si>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</si>
  <si>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</si>
  <si>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</si>
  <si>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</si>
  <si>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</si>
  <si>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</si>
  <si>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</si>
  <si>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</si>
  <si>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</si>
  <si>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</si>
  <si>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</si>
  <si>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</si>
  <si>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</si>
  <si>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</si>
  <si>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</si>
  <si>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</si>
  <si>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</si>
  <si>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</si>
  <si>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</si>
  <si>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</si>
  <si>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</si>
  <si>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</si>
  <si>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</si>
  <si>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</si>
  <si>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</si>
  <si>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</si>
  <si>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</si>
  <si>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</si>
  <si>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</si>
  <si>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</si>
  <si>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</si>
  <si>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</si>
  <si>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</si>
  <si>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</si>
  <si>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</si>
  <si>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</si>
  <si>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</si>
  <si>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</si>
  <si>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</si>
  <si>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</si>
  <si>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</si>
  <si>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</si>
  <si>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</si>
  <si>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</si>
  <si>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</si>
  <si>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</si>
  <si>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</si>
  <si>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</si>
  <si>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</si>
  <si>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</si>
  <si>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</si>
  <si>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</si>
  <si>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</si>
  <si>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</si>
  <si>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</si>
  <si>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</si>
  <si>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</si>
  <si>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</si>
  <si>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</si>
  <si>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</si>
  <si>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</si>
  <si>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</si>
  <si>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</si>
  <si>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</si>
  <si>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</si>
  <si>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</si>
  <si>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</si>
  <si>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</si>
  <si>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</si>
  <si>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</si>
  <si>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</si>
  <si>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</si>
  <si>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</si>
  <si>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</si>
  <si>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</si>
  <si>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</si>
  <si>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</si>
  <si>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</si>
  <si>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</si>
  <si>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</si>
  <si>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</si>
  <si>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</si>
  <si>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</si>
  <si>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</si>
  <si>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</si>
  <si>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</si>
  <si>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</si>
  <si>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</si>
  <si>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</si>
  <si>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</si>
  <si>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</si>
  <si>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</si>
  <si>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</si>
  <si>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</si>
  <si>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</si>
  <si>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</si>
  <si>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</si>
  <si>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</si>
  <si>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</si>
  <si>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</si>
  <si>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</si>
  <si>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</si>
  <si>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</si>
  <si>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</si>
  <si>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</si>
  <si>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</si>
  <si>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</si>
  <si>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</si>
  <si>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</si>
  <si>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</si>
  <si>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</si>
  <si>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</si>
  <si>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</si>
  <si>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</si>
  <si>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</si>
  <si>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</si>
  <si>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</si>
  <si>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</si>
  <si>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</si>
  <si>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</si>
  <si>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</si>
  <si>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</si>
  <si>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</si>
  <si>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</si>
  <si>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</si>
  <si>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</si>
  <si>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</si>
  <si>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</si>
  <si>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</si>
  <si>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</si>
  <si>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</si>
  <si>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</si>
  <si>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</si>
  <si>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</si>
  <si>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</si>
  <si>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</si>
  <si>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</si>
  <si>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</si>
  <si>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</si>
  <si>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</si>
  <si>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</si>
  <si>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</si>
  <si>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</si>
  <si>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</si>
  <si>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</si>
  <si>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</si>
  <si>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</si>
  <si>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</si>
  <si>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</si>
  <si>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</si>
  <si>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</si>
  <si>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</si>
  <si>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</si>
  <si>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</si>
  <si>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</si>
  <si>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</si>
  <si>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</si>
  <si>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</si>
  <si>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</si>
  <si>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</si>
  <si>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</si>
  <si>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</si>
  <si>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</si>
  <si>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</si>
  <si>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</si>
  <si>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</si>
  <si>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</si>
  <si>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</si>
  <si>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</si>
  <si>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</si>
  <si>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</si>
  <si>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</si>
  <si>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</si>
  <si>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</si>
  <si>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</si>
  <si>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</si>
  <si>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</si>
  <si>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</si>
  <si>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</si>
  <si>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</si>
  <si>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</si>
  <si>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</si>
  <si>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</si>
  <si>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</si>
  <si>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</si>
  <si>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</si>
  <si>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</si>
  <si>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</si>
  <si>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</si>
  <si>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</si>
  <si>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</si>
  <si>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</si>
  <si>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</si>
  <si>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</si>
  <si>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</si>
  <si>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</si>
  <si>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</si>
  <si>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</si>
  <si>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</si>
  <si>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</si>
  <si>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</si>
  <si>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</si>
  <si>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</si>
  <si>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</si>
  <si>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</si>
  <si>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</si>
  <si>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</si>
  <si>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</si>
  <si>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</si>
  <si>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</si>
  <si>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</si>
  <si>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</si>
  <si>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</si>
  <si>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</si>
  <si>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</si>
  <si>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</si>
  <si>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</si>
  <si>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</si>
  <si>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</si>
  <si>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</si>
  <si>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</si>
  <si>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</si>
  <si>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</si>
  <si>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</si>
  <si>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</si>
  <si>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</si>
  <si>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</si>
  <si>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</si>
  <si>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</si>
  <si>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</si>
  <si>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</si>
  <si>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</si>
  <si>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</si>
  <si>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</si>
  <si>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</si>
  <si>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</si>
  <si>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</si>
  <si>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</si>
  <si>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</si>
  <si>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</si>
  <si>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</si>
  <si>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</si>
  <si>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</si>
  <si>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</si>
  <si>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</si>
  <si>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</si>
  <si>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</si>
  <si>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</si>
  <si>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</si>
  <si>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</si>
  <si>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</si>
  <si>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</si>
  <si>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</si>
  <si>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</si>
  <si>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</si>
  <si>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</si>
  <si>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</si>
  <si>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</si>
  <si>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</si>
  <si>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</si>
  <si>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</si>
  <si>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</si>
  <si>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</si>
  <si>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</si>
  <si>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</si>
  <si>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</si>
  <si>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</si>
  <si>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</si>
  <si>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</si>
  <si>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</si>
  <si>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</si>
  <si>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</si>
  <si>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</si>
  <si>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</si>
  <si>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</si>
  <si>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</si>
  <si>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</si>
  <si>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</si>
  <si>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</si>
  <si>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</si>
  <si>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</si>
  <si>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</si>
  <si>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</si>
  <si>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</si>
  <si>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</si>
  <si>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</si>
  <si>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</si>
  <si>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</si>
  <si>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</si>
  <si>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</si>
  <si>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</si>
  <si>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</si>
  <si>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</si>
  <si>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</si>
  <si>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</si>
  <si>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</si>
  <si>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</si>
  <si>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</si>
  <si>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</si>
  <si>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</si>
  <si>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</si>
  <si>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</si>
  <si>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</si>
  <si>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</si>
  <si>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</si>
  <si>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</si>
  <si>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</si>
  <si>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</si>
  <si>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</si>
  <si>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</si>
  <si>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</si>
  <si>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</si>
  <si>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</si>
  <si>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</si>
  <si>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</si>
  <si>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</si>
  <si>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</si>
  <si>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</si>
  <si>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</si>
  <si>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</si>
  <si>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</si>
  <si>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</si>
  <si>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</si>
  <si>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</si>
  <si>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</si>
  <si>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</si>
  <si>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</si>
  <si>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</si>
  <si>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</si>
  <si>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</si>
  <si>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</si>
  <si>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</si>
  <si>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</si>
  <si>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</si>
  <si>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</si>
  <si>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</si>
  <si>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</si>
  <si>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</si>
  <si>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</si>
  <si>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</si>
  <si>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</si>
  <si>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</si>
  <si>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</si>
  <si>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</si>
  <si>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</si>
  <si>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</si>
  <si>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</si>
  <si>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</si>
  <si>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</si>
  <si>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</si>
  <si>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</si>
  <si>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</si>
  <si>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</si>
  <si>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</si>
  <si>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</si>
  <si>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</si>
  <si>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</si>
  <si>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</si>
  <si>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</si>
  <si>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</si>
  <si>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</si>
  <si>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</si>
  <si>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</si>
  <si>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</si>
  <si>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</si>
  <si>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</si>
  <si>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</si>
  <si>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</si>
  <si>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</si>
  <si>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</si>
  <si>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</si>
  <si>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</si>
  <si>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</si>
  <si>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</si>
  <si>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</si>
  <si>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</si>
  <si>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</si>
  <si>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</si>
  <si>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</si>
  <si>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</si>
  <si>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</si>
  <si>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</si>
  <si>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</si>
  <si>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</si>
  <si>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</si>
  <si>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</si>
  <si>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</si>
  <si>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</si>
  <si>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</si>
  <si>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</si>
  <si>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</si>
  <si>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</si>
  <si>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</si>
  <si>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</si>
  <si>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</si>
  <si>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</si>
  <si>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</si>
  <si>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</si>
  <si>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</si>
  <si>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</si>
  <si>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</si>
  <si>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</si>
  <si>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</si>
  <si>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</si>
  <si>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</si>
  <si>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</si>
  <si>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</si>
  <si>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</si>
  <si>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</si>
  <si>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</si>
  <si>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</si>
  <si>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</si>
  <si>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</si>
  <si>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</si>
  <si>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</si>
  <si>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</si>
  <si>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</si>
  <si>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</si>
  <si>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</si>
  <si>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</si>
  <si>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</si>
  <si>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</si>
  <si>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</si>
  <si>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</si>
  <si>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</si>
  <si>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</si>
  <si>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</si>
  <si>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</si>
  <si>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</si>
  <si>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</si>
  <si>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</si>
  <si>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</si>
  <si>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</si>
  <si>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</si>
  <si>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</si>
  <si>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</si>
  <si>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</si>
  <si>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</si>
  <si>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</si>
  <si>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</si>
  <si>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</si>
  <si>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</si>
  <si>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</si>
  <si>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</si>
  <si>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</si>
  <si>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</si>
  <si>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</si>
  <si>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</si>
  <si>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</si>
  <si>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</si>
  <si>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</si>
  <si>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</si>
  <si>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</si>
  <si>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</si>
  <si>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</si>
  <si>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</si>
  <si>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</si>
  <si>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</si>
  <si>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</si>
  <si>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</si>
  <si>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</si>
  <si>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</si>
  <si>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</si>
  <si>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</si>
  <si>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</si>
  <si>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</si>
  <si>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</si>
  <si>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</si>
  <si>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</si>
  <si>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</si>
  <si>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</si>
  <si>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</si>
  <si>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</si>
  <si>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</si>
  <si>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</si>
  <si>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</si>
  <si>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</si>
  <si>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</si>
  <si>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</si>
  <si>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</si>
  <si>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</si>
  <si>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</si>
  <si>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</si>
  <si>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</si>
  <si>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</si>
  <si>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</si>
  <si>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</si>
  <si>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</si>
  <si>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</si>
  <si>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</si>
  <si>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</si>
  <si>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</si>
  <si>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</si>
  <si>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</si>
  <si>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</si>
  <si>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</si>
  <si>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</si>
  <si>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</si>
  <si>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</si>
  <si>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</si>
  <si>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</si>
  <si>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</si>
  <si>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</si>
  <si>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</si>
  <si>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</si>
  <si>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</si>
  <si>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</si>
  <si>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</si>
  <si>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</si>
  <si>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</si>
  <si>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</si>
  <si>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</si>
  <si>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</si>
  <si>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</si>
  <si>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</si>
  <si>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</si>
  <si>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</si>
  <si>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</si>
  <si>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</si>
  <si>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</si>
  <si>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</si>
  <si>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</si>
  <si>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</si>
  <si>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</si>
  <si>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</si>
  <si>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</si>
  <si>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</si>
  <si>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</si>
  <si>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</si>
  <si>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</si>
  <si>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</si>
  <si>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</si>
  <si>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</si>
  <si>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</si>
  <si>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</si>
  <si>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</si>
  <si>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</si>
  <si>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</si>
  <si>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</si>
  <si>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</si>
  <si>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</si>
  <si>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</si>
  <si>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</si>
  <si>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</si>
  <si>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</si>
  <si>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</si>
  <si>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</si>
  <si>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</si>
  <si>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</si>
  <si>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</si>
  <si>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</si>
  <si>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</si>
  <si>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</si>
  <si>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</si>
  <si>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</si>
  <si>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</si>
  <si>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</si>
  <si>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</si>
  <si>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</si>
  <si>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</si>
  <si>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</si>
  <si>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</si>
  <si>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</si>
  <si>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</si>
  <si>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</si>
  <si>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</si>
  <si>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</si>
  <si>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</si>
  <si>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</si>
  <si>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</si>
  <si>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</si>
  <si>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</si>
  <si>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</si>
  <si>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</si>
  <si>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</si>
  <si>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</si>
  <si>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</si>
  <si>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</si>
  <si>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</si>
  <si>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</si>
  <si>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</si>
  <si>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</si>
  <si>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</si>
  <si>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</si>
  <si>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</si>
  <si>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</si>
  <si>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</si>
  <si>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</si>
  <si>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</si>
  <si>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</si>
  <si>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</si>
  <si>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</si>
  <si>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</si>
  <si>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</si>
  <si>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</si>
  <si>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</si>
  <si>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</si>
  <si>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</si>
  <si>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</si>
  <si>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</si>
  <si>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</si>
  <si>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</si>
  <si>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</si>
  <si>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</si>
  <si>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</si>
  <si>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</si>
  <si>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</si>
  <si>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</si>
  <si>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</si>
  <si>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</si>
  <si>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</si>
  <si>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</si>
  <si>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</si>
  <si>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</si>
  <si>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</si>
  <si>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</si>
  <si>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</si>
  <si>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</si>
  <si>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</si>
  <si>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</si>
  <si>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</si>
  <si>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</si>
  <si>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</si>
  <si>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</si>
  <si>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</si>
  <si>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</si>
  <si>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</si>
  <si>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</si>
  <si>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</si>
  <si>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</si>
  <si>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</si>
  <si>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</si>
  <si>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</si>
  <si>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</si>
  <si>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</si>
  <si>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</si>
  <si>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</si>
  <si>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</si>
  <si>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</si>
  <si>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</si>
  <si>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</si>
  <si>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</si>
  <si>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</si>
  <si>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</si>
  <si>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</si>
  <si>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</si>
  <si>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</si>
  <si>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</si>
  <si>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</si>
  <si>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</si>
  <si>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</si>
  <si>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</si>
  <si>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</si>
  <si>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</si>
  <si>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</si>
  <si>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</si>
  <si>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</si>
  <si>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</si>
  <si>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</si>
  <si>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</si>
  <si>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</si>
  <si>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</si>
  <si>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</si>
  <si>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</si>
  <si>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</si>
  <si>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</si>
  <si>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</si>
  <si>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</si>
  <si>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</si>
  <si>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</si>
  <si>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</si>
  <si>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</si>
  <si>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</si>
  <si>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</si>
  <si>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</si>
  <si>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</si>
  <si>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</si>
  <si>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</si>
  <si>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</si>
  <si>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</si>
  <si>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</si>
  <si>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</si>
  <si>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</si>
  <si>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</si>
  <si>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</si>
  <si>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</si>
  <si>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</si>
  <si>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</si>
  <si>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</si>
  <si>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</si>
  <si>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</si>
  <si>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</si>
  <si>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</si>
  <si>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</si>
  <si>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</si>
  <si>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</si>
  <si>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</si>
  <si>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</si>
  <si>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</si>
  <si>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</si>
  <si>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</si>
  <si>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</si>
  <si>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</si>
  <si>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</si>
  <si>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</si>
  <si>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</si>
  <si>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</si>
  <si>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</si>
  <si>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</si>
  <si>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</si>
  <si>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</si>
  <si>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</si>
  <si>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</si>
  <si>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</si>
  <si>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</si>
  <si>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</si>
  <si>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</si>
  <si>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</si>
  <si>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</si>
  <si>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</si>
  <si>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</si>
  <si>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</si>
  <si>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</si>
  <si>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</si>
  <si>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</si>
  <si>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</si>
  <si>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</si>
  <si>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</si>
  <si>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</si>
  <si>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</si>
  <si>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</si>
  <si>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</si>
  <si>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</si>
  <si>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</si>
  <si>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</si>
  <si>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</si>
  <si>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</si>
  <si>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</si>
  <si>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</si>
  <si>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</si>
  <si>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</si>
  <si>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</si>
  <si>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</si>
  <si>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</si>
  <si>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</si>
  <si>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</si>
  <si>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</si>
  <si>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</si>
  <si>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</si>
  <si>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</si>
  <si>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</si>
  <si>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</si>
  <si>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</si>
  <si>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</si>
  <si>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</si>
  <si>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</si>
  <si>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</si>
  <si>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</si>
  <si>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</si>
  <si>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</si>
  <si>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</si>
  <si>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</si>
  <si>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</si>
  <si>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</si>
  <si>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</si>
  <si>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</si>
  <si>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</si>
  <si>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</si>
  <si>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</si>
  <si>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</si>
  <si>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</si>
  <si>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</si>
  <si>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</si>
  <si>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</si>
  <si>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</si>
  <si>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</si>
  <si>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</si>
  <si>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</si>
  <si>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</si>
  <si>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</si>
  <si>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</si>
  <si>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</si>
  <si>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</si>
  <si>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</si>
  <si>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</si>
  <si>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</si>
  <si>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</si>
  <si>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</si>
  <si>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</si>
  <si>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</si>
  <si>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</si>
  <si>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</si>
  <si>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</si>
  <si>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</si>
  <si>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</si>
  <si>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</si>
  <si>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</si>
  <si>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</si>
  <si>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</si>
  <si>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</si>
  <si>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</si>
  <si>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</si>
  <si>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</si>
  <si>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</si>
  <si>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</si>
  <si>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</si>
  <si>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</si>
  <si>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</si>
  <si>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</si>
  <si>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</si>
  <si>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</si>
  <si>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</si>
  <si>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</si>
  <si>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</si>
  <si>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</si>
  <si>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</si>
  <si>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</si>
  <si>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</si>
  <si>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</si>
  <si>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</si>
  <si>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</si>
  <si>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</si>
  <si>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</si>
  <si>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</si>
  <si>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</si>
  <si>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</si>
  <si>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</si>
  <si>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</si>
  <si>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</si>
  <si>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</si>
  <si>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</si>
  <si>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</si>
  <si>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</si>
  <si>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</si>
  <si>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</si>
  <si>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</si>
  <si>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</si>
  <si>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</si>
  <si>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</si>
  <si>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</si>
  <si>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</si>
  <si>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</si>
  <si>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</si>
  <si>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</si>
  <si>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</si>
  <si>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</si>
  <si>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</si>
  <si>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</si>
  <si>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</si>
  <si>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</si>
  <si>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</si>
  <si>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</si>
  <si>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</si>
  <si>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</si>
  <si>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</si>
  <si>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</si>
  <si>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</si>
  <si>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</si>
  <si>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</si>
  <si>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</si>
  <si>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</si>
  <si>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</si>
  <si>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</si>
  <si>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</si>
  <si>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</si>
  <si>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</si>
  <si>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</si>
  <si>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</si>
  <si>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</si>
  <si>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</si>
  <si>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</si>
  <si>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</si>
  <si>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</si>
  <si>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</si>
  <si>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</si>
  <si>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</si>
  <si>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</si>
  <si>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</si>
  <si>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</si>
  <si>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</si>
  <si>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</si>
  <si>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</si>
  <si>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</si>
  <si>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</si>
  <si>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</si>
  <si>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</si>
  <si>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</si>
  <si>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</si>
  <si>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</si>
  <si>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</si>
  <si>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</si>
  <si>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</si>
  <si>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</si>
  <si>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</si>
  <si>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</si>
  <si>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</si>
  <si>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</si>
  <si>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</si>
  <si>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</si>
  <si>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</si>
  <si>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</si>
  <si>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</si>
  <si>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</si>
  <si>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</si>
  <si>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</si>
  <si>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</si>
  <si>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</si>
  <si>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</si>
  <si>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</si>
  <si>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</si>
  <si>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</si>
  <si>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</si>
  <si>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</si>
  <si>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</si>
  <si>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</si>
  <si>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</si>
  <si>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</si>
  <si>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</si>
  <si>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</si>
  <si>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</si>
  <si>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</si>
  <si>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</si>
  <si>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</si>
  <si>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抵押</t>
  </si>
  <si>
    <t>房地产抵押价值</t>
  </si>
  <si>
    <t>北京市</t>
  </si>
  <si>
    <t>企业</t>
  </si>
  <si>
    <t>商业、地下车库</t>
    <phoneticPr fontId="6" type="noConversion"/>
  </si>
  <si>
    <t>商业26.88年、地下车库36.89年</t>
    <phoneticPr fontId="6" type="noConversion"/>
  </si>
  <si>
    <t>《国有土地使用证》[京朝国用（2011出）第00051号]</t>
    <phoneticPr fontId="6" type="noConversion"/>
  </si>
  <si>
    <t>商业项目</t>
  </si>
  <si>
    <t>现房</t>
  </si>
  <si>
    <t>通路</t>
  </si>
  <si>
    <t>通电</t>
  </si>
  <si>
    <t>通讯</t>
  </si>
  <si>
    <t>通上水</t>
  </si>
  <si>
    <t>通下水</t>
  </si>
  <si>
    <t>地上</t>
  </si>
  <si>
    <t>独立商业</t>
  </si>
  <si>
    <t>地下</t>
  </si>
  <si>
    <t>车库</t>
  </si>
  <si>
    <t>车库</t>
    <phoneticPr fontId="7" type="noConversion"/>
  </si>
  <si>
    <t>批发零售用地</t>
  </si>
  <si>
    <t>不临58条商业街</t>
  </si>
  <si>
    <t>缺少</t>
  </si>
  <si>
    <t>通热</t>
  </si>
  <si>
    <t>燃气</t>
  </si>
  <si>
    <t>基准地价修正（1）</t>
  </si>
  <si>
    <t>基准地价修正（1）</t>
    <phoneticPr fontId="17" type="noConversion"/>
  </si>
  <si>
    <t>基准地价修正 (2)</t>
  </si>
  <si>
    <t>基准地价修正 (2)</t>
    <phoneticPr fontId="17" type="noConversion"/>
  </si>
  <si>
    <t>基准地价修正 (3)</t>
  </si>
  <si>
    <t>基准地价修正 (3)</t>
    <phoneticPr fontId="17" type="noConversion"/>
  </si>
  <si>
    <t>基准地价修正 (4)</t>
  </si>
  <si>
    <t>基准地价修正 (4)</t>
    <phoneticPr fontId="17" type="noConversion"/>
  </si>
  <si>
    <t>基准地价修正 (5)</t>
  </si>
  <si>
    <t>基准地价修正 (5)</t>
    <phoneticPr fontId="17" type="noConversion"/>
  </si>
  <si>
    <t>基准地价修正 (6)</t>
  </si>
  <si>
    <t>基准地价修正 (6)</t>
    <phoneticPr fontId="17" type="noConversion"/>
  </si>
  <si>
    <t>基准地价修正 (7)</t>
  </si>
  <si>
    <t>基准地价修正 (7)</t>
    <phoneticPr fontId="17" type="noConversion"/>
  </si>
  <si>
    <t>全部缴纳</t>
  </si>
  <si>
    <t>已包含在土地取得成本中</t>
  </si>
  <si>
    <t>一层</t>
    <phoneticPr fontId="205" type="noConversion"/>
  </si>
  <si>
    <t>负1</t>
    <phoneticPr fontId="205" type="noConversion"/>
  </si>
  <si>
    <t>商业</t>
    <phoneticPr fontId="7" type="noConversion"/>
  </si>
  <si>
    <t>押一</t>
  </si>
  <si>
    <t>钢混</t>
  </si>
  <si>
    <t>基准地价</t>
  </si>
  <si>
    <t>收益法-商业</t>
  </si>
  <si>
    <t>收益法-商业</t>
    <phoneticPr fontId="17" type="noConversion"/>
  </si>
  <si>
    <t>收益法-车库</t>
  </si>
  <si>
    <t>收益法-车库</t>
    <phoneticPr fontId="17" type="noConversion"/>
  </si>
  <si>
    <t>成本法</t>
  </si>
  <si>
    <t>收益法（汇总）</t>
  </si>
  <si>
    <t>六通一平</t>
  </si>
  <si>
    <t>项目全部</t>
  </si>
  <si>
    <t>成本比率</t>
  </si>
  <si>
    <t>土地面积</t>
  </si>
  <si>
    <t>建筑物价值</t>
  </si>
  <si>
    <t xml:space="preserve">崔丽新 </t>
    <phoneticPr fontId="8" type="noConversion"/>
  </si>
  <si>
    <t xml:space="preserve"> 日期： 2017年 8月 18日</t>
    <phoneticPr fontId="8" type="noConversion"/>
  </si>
  <si>
    <t>未包含在土地购买价格中</t>
  </si>
  <si>
    <t>估价对象位于望京商圈，周边商业氛围成熟，人流量大，商业繁华度较好</t>
    <phoneticPr fontId="34" type="noConversion"/>
  </si>
  <si>
    <t>估价对象周边道路状况、公共交通通达情况、停车便捷程度一般，综合评价交通便捷度较好</t>
    <phoneticPr fontId="62" type="noConversion"/>
  </si>
  <si>
    <t>较好</t>
  </si>
  <si>
    <t>较好</t>
    <phoneticPr fontId="62" type="noConversion"/>
  </si>
  <si>
    <t>七通</t>
    <phoneticPr fontId="34" type="noConversion"/>
  </si>
  <si>
    <t>较好</t>
    <phoneticPr fontId="34" type="noConversion"/>
  </si>
  <si>
    <t>多面临街</t>
  </si>
  <si>
    <t>一般</t>
  </si>
  <si>
    <t>好</t>
  </si>
  <si>
    <t>车库</t>
    <phoneticPr fontId="8" type="noConversion"/>
  </si>
  <si>
    <t>合计</t>
    <phoneticPr fontId="8" type="noConversion"/>
  </si>
  <si>
    <t>老证</t>
    <phoneticPr fontId="8" type="noConversion"/>
  </si>
  <si>
    <t>2017-1-0775-P02DYGJ1</t>
    <phoneticPr fontId="6" type="noConversion"/>
  </si>
  <si>
    <t>北京禾亿企业管理有限公司</t>
    <phoneticPr fontId="6" type="noConversion"/>
  </si>
  <si>
    <t>《不动产权利证书》[京（2017）朝不动产权第0077402、0077415、0077422、0077427、0082112、0082116、0082119、0082125、0082129、0082130、0082132、0082133、0082134、0082137号]</t>
    <phoneticPr fontId="6" type="noConversion"/>
  </si>
  <si>
    <t>《不动产权证书》</t>
  </si>
  <si>
    <r>
      <rPr>
        <sz val="11"/>
        <color indexed="8"/>
        <rFont val="宋体"/>
        <family val="3"/>
        <charset val="134"/>
      </rPr>
      <t>负</t>
    </r>
    <r>
      <rPr>
        <sz val="11"/>
        <color indexed="8"/>
        <rFont val="Arial"/>
        <family val="2"/>
      </rPr>
      <t>1</t>
    </r>
    <phoneticPr fontId="3" type="noConversion"/>
  </si>
  <si>
    <t xml:space="preserve"> </t>
    <phoneticPr fontId="3" type="noConversion"/>
  </si>
  <si>
    <r>
      <rPr>
        <sz val="11"/>
        <color indexed="8"/>
        <rFont val="宋体"/>
        <family val="3"/>
        <charset val="134"/>
      </rPr>
      <t>负</t>
    </r>
    <r>
      <rPr>
        <sz val="11"/>
        <color indexed="8"/>
        <rFont val="Arial"/>
        <family val="2"/>
      </rPr>
      <t>2</t>
    </r>
    <phoneticPr fontId="3" type="noConversion"/>
  </si>
  <si>
    <t>面积差</t>
    <phoneticPr fontId="8" type="noConversion"/>
  </si>
  <si>
    <t>朝阳区望京街9号商业楼281套</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</si>
</sst>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0" fillId="5" borderId="0" xfId="0" applyFill="1">
      <alignment vertical="center"/>
    </xf>
    <xf numFmtId="177" fontId="68" fillId="5" borderId="1" xfId="1" applyNumberFormat="1" applyFont="1" applyFill="1" applyBorder="1" applyAlignment="1" applyProtection="1">
      <alignment horizontal="center" vertical="center"/>
      <protection locked="0"/>
    </xf>
    <xf numFmtId="0" fontId="11" fillId="16" borderId="0" xfId="0" applyFont="1" applyFill="1" applyProtection="1">
      <alignment vertical="center"/>
      <protection locked="0"/>
    </xf>
    <xf numFmtId="0" fontId="13" fillId="16" borderId="1" xfId="0" applyFont="1" applyFill="1" applyBorder="1" applyAlignment="1" applyProtection="1">
      <alignment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209" fillId="6" borderId="1" xfId="0" applyFont="1" applyFill="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179839</xdr:colOff>
      <xdr:row>7</xdr:row>
      <xdr:rowOff>161755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95239" cy="1361905"/>
        </a:xfrm>
        <a:prstGeom prst="rect">
          <a:avLst/>
        </a:prstGeom>
      </xdr:spPr>
    </xdr:pic>
    <xdr:clientData/>
  </xdr:twoCellAnchor>
  <xdr:twoCellAnchor editAs="oneCell">
    <xdr:from>
      <xdr:col>0</xdr:col>
      <xdr:colOff>0</xdr:colOff>
      <xdr:row>9</xdr:row>
      <xdr:rowOff>0</xdr:rowOff>
    </xdr:from>
    <xdr:to>
      <xdr:col>13</xdr:col>
      <xdr:colOff>427458</xdr:colOff>
      <xdr:row>16</xdr:row>
      <xdr:rowOff>76041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342858" cy="1276191"/>
        </a:xfrm>
        <a:prstGeom prst="rect">
          <a:avLst/>
        </a:prstGeom>
      </xdr:spPr>
    </xdr:pic>
    <xdr:clientData/>
  </xdr:twoCellAnchor>
  <xdr:twoCellAnchor editAs="oneCell">
    <xdr:from>
      <xdr:col>0</xdr:col>
      <xdr:colOff>0</xdr:colOff>
      <xdr:row>17</xdr:row>
      <xdr:rowOff>0</xdr:rowOff>
    </xdr:from>
    <xdr:to>
      <xdr:col>13</xdr:col>
      <xdr:colOff>208410</xdr:colOff>
      <xdr:row>37</xdr:row>
      <xdr:rowOff>123381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9123810" cy="3552381"/>
        </a:xfrm>
        <a:prstGeom prst="rect">
          <a:avLst/>
        </a:prstGeom>
      </xdr:spPr>
    </xdr:pic>
    <xdr:clientData/>
  </xdr:twoCellAnchor>
  <xdr:twoCellAnchor editAs="oneCell">
    <xdr:from>
      <xdr:col>0</xdr:col>
      <xdr:colOff>0</xdr:colOff>
      <xdr:row>38</xdr:row>
      <xdr:rowOff>0</xdr:rowOff>
    </xdr:from>
    <xdr:to>
      <xdr:col>13</xdr:col>
      <xdr:colOff>675077</xdr:colOff>
      <xdr:row>45</xdr:row>
      <xdr:rowOff>56993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515100"/>
          <a:ext cx="9590477" cy="1257143"/>
        </a:xfrm>
        <a:prstGeom prst="rect">
          <a:avLst/>
        </a:prstGeom>
      </xdr:spPr>
    </xdr:pic>
    <xdr:clientData/>
  </xdr:twoCellAnchor>
  <xdr:twoCellAnchor editAs="oneCell">
    <xdr:from>
      <xdr:col>0</xdr:col>
      <xdr:colOff>0</xdr:colOff>
      <xdr:row>46</xdr:row>
      <xdr:rowOff>0</xdr:rowOff>
    </xdr:from>
    <xdr:to>
      <xdr:col>13</xdr:col>
      <xdr:colOff>417934</xdr:colOff>
      <xdr:row>52</xdr:row>
      <xdr:rowOff>133205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886700"/>
          <a:ext cx="9333334" cy="1161905"/>
        </a:xfrm>
        <a:prstGeom prst="rect">
          <a:avLst/>
        </a:prstGeom>
      </xdr:spPr>
    </xdr:pic>
    <xdr:clientData/>
  </xdr:twoCellAnchor>
  <xdr:twoCellAnchor editAs="oneCell">
    <xdr:from>
      <xdr:col>0</xdr:col>
      <xdr:colOff>0</xdr:colOff>
      <xdr:row>53</xdr:row>
      <xdr:rowOff>0</xdr:rowOff>
    </xdr:from>
    <xdr:to>
      <xdr:col>13</xdr:col>
      <xdr:colOff>484601</xdr:colOff>
      <xdr:row>59</xdr:row>
      <xdr:rowOff>133205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086850"/>
          <a:ext cx="9400001" cy="1161905"/>
        </a:xfrm>
        <a:prstGeom prst="rect">
          <a:avLst/>
        </a:prstGeom>
      </xdr:spPr>
    </xdr:pic>
    <xdr:clientData/>
  </xdr:twoCellAnchor>
  <xdr:twoCellAnchor editAs="oneCell">
    <xdr:from>
      <xdr:col>0</xdr:col>
      <xdr:colOff>0</xdr:colOff>
      <xdr:row>72</xdr:row>
      <xdr:rowOff>0</xdr:rowOff>
    </xdr:from>
    <xdr:to>
      <xdr:col>13</xdr:col>
      <xdr:colOff>246505</xdr:colOff>
      <xdr:row>79</xdr:row>
      <xdr:rowOff>161755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2344400"/>
          <a:ext cx="9161905" cy="1361905"/>
        </a:xfrm>
        <a:prstGeom prst="rect">
          <a:avLst/>
        </a:prstGeom>
      </xdr:spPr>
    </xdr:pic>
    <xdr:clientData/>
  </xdr:twoCellAnchor>
  <xdr:twoCellAnchor editAs="oneCell">
    <xdr:from>
      <xdr:col>0</xdr:col>
      <xdr:colOff>0</xdr:colOff>
      <xdr:row>81</xdr:row>
      <xdr:rowOff>0</xdr:rowOff>
    </xdr:from>
    <xdr:to>
      <xdr:col>14</xdr:col>
      <xdr:colOff>55944</xdr:colOff>
      <xdr:row>88</xdr:row>
      <xdr:rowOff>9374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887450"/>
          <a:ext cx="9657144" cy="1209524"/>
        </a:xfrm>
        <a:prstGeom prst="rect">
          <a:avLst/>
        </a:prstGeom>
      </xdr:spPr>
    </xdr:pic>
    <xdr:clientData/>
  </xdr:twoCellAnchor>
  <xdr:twoCellAnchor editAs="oneCell">
    <xdr:from>
      <xdr:col>0</xdr:col>
      <xdr:colOff>0</xdr:colOff>
      <xdr:row>89</xdr:row>
      <xdr:rowOff>0</xdr:rowOff>
    </xdr:from>
    <xdr:to>
      <xdr:col>13</xdr:col>
      <xdr:colOff>551267</xdr:colOff>
      <xdr:row>116</xdr:row>
      <xdr:rowOff>27993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5259050"/>
          <a:ext cx="9466667" cy="4657143"/>
        </a:xfrm>
        <a:prstGeom prst="rect">
          <a:avLst/>
        </a:prstGeom>
      </xdr:spPr>
    </xdr:pic>
    <xdr:clientData/>
  </xdr:twoCellAnchor>
  <xdr:twoCellAnchor editAs="oneCell">
    <xdr:from>
      <xdr:col>0</xdr:col>
      <xdr:colOff>0</xdr:colOff>
      <xdr:row>117</xdr:row>
      <xdr:rowOff>0</xdr:rowOff>
    </xdr:from>
    <xdr:to>
      <xdr:col>13</xdr:col>
      <xdr:colOff>408410</xdr:colOff>
      <xdr:row>125</xdr:row>
      <xdr:rowOff>47448</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0059650"/>
          <a:ext cx="9323810" cy="1419048"/>
        </a:xfrm>
        <a:prstGeom prst="rect">
          <a:avLst/>
        </a:prstGeom>
      </xdr:spPr>
    </xdr:pic>
    <xdr:clientData/>
  </xdr:twoCellAnchor>
  <xdr:twoCellAnchor editAs="oneCell">
    <xdr:from>
      <xdr:col>0</xdr:col>
      <xdr:colOff>0</xdr:colOff>
      <xdr:row>126</xdr:row>
      <xdr:rowOff>0</xdr:rowOff>
    </xdr:from>
    <xdr:to>
      <xdr:col>13</xdr:col>
      <xdr:colOff>417934</xdr:colOff>
      <xdr:row>133</xdr:row>
      <xdr:rowOff>66517</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21602700"/>
          <a:ext cx="9333334" cy="1266667"/>
        </a:xfrm>
        <a:prstGeom prst="rect">
          <a:avLst/>
        </a:prstGeom>
      </xdr:spPr>
    </xdr:pic>
    <xdr:clientData/>
  </xdr:twoCellAnchor>
  <xdr:twoCellAnchor editAs="oneCell">
    <xdr:from>
      <xdr:col>0</xdr:col>
      <xdr:colOff>0</xdr:colOff>
      <xdr:row>134</xdr:row>
      <xdr:rowOff>0</xdr:rowOff>
    </xdr:from>
    <xdr:to>
      <xdr:col>14</xdr:col>
      <xdr:colOff>103563</xdr:colOff>
      <xdr:row>141</xdr:row>
      <xdr:rowOff>104612</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2974300"/>
          <a:ext cx="9704763" cy="1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9" sqref="E39"/>
    </sheetView>
  </sheetViews>
  <sheetFormatPr defaultRowHeight="14.25"/>
  <cols>
    <col min="1" max="1" width="35.625" style="3055" customWidth="1"/>
    <col min="2" max="2" width="81" style="3072" customWidth="1"/>
    <col min="3" max="16384" width="9" style="3070"/>
  </cols>
  <sheetData>
    <row r="1" spans="1:2" s="3058" customFormat="1" ht="16.5" thickBot="1">
      <c r="A1" s="3057" t="s">
        <v>2795</v>
      </c>
      <c r="B1" s="3056" t="s">
        <v>2884</v>
      </c>
    </row>
    <row r="2" spans="1:2" s="3061" customFormat="1" ht="15" thickTop="1">
      <c r="A2" s="3059" t="s">
        <v>2796</v>
      </c>
      <c r="B2" s="3060" t="str">
        <f>'预评函-封皮'!B37:I37</f>
        <v>北京市朝阳区望京街9号商业楼281套房地产抵押价值预评估</v>
      </c>
    </row>
    <row r="3" spans="1:2" s="3064" customFormat="1">
      <c r="A3" s="3062" t="s">
        <v>2797</v>
      </c>
      <c r="B3" s="3063" t="str">
        <f>'预评函-封皮'!B40</f>
        <v>北京禾亿企业管理有限公司</v>
      </c>
    </row>
    <row r="4" spans="1:2" s="3064" customFormat="1">
      <c r="A4" s="3062" t="s">
        <v>2798</v>
      </c>
      <c r="B4" s="3063" t="str">
        <f ca="1">'预评函-封皮'!B46</f>
        <v>梁津（注册号：1119970066)、欧红伟（注册号：1120000080)</v>
      </c>
    </row>
    <row r="5" spans="1:2" s="3058" customFormat="1" ht="15" thickBot="1">
      <c r="A5" s="3065" t="s">
        <v>2799</v>
      </c>
      <c r="B5" s="3066" t="str">
        <f>'预评函-封皮'!B49</f>
        <v>康正预评字2017-1-0775-P02DYGJ1号</v>
      </c>
    </row>
    <row r="6" spans="1:2" s="3061" customFormat="1" ht="15" thickTop="1">
      <c r="A6" s="3059" t="s">
        <v>2800</v>
      </c>
      <c r="B6" s="3060" t="str">
        <f>'预评函-1'!A4</f>
        <v>受贵公司委托，我公司对北京市朝阳区望京街9号商业楼281套房地产抵押价值进行了预评估。</v>
      </c>
    </row>
    <row r="7" spans="1:2" s="3064" customFormat="1">
      <c r="A7" s="3062" t="s">
        <v>2840</v>
      </c>
      <c r="B7" s="3063" t="str">
        <f>'预评函-1'!A7</f>
        <v>估价对象为北京市朝阳区望京街9号商业楼281套房地产，为北京禾亿企业管理有限公司所有。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建筑面积为92501.33平方米。</v>
      </c>
    </row>
    <row r="8" spans="1:2" s="3064" customFormat="1">
      <c r="A8" s="3062" t="s">
        <v>2841</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2842</v>
      </c>
      <c r="B9" s="3063" t="str">
        <f>'预评函-1'!A10</f>
        <v>估价对象为北京市朝阳区望京街9号商业楼281套房地产,为北京禾亿企业管理有限公司开发建设的商业项目，该项目尚在开发建设中。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规划建筑面积为92501.33平方米。</v>
      </c>
    </row>
    <row r="10" spans="1:2" s="3064" customFormat="1">
      <c r="A10" s="3062" t="s">
        <v>2843</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2801</v>
      </c>
      <c r="B11" s="3063" t="str">
        <f>'预评函-1'!A13</f>
        <v>为估价委托人在向办理贷款手续过程中，确定房地产抵押贷款额度提供参考依据而评估房地产抵押价值。</v>
      </c>
    </row>
    <row r="12" spans="1:2" s="3064" customFormat="1">
      <c r="A12" s="3062" t="s">
        <v>2802</v>
      </c>
      <c r="B12" s="3063" t="str">
        <f>'预评函-1'!A15</f>
        <v>2017年8月17日（评估专业人员实地查勘之日）</v>
      </c>
    </row>
    <row r="13" spans="1:2" s="3064" customFormat="1">
      <c r="A13" s="3062" t="s">
        <v>2803</v>
      </c>
      <c r="B13" s="3063" t="str">
        <f>'预评函-1'!A18</f>
        <v>本次估价的“房地产价值”是指在正常市场情况下，在价值时点2017年8月17日，估价对象规划用途为商业、地下车库，土地取得方式为出让，出让国有建设用地使用权剩余土地使用年限为商业26.88年、地下车库36.89年，假定未设立法定优先受偿款下的房地产市场价值。</v>
      </c>
    </row>
    <row r="14" spans="1:2" s="3064" customFormat="1">
      <c r="A14" s="3062" t="s">
        <v>2804</v>
      </c>
      <c r="B14" s="3063" t="str">
        <f>'预评函-1'!A19</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4" customFormat="1">
      <c r="A15" s="3062" t="s">
        <v>2805</v>
      </c>
      <c r="B15" s="3063" t="str">
        <f>'预评函-1'!A20</f>
        <v>本次估价的“房地产抵押价值”是指估价对象在价值时点的“房地产价值”扣减估价师于价值时点所知悉的法定优先受偿款后的余额。</v>
      </c>
    </row>
    <row r="16" spans="1:2" s="3064" customFormat="1">
      <c r="A16" s="3062" t="s">
        <v>2806</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2807</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2808</v>
      </c>
      <c r="B18" s="3066" t="str">
        <f>'预评函-1'!A24</f>
        <v>本次评估采用的主估价方法为成本法和收益法。</v>
      </c>
    </row>
    <row r="19" spans="1:2" s="3061" customFormat="1" ht="15" thickTop="1">
      <c r="A19" s="3059" t="s">
        <v>2809</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2810</v>
      </c>
      <c r="B20" s="3063">
        <f ca="1">'预评函-2'!D5</f>
        <v>322046</v>
      </c>
    </row>
    <row r="21" spans="1:2" s="3064" customFormat="1">
      <c r="A21" s="3062" t="s">
        <v>2811</v>
      </c>
      <c r="B21" s="3063">
        <f ca="1">'预评函-2'!D7</f>
        <v>34815</v>
      </c>
    </row>
    <row r="22" spans="1:2" s="3064" customFormat="1">
      <c r="A22" s="3062" t="s">
        <v>2812</v>
      </c>
      <c r="B22" s="3063" t="str">
        <f ca="1">'预评函-2'!D6</f>
        <v>叁拾贰亿贰仟零肆拾陆万元整</v>
      </c>
    </row>
    <row r="23" spans="1:2" s="3064" customFormat="1">
      <c r="A23" s="3062" t="s">
        <v>2872</v>
      </c>
      <c r="B23" s="3063" t="str">
        <f>'预评函-2'!B8</f>
        <v>2.估价师知悉的法定优先受偿款</v>
      </c>
    </row>
    <row r="24" spans="1:2" s="3064" customFormat="1">
      <c r="A24" s="3062" t="s">
        <v>2878</v>
      </c>
      <c r="B24" s="3063">
        <f>'预评函-2'!D8</f>
        <v>0</v>
      </c>
    </row>
    <row r="25" spans="1:2" s="3064" customFormat="1">
      <c r="A25" s="3062" t="s">
        <v>2813</v>
      </c>
      <c r="B25" s="3063" t="str">
        <f>'预评函-2'!D9</f>
        <v>零元整</v>
      </c>
    </row>
    <row r="26" spans="1:2" s="3064" customFormat="1">
      <c r="A26" s="3062" t="s">
        <v>2814</v>
      </c>
      <c r="B26" s="3063">
        <f>'预评函-2'!D10</f>
        <v>0</v>
      </c>
    </row>
    <row r="27" spans="1:2" s="3064" customFormat="1">
      <c r="A27" s="3062" t="s">
        <v>2815</v>
      </c>
      <c r="B27" s="3063">
        <f>'预评函-2'!D11</f>
        <v>0</v>
      </c>
    </row>
    <row r="28" spans="1:2" s="3064" customFormat="1">
      <c r="A28" s="3062" t="s">
        <v>2816</v>
      </c>
      <c r="B28" s="3063">
        <f>'预评函-2'!D12</f>
        <v>0</v>
      </c>
    </row>
    <row r="29" spans="1:2" s="3064" customFormat="1">
      <c r="A29" s="3062" t="s">
        <v>2876</v>
      </c>
      <c r="B29" s="3063" t="str">
        <f>'预评函-2'!B13</f>
        <v>3.房地产抵押价值</v>
      </c>
    </row>
    <row r="30" spans="1:2" s="3064" customFormat="1">
      <c r="A30" s="3062" t="s">
        <v>2877</v>
      </c>
      <c r="B30" s="3063">
        <f ca="1">'预评函-2'!D13</f>
        <v>322046</v>
      </c>
    </row>
    <row r="31" spans="1:2" s="3064" customFormat="1">
      <c r="A31" s="3062" t="s">
        <v>2851</v>
      </c>
      <c r="B31" s="3063">
        <f ca="1">'预评函-2'!D15</f>
        <v>34815</v>
      </c>
    </row>
    <row r="32" spans="1:2" s="3064" customFormat="1">
      <c r="A32" s="3062" t="s">
        <v>2817</v>
      </c>
      <c r="B32" s="3063" t="str">
        <f ca="1">'预评函-2'!D14</f>
        <v>叁拾贰亿贰仟零肆拾陆万元整</v>
      </c>
    </row>
    <row r="33" spans="1:2" s="3064" customFormat="1">
      <c r="A33" s="3062" t="s">
        <v>2853</v>
      </c>
      <c r="B33" s="3063" t="str">
        <f>'预评函-2'!B16</f>
        <v>——</v>
      </c>
    </row>
    <row r="34" spans="1:2" s="3064" customFormat="1">
      <c r="A34" s="3062" t="s">
        <v>2879</v>
      </c>
      <c r="B34" s="3063" t="str">
        <f>'预评函-2'!D16</f>
        <v>——</v>
      </c>
    </row>
    <row r="35" spans="1:2" s="3064" customFormat="1">
      <c r="A35" s="3062" t="s">
        <v>2852</v>
      </c>
      <c r="B35" s="3063" t="str">
        <f>'预评函-2'!D18</f>
        <v>——</v>
      </c>
    </row>
    <row r="36" spans="1:2" s="3064" customFormat="1">
      <c r="A36" s="3062" t="s">
        <v>2818</v>
      </c>
      <c r="B36" s="3063" t="e">
        <f>'预评函-2'!D17</f>
        <v>#VALUE!</v>
      </c>
    </row>
    <row r="37" spans="1:2" s="3064" customFormat="1">
      <c r="A37" s="3062" t="s">
        <v>2854</v>
      </c>
      <c r="B37" s="3063" t="str">
        <f>'预评函-2'!B19</f>
        <v>——</v>
      </c>
    </row>
    <row r="38" spans="1:2" s="3064" customFormat="1">
      <c r="A38" s="3062" t="s">
        <v>2880</v>
      </c>
      <c r="B38" s="3063" t="str">
        <f>'预评函-2'!D19</f>
        <v>——</v>
      </c>
    </row>
    <row r="39" spans="1:2" s="3064" customFormat="1">
      <c r="A39" s="3062" t="s">
        <v>2819</v>
      </c>
      <c r="B39" s="3063" t="str">
        <f>'预评函-2'!D21</f>
        <v>——</v>
      </c>
    </row>
    <row r="40" spans="1:2" s="3064" customFormat="1">
      <c r="A40" s="3062" t="s">
        <v>2820</v>
      </c>
      <c r="B40" s="3063" t="e">
        <f>'预评函-2'!D20</f>
        <v>#VALUE!</v>
      </c>
    </row>
    <row r="41" spans="1:2" s="3064" customFormat="1">
      <c r="A41" s="3062" t="s">
        <v>2875</v>
      </c>
      <c r="B41" s="3063" t="str">
        <f>'预评函-3'!A4</f>
        <v>北京市朝阳区望京街9号商业楼281套房地产</v>
      </c>
    </row>
    <row r="42" spans="1:2" s="3064" customFormat="1">
      <c r="A42" s="3062" t="s">
        <v>2873</v>
      </c>
      <c r="B42" s="3063" t="str">
        <f>'预评函-3'!B2</f>
        <v>建筑面积</v>
      </c>
    </row>
    <row r="43" spans="1:2" s="3064" customFormat="1">
      <c r="A43" s="3062" t="s">
        <v>2874</v>
      </c>
      <c r="B43" s="3063">
        <f>'预评函-3'!B4</f>
        <v>92501.329999999987</v>
      </c>
    </row>
    <row r="44" spans="1:2" s="3064" customFormat="1">
      <c r="A44" s="3062" t="s">
        <v>2850</v>
      </c>
      <c r="B44" s="3063" t="str">
        <f>'预评函-3'!C2</f>
        <v>(分摊)土地面积</v>
      </c>
    </row>
    <row r="45" spans="1:2" s="3064" customFormat="1">
      <c r="A45" s="3062" t="s">
        <v>2821</v>
      </c>
      <c r="B45" s="3063">
        <f>'预评函-3'!C4</f>
        <v>31622.17</v>
      </c>
    </row>
    <row r="46" spans="1:2" s="3064" customFormat="1">
      <c r="A46" s="3062" t="s">
        <v>2848</v>
      </c>
      <c r="B46" s="3063" t="str">
        <f>'预评函-3'!D2</f>
        <v>出让国有建设用地使用权价值</v>
      </c>
    </row>
    <row r="47" spans="1:2" s="3064" customFormat="1">
      <c r="A47" s="3062" t="s">
        <v>2822</v>
      </c>
      <c r="B47" s="3063">
        <f ca="1">'预评函-3'!D4</f>
        <v>261823</v>
      </c>
    </row>
    <row r="48" spans="1:2" s="3064" customFormat="1">
      <c r="A48" s="3062" t="s">
        <v>2823</v>
      </c>
      <c r="B48" s="3063">
        <f ca="1">'预评函-3'!E4</f>
        <v>28304</v>
      </c>
    </row>
    <row r="49" spans="1:2" s="3064" customFormat="1">
      <c r="A49" s="3062" t="s">
        <v>2824</v>
      </c>
      <c r="B49" s="3063" t="str">
        <f ca="1">'预评函-3'!D5</f>
        <v>贰拾陆亿壹仟捌佰贰拾叁万元整</v>
      </c>
    </row>
    <row r="50" spans="1:2" s="3064" customFormat="1">
      <c r="A50" s="3062" t="s">
        <v>2849</v>
      </c>
      <c r="B50" s="3063" t="str">
        <f>'预评函-3'!F2</f>
        <v>建筑物价值</v>
      </c>
    </row>
    <row r="51" spans="1:2" s="3064" customFormat="1">
      <c r="A51" s="3062" t="s">
        <v>2825</v>
      </c>
      <c r="B51" s="3063">
        <f ca="1">'预评函-3'!F4</f>
        <v>60223</v>
      </c>
    </row>
    <row r="52" spans="1:2" s="3064" customFormat="1">
      <c r="A52" s="3062" t="s">
        <v>2826</v>
      </c>
      <c r="B52" s="3063">
        <f ca="1">'预评函-3'!G4</f>
        <v>6511</v>
      </c>
    </row>
    <row r="53" spans="1:2" s="3064" customFormat="1">
      <c r="A53" s="3062" t="s">
        <v>2855</v>
      </c>
      <c r="B53" s="3063" t="str">
        <f ca="1">'预评函-3'!F5</f>
        <v>陆亿零贰佰贰拾叁万元整</v>
      </c>
    </row>
    <row r="54" spans="1:2" s="3064" customFormat="1">
      <c r="A54" s="3062" t="s">
        <v>2882</v>
      </c>
      <c r="B54" s="3063" t="str">
        <f>'预评函-3'!A8</f>
        <v>房地产抵押价值</v>
      </c>
    </row>
    <row r="55" spans="1:2" s="3064" customFormat="1">
      <c r="A55" s="3062" t="s">
        <v>2856</v>
      </c>
      <c r="B55" s="3063" t="str">
        <f>'预评函-3'!A10</f>
        <v/>
      </c>
    </row>
    <row r="56" spans="1:2" s="3064" customFormat="1">
      <c r="A56" s="3062" t="s">
        <v>2857</v>
      </c>
      <c r="B56" s="3063" t="str">
        <f>'预评函-3'!A12</f>
        <v/>
      </c>
    </row>
    <row r="57" spans="1:2" s="3058" customFormat="1" ht="15" thickBot="1">
      <c r="A57" s="3065" t="s">
        <v>2883</v>
      </c>
      <c r="B57" s="3066" t="str">
        <f>'预评函-3'!A6</f>
        <v>估价师知悉的法定优先受偿款</v>
      </c>
    </row>
    <row r="58" spans="1:2" s="3061" customFormat="1" ht="15" thickTop="1">
      <c r="A58" s="3059" t="s">
        <v>2827</v>
      </c>
      <c r="B58" s="3060" t="str">
        <f>'预评函-4'!A12</f>
        <v>2.本《评估意见函》仅供金融机构进行内部审核使用，不做其他目的之用。</v>
      </c>
    </row>
    <row r="59" spans="1:2" s="3064" customFormat="1">
      <c r="A59" s="3062" t="s">
        <v>2828</v>
      </c>
      <c r="B59" s="3063" t="str">
        <f>'预评函-4'!A13</f>
        <v>3.抵押双方在办理抵押登记手续时，应使用本公司出具的正式《房地产评估报告》，特提醒报告使用者注意。</v>
      </c>
    </row>
    <row r="60" spans="1:2" s="3064" customFormat="1">
      <c r="A60" s="3062" t="s">
        <v>2829</v>
      </c>
      <c r="B60" s="3063" t="str">
        <f>'预评函-4'!A14</f>
        <v>4.本次评估估价师所知悉的法定优先受偿款情况说明如下：</v>
      </c>
    </row>
    <row r="61" spans="1:2" s="3064" customFormat="1">
      <c r="A61" s="3062" t="s">
        <v>2830</v>
      </c>
      <c r="B61" s="3063" t="str">
        <f>'预评函-4'!A15</f>
        <v>（1）根据估价对象《不动产权证书》复印件、《国有土地使用权》复印件，截至价值时点，估价对象抵押权未见登记。</v>
      </c>
    </row>
    <row r="62" spans="1:2" s="3064" customFormat="1">
      <c r="A62" s="3062" t="s">
        <v>2831</v>
      </c>
      <c r="B62" s="3063" t="str">
        <f>'预评函-4'!A16</f>
        <v>（2）根据《工程款支付情况说明》，截至价值时点，估价对象不存在应付未付工程款项。（只要没有施工方盖章的，均“设定”进行表述）</v>
      </c>
    </row>
    <row r="63" spans="1:2" s="3064" customFormat="1">
      <c r="A63" s="3062" t="s">
        <v>2832</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2844</v>
      </c>
      <c r="B64" s="3063" t="str">
        <f>'预评函-4'!A18</f>
        <v>故，本次评估不存在估价师知悉的法定优先受偿款</v>
      </c>
    </row>
    <row r="65" spans="1:2" s="3064" customFormat="1">
      <c r="A65" s="3062" t="s">
        <v>2833</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2834</v>
      </c>
      <c r="B66" s="3063" t="str">
        <f>'预评函-4'!A20</f>
        <v>——</v>
      </c>
    </row>
    <row r="67" spans="1:2" s="3064" customFormat="1">
      <c r="A67" s="3062" t="s">
        <v>2845</v>
      </c>
      <c r="B67" s="3063" t="str">
        <f>'预评函-4'!A21</f>
        <v>——</v>
      </c>
    </row>
    <row r="68" spans="1:2" s="3064" customFormat="1">
      <c r="A68" s="3062" t="s">
        <v>2846</v>
      </c>
      <c r="B68" s="3063" t="str">
        <f>'预评函-4'!A22</f>
        <v>8.其他需特殊说明事项：无（注意调整序号）</v>
      </c>
    </row>
    <row r="69" spans="1:2" s="3058" customFormat="1" ht="15" thickBot="1">
      <c r="A69" s="3065" t="s">
        <v>2835</v>
      </c>
      <c r="B69" s="3067">
        <f>'预评函-4'!C31</f>
        <v>42551</v>
      </c>
    </row>
    <row r="70" spans="1:2" ht="15" thickTop="1">
      <c r="A70" s="3068" t="s">
        <v>2836</v>
      </c>
      <c r="B70" s="3069" t="str">
        <f>'预评函-4'!A4</f>
        <v>梁津</v>
      </c>
    </row>
    <row r="71" spans="1:2">
      <c r="A71" s="3062" t="s">
        <v>2837</v>
      </c>
      <c r="B71" s="3063">
        <f ca="1">'预评函-4'!B4</f>
        <v>1119970066</v>
      </c>
    </row>
    <row r="72" spans="1:2">
      <c r="A72" s="3062" t="s">
        <v>2838</v>
      </c>
      <c r="B72" s="3071" t="str">
        <f>'预评函-4'!A5</f>
        <v>欧红伟</v>
      </c>
    </row>
    <row r="73" spans="1:2" s="3058" customFormat="1" ht="15" thickBot="1">
      <c r="A73" s="3065" t="s">
        <v>2839</v>
      </c>
      <c r="B73" s="3066">
        <f ca="1">'预评函-4'!B5</f>
        <v>1120000080</v>
      </c>
    </row>
    <row r="74" spans="1:2" ht="15" thickTop="1">
      <c r="A74" s="3055" t="s">
        <v>2900</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1960</v>
      </c>
      <c r="B36" s="1888" t="s">
        <v>1961</v>
      </c>
    </row>
    <row r="37" spans="1:9" ht="27.75" customHeight="1">
      <c r="A37" s="1888"/>
      <c r="B37" s="3378" t="str">
        <f>项目基本情况!B1</f>
        <v>北京市朝阳区望京街9号商业楼281套房地产抵押价值预评估</v>
      </c>
      <c r="C37" s="3378"/>
      <c r="D37" s="3378"/>
      <c r="E37" s="3378"/>
      <c r="F37" s="3378"/>
      <c r="G37" s="3378"/>
      <c r="H37" s="3378"/>
      <c r="I37" s="3378"/>
    </row>
    <row r="38" spans="1:9">
      <c r="A38" s="1890"/>
      <c r="B38" s="1890"/>
    </row>
    <row r="39" spans="1:9">
      <c r="A39" s="1888" t="s">
        <v>1960</v>
      </c>
      <c r="B39" s="1888" t="s">
        <v>1962</v>
      </c>
    </row>
    <row r="40" spans="1:9">
      <c r="A40" s="1888"/>
      <c r="B40" s="1888" t="str">
        <f>项目基本情况!B5</f>
        <v>北京禾亿企业管理有限公司</v>
      </c>
    </row>
    <row r="41" spans="1:9">
      <c r="A41" s="1888"/>
      <c r="B41" s="1888"/>
    </row>
    <row r="42" spans="1:9">
      <c r="A42" s="1888" t="s">
        <v>1960</v>
      </c>
      <c r="B42" s="1888" t="s">
        <v>1963</v>
      </c>
    </row>
    <row r="43" spans="1:9">
      <c r="A43" s="1888"/>
      <c r="B43" s="1888" t="s">
        <v>1964</v>
      </c>
    </row>
    <row r="44" spans="1:9">
      <c r="A44" s="1888"/>
      <c r="B44" s="1888"/>
    </row>
    <row r="45" spans="1:9">
      <c r="A45" s="1888" t="s">
        <v>1960</v>
      </c>
      <c r="B45" s="1888" t="s">
        <v>1965</v>
      </c>
    </row>
    <row r="46" spans="1:9" s="1888" customFormat="1" ht="12.75">
      <c r="B46" s="1888" t="str">
        <f ca="1">项目基本情况!K4</f>
        <v>梁津（注册号：1119970066)、欧红伟（注册号：1120000080)</v>
      </c>
    </row>
    <row r="47" spans="1:9">
      <c r="A47" s="1888"/>
      <c r="B47" s="1888" t="str">
        <f>项目基本情况!K5</f>
        <v/>
      </c>
    </row>
    <row r="48" spans="1:9">
      <c r="A48" s="1888" t="s">
        <v>1960</v>
      </c>
      <c r="B48" s="1888" t="s">
        <v>1966</v>
      </c>
    </row>
    <row r="49" spans="2:2">
      <c r="B49" s="1888" t="str">
        <f>"康正预评字"&amp;项目基本情况!B2&amp;"号"</f>
        <v>康正预评字2017-1-0775-P02DYGJ1号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2008</v>
      </c>
    </row>
    <row r="2" spans="1:1">
      <c r="A2" s="1947"/>
    </row>
    <row r="3" spans="1:1" ht="18.75">
      <c r="A3" s="2887" t="str">
        <f>项目基本情况!B5&amp;"："</f>
        <v>北京禾亿企业管理有限公司：</v>
      </c>
    </row>
    <row r="4" spans="1:1" ht="37.5">
      <c r="A4" s="1948" t="str">
        <f>"受贵公司委托，我公司对"&amp;项目基本情况!S1&amp;"进行了预评估。"</f>
        <v>受贵公司委托，我公司对北京市朝阳区望京街9号商业楼281套房地产抵押价值进行了预评估。</v>
      </c>
    </row>
    <row r="5" spans="1:1" ht="18.75">
      <c r="A5" s="1949" t="s">
        <v>2009</v>
      </c>
    </row>
    <row r="6" spans="1:1" ht="18.75">
      <c r="A6" s="3053" t="s">
        <v>2864</v>
      </c>
    </row>
    <row r="7" spans="1:1" ht="131.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望京街9号商业楼281套房地产，为北京禾亿企业管理有限公司所有。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建筑面积为92501.33平方米。</v>
      </c>
    </row>
    <row r="8" spans="1:1" ht="56.25">
      <c r="A8" s="1992" t="s">
        <v>2858</v>
      </c>
    </row>
    <row r="9" spans="1:1" ht="18.75">
      <c r="A9" s="3053" t="s">
        <v>2865</v>
      </c>
    </row>
    <row r="10" spans="1:1" ht="131.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望京街9号商业楼281套房地产,为北京禾亿企业管理有限公司开发建设的商业项目，该项目尚在开发建设中。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规划建筑面积为92501.33平方米。</v>
      </c>
    </row>
    <row r="11" spans="1:1" ht="75">
      <c r="A11" s="1992" t="s">
        <v>2899</v>
      </c>
    </row>
    <row r="12" spans="1:1" ht="18.75">
      <c r="A12" s="1949" t="s">
        <v>2010</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2011</v>
      </c>
    </row>
    <row r="15" spans="1:1" ht="18.75">
      <c r="A15" s="1952" t="str">
        <f>TEXT(项目基本情况!D3,"yyyy年m月d日;;")&amp;IF(项目基本情况!D3=项目基本情况!B3,"（评估专业人员实地查勘之日）","")</f>
        <v>2017年8月17日（评估专业人员实地查勘之日）</v>
      </c>
    </row>
    <row r="16" spans="1:1" ht="18.75">
      <c r="A16" s="1951" t="s">
        <v>2013</v>
      </c>
    </row>
    <row r="17" spans="1:1" ht="75">
      <c r="A17" s="1948" t="s">
        <v>2859</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17日，估价对象规划用途为商业、地下车库，土地取得方式为出让，出让国有建设用地使用权剩余土地使用年限为商业26.88年、地下车库36.89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2028</v>
      </c>
    </row>
    <row r="24" spans="1:1" ht="18.75">
      <c r="A24" s="1955" t="str">
        <f>"本次评估采用的主估价方法为"&amp;结果表!K4&amp;"和"&amp;结果表!L4&amp;"。"</f>
        <v>本次评估采用的主估价方法为成本法和收益法。</v>
      </c>
    </row>
    <row r="25" spans="1:1" ht="18.75">
      <c r="A25" s="1955"/>
    </row>
    <row r="26" spans="1:1" ht="18.75">
      <c r="A26" s="2084" t="s">
        <v>2105</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2029</v>
      </c>
      <c r="B1" s="1964"/>
      <c r="C1" s="1964"/>
      <c r="D1" s="1964"/>
      <c r="E1" s="1964"/>
    </row>
    <row r="2" spans="1:5" ht="78" customHeight="1">
      <c r="A2" s="33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tr">
        <f>IF(项目基本情况!B9="房地产市场价值","估价结果一览表（市场价值不需“结果表-1”）","估价结果一览表")</f>
        <v>估价结果一览表</v>
      </c>
      <c r="B3" s="3384"/>
      <c r="C3" s="3384"/>
      <c r="D3" s="3384"/>
      <c r="E3" s="3384"/>
    </row>
    <row r="4" spans="1:5" ht="19.5" thickBot="1">
      <c r="A4" s="1976"/>
      <c r="B4" s="3382" t="s">
        <v>2034</v>
      </c>
      <c r="C4" s="3382"/>
      <c r="D4" s="3382"/>
      <c r="E4" s="1976"/>
    </row>
    <row r="5" spans="1:5" ht="16.5" thickTop="1">
      <c r="A5" s="1964"/>
      <c r="B5" s="3380" t="s">
        <v>2030</v>
      </c>
      <c r="C5" s="1966" t="s">
        <v>2035</v>
      </c>
      <c r="D5" s="1967">
        <f ca="1">结果表!H101</f>
        <v>322046</v>
      </c>
      <c r="E5" s="1964"/>
    </row>
    <row r="6" spans="1:5" ht="15.75">
      <c r="A6" s="1964"/>
      <c r="B6" s="3380"/>
      <c r="C6" s="1966" t="s">
        <v>2869</v>
      </c>
      <c r="D6" s="1967" t="str">
        <f ca="1">NUMBERSTRING(INT(D5*10000),2)&amp;"元整"</f>
        <v>叁拾贰亿贰仟零肆拾陆万元整</v>
      </c>
      <c r="E6" s="1964"/>
    </row>
    <row r="7" spans="1:5" ht="15.75">
      <c r="A7" s="1964"/>
      <c r="B7" s="3385"/>
      <c r="C7" s="1968" t="s">
        <v>2036</v>
      </c>
      <c r="D7" s="1969">
        <f ca="1">结果表!H102</f>
        <v>34815</v>
      </c>
      <c r="E7" s="1964"/>
    </row>
    <row r="8" spans="1:5" ht="15.75">
      <c r="A8" s="1964"/>
      <c r="B8" s="3386" t="str">
        <f>结果表!E103</f>
        <v>2.估价师知悉的法定优先受偿款</v>
      </c>
      <c r="C8" s="1970" t="s">
        <v>2037</v>
      </c>
      <c r="D8" s="1969">
        <f>结果表!H103</f>
        <v>0</v>
      </c>
      <c r="E8" s="1964"/>
    </row>
    <row r="9" spans="1:5" ht="15.75">
      <c r="A9" s="1964"/>
      <c r="B9" s="3388"/>
      <c r="C9" s="1966" t="s">
        <v>2869</v>
      </c>
      <c r="D9" s="1967" t="str">
        <f>NUMBERSTRING(INT(D8*10000),2)&amp;"元整"</f>
        <v>零元整</v>
      </c>
      <c r="E9" s="1964"/>
    </row>
    <row r="10" spans="1:5" ht="15">
      <c r="A10" s="1964"/>
      <c r="B10" s="1971" t="s">
        <v>2031</v>
      </c>
      <c r="C10" s="1972" t="s">
        <v>2037</v>
      </c>
      <c r="D10" s="1973">
        <f>结果表!H104</f>
        <v>0</v>
      </c>
      <c r="E10" s="1964"/>
    </row>
    <row r="11" spans="1:5" ht="15">
      <c r="A11" s="1964"/>
      <c r="B11" s="1971" t="s">
        <v>2032</v>
      </c>
      <c r="C11" s="1972" t="s">
        <v>2037</v>
      </c>
      <c r="D11" s="1973">
        <f>结果表!H105</f>
        <v>0</v>
      </c>
      <c r="E11" s="1964"/>
    </row>
    <row r="12" spans="1:5" ht="15">
      <c r="A12" s="1964"/>
      <c r="B12" s="1971" t="s">
        <v>2033</v>
      </c>
      <c r="C12" s="1972" t="s">
        <v>2037</v>
      </c>
      <c r="D12" s="1973">
        <f>结果表!H106</f>
        <v>0</v>
      </c>
      <c r="E12" s="1964"/>
    </row>
    <row r="13" spans="1:5" ht="15.75">
      <c r="A13" s="1964"/>
      <c r="B13" s="3379" t="str">
        <f>结果表!E107</f>
        <v>3.房地产抵押价值</v>
      </c>
      <c r="C13" s="1974" t="s">
        <v>2035</v>
      </c>
      <c r="D13" s="1977">
        <f ca="1">结果表!H107</f>
        <v>322046</v>
      </c>
      <c r="E13" s="1964"/>
    </row>
    <row r="14" spans="1:5" ht="15.75">
      <c r="A14" s="1964"/>
      <c r="B14" s="3380"/>
      <c r="C14" s="1966" t="s">
        <v>2869</v>
      </c>
      <c r="D14" s="1967" t="str">
        <f ca="1">NUMBERSTRING(INT(D13*10000),2)&amp;"元整"</f>
        <v>叁拾贰亿贰仟零肆拾陆万元整</v>
      </c>
      <c r="E14" s="1964"/>
    </row>
    <row r="15" spans="1:5" ht="15">
      <c r="A15" s="1964"/>
      <c r="B15" s="3385"/>
      <c r="C15" s="1968" t="s">
        <v>2036</v>
      </c>
      <c r="D15" s="2079">
        <f ca="1">结果表!H108</f>
        <v>34815</v>
      </c>
      <c r="E15" s="1964"/>
    </row>
    <row r="16" spans="1:5" ht="14.25">
      <c r="A16" s="1964"/>
      <c r="B16" s="3386" t="str">
        <f>结果表!E109</f>
        <v>——</v>
      </c>
      <c r="C16" s="1974" t="s">
        <v>2035</v>
      </c>
      <c r="D16" s="2080" t="str">
        <f>结果表!H109</f>
        <v>——</v>
      </c>
      <c r="E16" s="1964"/>
    </row>
    <row r="17" spans="1:5" ht="15.75">
      <c r="A17" s="1964"/>
      <c r="B17" s="3387"/>
      <c r="C17" s="1966" t="s">
        <v>2869</v>
      </c>
      <c r="D17" s="1967" t="e">
        <f>NUMBERSTRING(INT(D16*10000),2)&amp;"元整"</f>
        <v>#VALUE!</v>
      </c>
      <c r="E17" s="1964"/>
    </row>
    <row r="18" spans="1:5" ht="15">
      <c r="A18" s="1964"/>
      <c r="B18" s="3388"/>
      <c r="C18" s="1968" t="s">
        <v>2036</v>
      </c>
      <c r="D18" s="2079" t="str">
        <f>结果表!H110</f>
        <v>——</v>
      </c>
      <c r="E18" s="1964"/>
    </row>
    <row r="19" spans="1:5" ht="15.75">
      <c r="A19" s="1964"/>
      <c r="B19" s="3379" t="str">
        <f>结果表!E111</f>
        <v>——</v>
      </c>
      <c r="C19" s="1974" t="s">
        <v>2035</v>
      </c>
      <c r="D19" s="1969" t="str">
        <f>结果表!H111</f>
        <v>——</v>
      </c>
      <c r="E19" s="1964"/>
    </row>
    <row r="20" spans="1:5" ht="15.75">
      <c r="A20" s="1964"/>
      <c r="B20" s="3380"/>
      <c r="C20" s="1966" t="s">
        <v>2869</v>
      </c>
      <c r="D20" s="1967" t="e">
        <f>NUMBERSTRING(INT(D19*10000),2)&amp;"元整"</f>
        <v>#VALUE!</v>
      </c>
      <c r="E20" s="1964"/>
    </row>
    <row r="21" spans="1:5" ht="15.75" thickBot="1">
      <c r="A21" s="1964"/>
      <c r="B21" s="3381"/>
      <c r="C21" s="2081" t="s">
        <v>2036</v>
      </c>
      <c r="D21" s="2082" t="str">
        <f>结果表!H112</f>
        <v>——</v>
      </c>
      <c r="E21" s="1964"/>
    </row>
    <row r="22" spans="1:5" ht="14.25" thickTop="1">
      <c r="A22" s="1964"/>
      <c r="B22" s="1975" t="s">
        <v>2059</v>
      </c>
      <c r="C22" s="1964"/>
      <c r="D22" s="1964"/>
      <c r="E22" s="1964"/>
    </row>
    <row r="23" spans="1:5">
      <c r="A23" s="1964"/>
      <c r="B23" s="1964"/>
      <c r="C23" s="1964"/>
      <c r="D23" s="1964"/>
      <c r="E23" s="1964"/>
    </row>
    <row r="24" spans="1:5" ht="18.75">
      <c r="A24" s="1995"/>
      <c r="B24" s="1996" t="s">
        <v>2042</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89" t="str">
        <f>IF(项目基本情况!B9="房地产市场价值","估价结果一览表","结果表-2")</f>
        <v>结果表-2</v>
      </c>
      <c r="B1" s="3389"/>
      <c r="C1" s="3389"/>
      <c r="D1" s="3389"/>
      <c r="E1" s="3389"/>
      <c r="F1" s="3389"/>
      <c r="G1" s="3389"/>
      <c r="H1" s="3389"/>
      <c r="I1" s="3389"/>
    </row>
    <row r="2" spans="1:9" ht="30" customHeight="1" thickTop="1">
      <c r="A2" s="3390" t="s">
        <v>2870</v>
      </c>
      <c r="B2" s="3390" t="s">
        <v>2038</v>
      </c>
      <c r="C2" s="3390" t="s">
        <v>2039</v>
      </c>
      <c r="D2" s="3390" t="str">
        <f>结果表!D116</f>
        <v>出让国有建设用地使用权价值</v>
      </c>
      <c r="E2" s="3390"/>
      <c r="F2" s="3390" t="str">
        <f>结果表!F116</f>
        <v>建筑物价值</v>
      </c>
      <c r="G2" s="3390"/>
      <c r="H2" s="3390" t="str">
        <f>IF(项目基本情况!B9="房地产市场价值","房地产市场价值","房地产价值")</f>
        <v>房地产价值</v>
      </c>
      <c r="I2" s="3390"/>
    </row>
    <row r="3" spans="1:9" ht="14.25">
      <c r="A3" s="3391"/>
      <c r="B3" s="3391"/>
      <c r="C3" s="3391"/>
      <c r="D3" s="1914" t="s">
        <v>7</v>
      </c>
      <c r="E3" s="1914" t="s">
        <v>2040</v>
      </c>
      <c r="F3" s="1914" t="s">
        <v>7</v>
      </c>
      <c r="G3" s="1914" t="s">
        <v>8</v>
      </c>
      <c r="H3" s="1914" t="s">
        <v>7</v>
      </c>
      <c r="I3" s="1914" t="s">
        <v>8</v>
      </c>
    </row>
    <row r="4" spans="1:9" ht="28.5">
      <c r="A4" s="1984" t="str">
        <f>项目基本情况!S2</f>
        <v>北京市朝阳区望京街9号商业楼281套房地产</v>
      </c>
      <c r="B4" s="1978">
        <f>项目基本情况!C17</f>
        <v>92501.329999999987</v>
      </c>
      <c r="C4" s="1978">
        <f>项目基本情况!C18</f>
        <v>31622.17</v>
      </c>
      <c r="D4" s="1978">
        <f ca="1">结果表!D118</f>
        <v>261823</v>
      </c>
      <c r="E4" s="1978">
        <f ca="1">结果表!E118</f>
        <v>28304</v>
      </c>
      <c r="F4" s="1978">
        <f ca="1">结果表!F118</f>
        <v>60223</v>
      </c>
      <c r="G4" s="1978">
        <f ca="1">结果表!G118</f>
        <v>6511</v>
      </c>
      <c r="H4" s="1978">
        <f ca="1">结果表!H118</f>
        <v>322046</v>
      </c>
      <c r="I4" s="1978">
        <f ca="1">结果表!I118</f>
        <v>34815</v>
      </c>
    </row>
    <row r="5" spans="1:9" ht="30" customHeight="1">
      <c r="A5" s="3391" t="s">
        <v>9</v>
      </c>
      <c r="B5" s="3391"/>
      <c r="C5" s="3391"/>
      <c r="D5" s="3392" t="str">
        <f ca="1">结果表!D119</f>
        <v>贰拾陆亿壹仟捌佰贰拾叁万元整</v>
      </c>
      <c r="E5" s="3392"/>
      <c r="F5" s="3392" t="str">
        <f ca="1">结果表!F119</f>
        <v>陆亿零贰佰贰拾叁万元整</v>
      </c>
      <c r="G5" s="3392"/>
      <c r="H5" s="3392" t="str">
        <f ca="1">结果表!H119</f>
        <v>叁拾贰亿贰仟零肆拾陆万元整</v>
      </c>
      <c r="I5" s="3392"/>
    </row>
    <row r="6" spans="1:9" ht="15.75">
      <c r="A6" s="3393" t="str">
        <f>结果表!A120</f>
        <v>估价师知悉的法定优先受偿款</v>
      </c>
      <c r="B6" s="3393"/>
      <c r="C6" s="3393"/>
      <c r="D6" s="3394">
        <f>结果表!D120</f>
        <v>0</v>
      </c>
      <c r="E6" s="3394"/>
      <c r="F6" s="3394"/>
      <c r="G6" s="3394"/>
      <c r="H6" s="3394"/>
      <c r="I6" s="3394"/>
    </row>
    <row r="7" spans="1:9" ht="14.25">
      <c r="A7" s="3391" t="s">
        <v>9</v>
      </c>
      <c r="B7" s="3391"/>
      <c r="C7" s="3391"/>
      <c r="D7" s="3395" t="str">
        <f>结果表!D121</f>
        <v>零元整</v>
      </c>
      <c r="E7" s="3396"/>
      <c r="F7" s="3396"/>
      <c r="G7" s="3396"/>
      <c r="H7" s="3396"/>
      <c r="I7" s="3397"/>
    </row>
    <row r="8" spans="1:9" ht="15.75">
      <c r="A8" s="3393" t="str">
        <f>结果表!A122</f>
        <v>房地产抵押价值</v>
      </c>
      <c r="B8" s="3393"/>
      <c r="C8" s="3393"/>
      <c r="D8" s="3394">
        <f ca="1">结果表!D122</f>
        <v>322046</v>
      </c>
      <c r="E8" s="3394"/>
      <c r="F8" s="3394"/>
      <c r="G8" s="3394"/>
      <c r="H8" s="3394"/>
      <c r="I8" s="3394"/>
    </row>
    <row r="9" spans="1:9" ht="14.25">
      <c r="A9" s="3391" t="s">
        <v>9</v>
      </c>
      <c r="B9" s="3391"/>
      <c r="C9" s="3391"/>
      <c r="D9" s="3392" t="str">
        <f ca="1">结果表!D123</f>
        <v>叁拾贰亿贰仟零肆拾陆万元整</v>
      </c>
      <c r="E9" s="3392"/>
      <c r="F9" s="3392"/>
      <c r="G9" s="3392"/>
      <c r="H9" s="3392"/>
      <c r="I9" s="3392"/>
    </row>
    <row r="10" spans="1:9" ht="15.75">
      <c r="A10" s="3393" t="str">
        <f>结果表!A124</f>
        <v/>
      </c>
      <c r="B10" s="3393"/>
      <c r="C10" s="3393"/>
      <c r="D10" s="3394" t="str">
        <f>结果表!D124</f>
        <v>——</v>
      </c>
      <c r="E10" s="3394"/>
      <c r="F10" s="3394"/>
      <c r="G10" s="3394"/>
      <c r="H10" s="3394"/>
      <c r="I10" s="3394"/>
    </row>
    <row r="11" spans="1:9" ht="14.25">
      <c r="A11" s="3391" t="s">
        <v>9</v>
      </c>
      <c r="B11" s="3391"/>
      <c r="C11" s="3391"/>
      <c r="D11" s="3392" t="e">
        <f>结果表!D125</f>
        <v>#VALUE!</v>
      </c>
      <c r="E11" s="3392"/>
      <c r="F11" s="3392"/>
      <c r="G11" s="3392"/>
      <c r="H11" s="3392"/>
      <c r="I11" s="3392"/>
    </row>
    <row r="12" spans="1:9" ht="15.75">
      <c r="A12" s="3393" t="str">
        <f>结果表!A126</f>
        <v/>
      </c>
      <c r="B12" s="3393"/>
      <c r="C12" s="3393"/>
      <c r="D12" s="3394" t="str">
        <f>结果表!D126</f>
        <v>——</v>
      </c>
      <c r="E12" s="3394"/>
      <c r="F12" s="3394"/>
      <c r="G12" s="3394"/>
      <c r="H12" s="3394"/>
      <c r="I12" s="3394"/>
    </row>
    <row r="13" spans="1:9" ht="15" thickBot="1">
      <c r="A13" s="3398" t="s">
        <v>9</v>
      </c>
      <c r="B13" s="3398"/>
      <c r="C13" s="3398"/>
      <c r="D13" s="3399" t="e">
        <f>结果表!D127</f>
        <v>#VALUE!</v>
      </c>
      <c r="E13" s="3399"/>
      <c r="F13" s="3399"/>
      <c r="G13" s="3399"/>
      <c r="H13" s="3399"/>
      <c r="I13" s="3399"/>
    </row>
    <row r="14" spans="1:9" ht="14.25" thickTop="1">
      <c r="A14" s="3400" t="s">
        <v>2041</v>
      </c>
      <c r="B14" s="3400"/>
      <c r="C14" s="3400"/>
      <c r="D14" s="3400"/>
      <c r="E14" s="3400"/>
      <c r="F14" s="3400"/>
      <c r="G14" s="3400"/>
      <c r="H14" s="3400"/>
      <c r="I14" s="3400"/>
    </row>
    <row r="16" spans="1:9" ht="18.75">
      <c r="A16" s="1993" t="s">
        <v>2042</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1" t="s">
        <v>2847</v>
      </c>
      <c r="B1" s="3401"/>
      <c r="C1" s="3401"/>
      <c r="D1" s="3401"/>
    </row>
    <row r="2" spans="1:4" ht="18.75">
      <c r="A2" s="3402" t="s">
        <v>2109</v>
      </c>
      <c r="B2" s="3402"/>
      <c r="C2" s="3402"/>
      <c r="D2" s="3402"/>
    </row>
    <row r="3" spans="1:4" ht="18.75">
      <c r="A3" s="2613" t="s">
        <v>2110</v>
      </c>
      <c r="B3" s="2613" t="s">
        <v>2111</v>
      </c>
      <c r="C3" s="2613" t="s">
        <v>2112</v>
      </c>
      <c r="D3" s="2613" t="s">
        <v>2113</v>
      </c>
    </row>
    <row r="4" spans="1:4" ht="56.25" customHeight="1">
      <c r="A4" s="2619" t="str">
        <f>项目基本情况!B4</f>
        <v>梁津</v>
      </c>
      <c r="B4" s="2614">
        <f ca="1">项目基本情况!C4</f>
        <v>1119970066</v>
      </c>
      <c r="C4" s="2617"/>
      <c r="D4" s="2615" t="s">
        <v>2114</v>
      </c>
    </row>
    <row r="5" spans="1:4" ht="56.25" customHeight="1">
      <c r="A5" s="2619" t="str">
        <f>项目基本情况!D4</f>
        <v>欧红伟</v>
      </c>
      <c r="B5" s="2614">
        <f ca="1">项目基本情况!E4</f>
        <v>1120000080</v>
      </c>
      <c r="C5" s="2618"/>
      <c r="D5" s="2615" t="s">
        <v>2114</v>
      </c>
    </row>
    <row r="6" spans="1:4" ht="18.75">
      <c r="A6" s="3402" t="s">
        <v>2610</v>
      </c>
      <c r="B6" s="3402"/>
      <c r="C6" s="3402"/>
      <c r="D6" s="3402"/>
    </row>
    <row r="7" spans="1:4" ht="18.75">
      <c r="A7" s="2613" t="s">
        <v>2110</v>
      </c>
      <c r="B7" s="2614" t="s">
        <v>2115</v>
      </c>
      <c r="C7" s="2613" t="s">
        <v>2112</v>
      </c>
      <c r="D7" s="2613" t="s">
        <v>2113</v>
      </c>
    </row>
    <row r="8" spans="1:4" ht="56.25" customHeight="1">
      <c r="A8" s="2616" t="s">
        <v>2116</v>
      </c>
      <c r="B8" s="2616" t="s">
        <v>23</v>
      </c>
      <c r="C8" s="2617"/>
      <c r="D8" s="2615" t="s">
        <v>2114</v>
      </c>
    </row>
    <row r="9" spans="1:4">
      <c r="A9" s="1497"/>
      <c r="B9" s="1497"/>
      <c r="C9" s="1497"/>
      <c r="D9" s="1497"/>
    </row>
    <row r="10" spans="1:4" ht="18.75">
      <c r="A10" s="2095" t="s">
        <v>2117</v>
      </c>
      <c r="B10" s="1497"/>
      <c r="C10" s="1497"/>
      <c r="D10" s="1497"/>
    </row>
    <row r="11" spans="1:4" ht="30" customHeight="1">
      <c r="A11" s="3403" t="s">
        <v>2702</v>
      </c>
      <c r="B11" s="3404"/>
      <c r="C11" s="3404"/>
      <c r="D11" s="3404"/>
    </row>
    <row r="12" spans="1:4" ht="14.25">
      <c r="A12" s="34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5"/>
      <c r="C12" s="3405"/>
      <c r="D12" s="3405"/>
    </row>
    <row r="13" spans="1:4" ht="30" customHeight="1">
      <c r="A13" s="34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5"/>
      <c r="C13" s="3405"/>
      <c r="D13" s="3405"/>
    </row>
    <row r="14" spans="1:4" ht="15.75" customHeight="1">
      <c r="A14" s="3404" t="str">
        <f>IF(项目基本情况!B8="抵押","4.本次评估估价师所知悉的法定优先受偿款情况说明如下：","——")</f>
        <v>4.本次评估估价师所知悉的法定优先受偿款情况说明如下：</v>
      </c>
      <c r="B14" s="3405"/>
      <c r="C14" s="3405"/>
      <c r="D14" s="3405"/>
    </row>
    <row r="15" spans="1:4" ht="42" customHeight="1">
      <c r="A15" s="3404" t="str">
        <f>IF(项目基本情况!B8="抵押","（1）"&amp;CONCATENATE(项目基本情况!L20,项目基本情况!L21,项目基本情况!L22),"——")</f>
        <v>（1）根据估价对象《不动产权证书》复印件、《国有土地使用权》复印件，截至价值时点，估价对象抵押权未见登记。</v>
      </c>
      <c r="B15" s="3404"/>
      <c r="C15" s="3404"/>
      <c r="D15" s="3404"/>
    </row>
    <row r="16" spans="1:4" ht="30" customHeight="1">
      <c r="A16" s="3407" t="s">
        <v>2121</v>
      </c>
      <c r="B16" s="3407"/>
      <c r="C16" s="3407"/>
      <c r="D16" s="3407"/>
    </row>
    <row r="17" spans="1:4" ht="144" customHeight="1">
      <c r="A17" s="3407" t="s">
        <v>2122</v>
      </c>
      <c r="B17" s="3407"/>
      <c r="C17" s="3407"/>
      <c r="D17" s="3407"/>
    </row>
    <row r="18" spans="1:4" ht="15.75" customHeight="1">
      <c r="A18" s="3404" t="str">
        <f>IF(项目基本情况!B8="抵押",结果表!K120,"——")</f>
        <v>故，本次评估不存在估价师知悉的法定优先受偿款</v>
      </c>
      <c r="B18" s="3404"/>
      <c r="C18" s="3404"/>
      <c r="D18" s="3404"/>
    </row>
    <row r="19" spans="1:4" ht="46.5" customHeight="1">
      <c r="A19" s="34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4"/>
      <c r="C19" s="3404"/>
      <c r="D19" s="3404"/>
    </row>
    <row r="20" spans="1:4" ht="57.75" customHeight="1">
      <c r="A20" s="34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4"/>
      <c r="C20" s="3404"/>
      <c r="D20" s="3404"/>
    </row>
    <row r="21" spans="1:4" ht="57.75" customHeight="1">
      <c r="A21" s="34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8"/>
      <c r="C21" s="3408"/>
      <c r="D21" s="3408"/>
    </row>
    <row r="22" spans="1:4" ht="18.75" customHeight="1">
      <c r="A22" s="3409" t="s">
        <v>2868</v>
      </c>
      <c r="B22" s="3409"/>
      <c r="C22" s="3409"/>
      <c r="D22" s="3409"/>
    </row>
    <row r="23" spans="1:4">
      <c r="A23" s="1985"/>
      <c r="B23" s="1994"/>
      <c r="C23" s="1994"/>
      <c r="D23" s="1994"/>
    </row>
    <row r="24" spans="1:4">
      <c r="A24" s="1985"/>
      <c r="B24" s="1994"/>
      <c r="C24" s="1994"/>
      <c r="D24" s="1994"/>
    </row>
    <row r="25" spans="1:4" ht="18.75">
      <c r="A25" s="1983" t="s">
        <v>2118</v>
      </c>
    </row>
    <row r="26" spans="1:4" ht="18.75">
      <c r="A26" s="1955"/>
    </row>
    <row r="27" spans="1:4" ht="18.75">
      <c r="A27" s="1955" t="s">
        <v>2119</v>
      </c>
    </row>
    <row r="30" spans="1:4" ht="18.75">
      <c r="D30" s="1983" t="s">
        <v>2120</v>
      </c>
    </row>
    <row r="31" spans="1:4" ht="13.5" customHeight="1">
      <c r="C31" s="3406">
        <v>42551</v>
      </c>
      <c r="D31" s="3406"/>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2125</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1132</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15" t="s">
        <v>557</v>
      </c>
      <c r="B15" s="3410" t="s">
        <v>1133</v>
      </c>
      <c r="C15" s="3411"/>
    </row>
    <row r="16" spans="1:7" ht="13.5">
      <c r="A16" s="3416"/>
      <c r="B16" s="3410" t="s">
        <v>530</v>
      </c>
      <c r="C16" s="3411"/>
    </row>
    <row r="17" spans="1:3" ht="13.5">
      <c r="A17" s="3416"/>
      <c r="B17" s="3413" t="s">
        <v>558</v>
      </c>
      <c r="C17" s="1150" t="s">
        <v>557</v>
      </c>
    </row>
    <row r="18" spans="1:3" ht="13.5">
      <c r="A18" s="3416"/>
      <c r="B18" s="3413"/>
      <c r="C18" s="1150" t="s">
        <v>559</v>
      </c>
    </row>
    <row r="19" spans="1:3" ht="13.5">
      <c r="A19" s="3416"/>
      <c r="B19" s="3413"/>
      <c r="C19" s="1150" t="s">
        <v>560</v>
      </c>
    </row>
    <row r="20" spans="1:3" ht="13.5">
      <c r="A20" s="3417"/>
      <c r="B20" s="3412" t="s">
        <v>561</v>
      </c>
      <c r="C20" s="3411"/>
    </row>
    <row r="21" spans="1:3" ht="13.5">
      <c r="A21" s="1151" t="s">
        <v>562</v>
      </c>
      <c r="B21" s="1152"/>
      <c r="C21" s="1153"/>
    </row>
    <row r="22" spans="1:3" ht="13.5">
      <c r="A22" s="3414" t="s">
        <v>563</v>
      </c>
      <c r="B22" s="3412" t="s">
        <v>564</v>
      </c>
      <c r="C22" s="3411"/>
    </row>
    <row r="23" spans="1:3" ht="13.5">
      <c r="A23" s="3414"/>
      <c r="B23" s="3412" t="s">
        <v>565</v>
      </c>
      <c r="C23" s="3411"/>
    </row>
    <row r="24" spans="1:3" ht="13.5">
      <c r="A24" s="3414"/>
      <c r="B24" s="3412" t="s">
        <v>566</v>
      </c>
      <c r="C24" s="3411"/>
    </row>
    <row r="25" spans="1:3" ht="13.5">
      <c r="A25" s="3414"/>
      <c r="B25" s="3413" t="s">
        <v>567</v>
      </c>
      <c r="C25" s="1150" t="s">
        <v>568</v>
      </c>
    </row>
    <row r="26" spans="1:3" ht="13.5">
      <c r="A26" s="3414"/>
      <c r="B26" s="3413"/>
      <c r="C26" s="1150" t="s">
        <v>569</v>
      </c>
    </row>
    <row r="27" spans="1:3" ht="13.5">
      <c r="A27" s="3414"/>
      <c r="B27" s="3413"/>
      <c r="C27" s="1150" t="s">
        <v>570</v>
      </c>
    </row>
    <row r="28" spans="1:3" ht="13.5">
      <c r="A28" s="3414"/>
      <c r="B28" s="3413"/>
      <c r="C28" s="1150" t="s">
        <v>571</v>
      </c>
    </row>
    <row r="29" spans="1:3" ht="13.5">
      <c r="A29" s="3414"/>
      <c r="B29" s="3413"/>
      <c r="C29" s="1150" t="s">
        <v>572</v>
      </c>
    </row>
    <row r="30" spans="1:3" ht="13.5">
      <c r="A30" s="3414"/>
      <c r="B30" s="3413"/>
      <c r="C30" s="1150" t="s">
        <v>573</v>
      </c>
    </row>
    <row r="31" spans="1:3" ht="13.5">
      <c r="A31" s="3414"/>
      <c r="B31" s="3413"/>
      <c r="C31" s="1150" t="s">
        <v>574</v>
      </c>
    </row>
    <row r="32" spans="1:3" ht="13.5">
      <c r="A32" s="3414"/>
      <c r="B32" s="3413"/>
      <c r="C32" s="1150" t="s">
        <v>575</v>
      </c>
    </row>
    <row r="33" spans="1:3" ht="13.5">
      <c r="A33" s="3414"/>
      <c r="B33" s="3413"/>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1967</v>
      </c>
      <c r="B2" s="1892">
        <f ca="1">TODAY()</f>
        <v>42970</v>
      </c>
      <c r="C2" s="1893" t="s">
        <v>1968</v>
      </c>
      <c r="D2" s="1893"/>
    </row>
    <row r="3" spans="1:6" ht="24" customHeight="1">
      <c r="A3" s="1894" t="s">
        <v>1969</v>
      </c>
      <c r="B3" s="1895" t="s">
        <v>1970</v>
      </c>
      <c r="C3" s="1895" t="s">
        <v>1971</v>
      </c>
      <c r="D3" s="1896" t="s">
        <v>1972</v>
      </c>
      <c r="E3" s="1897" t="s">
        <v>1973</v>
      </c>
      <c r="F3" s="1895" t="s">
        <v>1971</v>
      </c>
    </row>
    <row r="4" spans="1:6" ht="24" customHeight="1">
      <c r="A4" s="3206" t="s">
        <v>1974</v>
      </c>
      <c r="B4" s="1897">
        <f ca="1">IF(C4&lt;B2,"已过期",1119970066)</f>
        <v>1119970066</v>
      </c>
      <c r="C4" s="3207">
        <v>43849</v>
      </c>
      <c r="D4" s="3206" t="s">
        <v>1974</v>
      </c>
      <c r="E4" s="1897">
        <f ca="1">IF(F4&lt;B2,"已过期",96010014)</f>
        <v>96010014</v>
      </c>
      <c r="F4" s="1906">
        <v>47118</v>
      </c>
    </row>
    <row r="5" spans="1:6" ht="24" customHeight="1">
      <c r="A5" s="3206" t="s">
        <v>1975</v>
      </c>
      <c r="B5" s="1897">
        <f ca="1">IF(C5&lt;B2,"已过期",1119970074)</f>
        <v>1119970074</v>
      </c>
      <c r="C5" s="3207">
        <v>43849</v>
      </c>
      <c r="D5" s="3206" t="s">
        <v>1975</v>
      </c>
      <c r="E5" s="1897">
        <f ca="1">IF(F5&lt;B2,"已过期",2002110027)</f>
        <v>2002110027</v>
      </c>
      <c r="F5" s="1906">
        <v>46752</v>
      </c>
    </row>
    <row r="6" spans="1:6" ht="24" customHeight="1">
      <c r="A6" s="3206" t="s">
        <v>1976</v>
      </c>
      <c r="B6" s="1897">
        <f ca="1">IF(C6&lt;B2,"已过期",1119970111)</f>
        <v>1119970111</v>
      </c>
      <c r="C6" s="3207">
        <v>43849</v>
      </c>
      <c r="D6" s="3206" t="s">
        <v>1976</v>
      </c>
      <c r="E6" s="1897">
        <f ca="1">IF(F6&lt;B2,"已过期",94010078)</f>
        <v>94010078</v>
      </c>
      <c r="F6" s="1906">
        <v>46387</v>
      </c>
    </row>
    <row r="7" spans="1:6" ht="24" customHeight="1">
      <c r="A7" s="3206" t="s">
        <v>1977</v>
      </c>
      <c r="B7" s="1897">
        <f ca="1">IF(C7&lt;B2,"已过期",1120050019)</f>
        <v>1120050019</v>
      </c>
      <c r="C7" s="3207">
        <v>43359</v>
      </c>
      <c r="D7" s="3206" t="s">
        <v>1977</v>
      </c>
      <c r="E7" s="1897">
        <f ca="1">IF(F7&lt;B2,"已过期",2002110030)</f>
        <v>2002110030</v>
      </c>
      <c r="F7" s="1906">
        <v>46387</v>
      </c>
    </row>
    <row r="8" spans="1:6" ht="24" customHeight="1">
      <c r="A8" s="3206" t="s">
        <v>1978</v>
      </c>
      <c r="B8" s="1897">
        <f ca="1">IF(C8&lt;B2,"已过期",1120000080)</f>
        <v>1120000080</v>
      </c>
      <c r="C8" s="3207">
        <v>43849</v>
      </c>
      <c r="D8" s="3206" t="s">
        <v>1978</v>
      </c>
      <c r="E8" s="1897">
        <f ca="1">IF(F8&lt;B2,"已过期",2000110082)</f>
        <v>2000110082</v>
      </c>
      <c r="F8" s="1906">
        <v>46387</v>
      </c>
    </row>
    <row r="9" spans="1:6" ht="24" customHeight="1">
      <c r="A9" s="3206" t="s">
        <v>1979</v>
      </c>
      <c r="B9" s="1897">
        <f ca="1">IF(C9&lt;B2,"已过期",1419970001)</f>
        <v>1419970001</v>
      </c>
      <c r="C9" s="3207">
        <v>43867</v>
      </c>
      <c r="D9" s="3206" t="s">
        <v>1979</v>
      </c>
      <c r="E9" s="1897">
        <f ca="1">IF(F9&lt;B2,"已过期",2002110125)</f>
        <v>2002110125</v>
      </c>
      <c r="F9" s="1906">
        <v>47118</v>
      </c>
    </row>
    <row r="10" spans="1:6" ht="24" customHeight="1">
      <c r="A10" s="3206" t="s">
        <v>1980</v>
      </c>
      <c r="B10" s="1897">
        <f ca="1">IF(C10&lt;B2,"已过期",1120060040)</f>
        <v>1120060040</v>
      </c>
      <c r="C10" s="3207">
        <v>43483</v>
      </c>
      <c r="D10" s="3206" t="s">
        <v>1980</v>
      </c>
      <c r="E10" s="1897">
        <f ca="1">IF(F10&lt;B2,"已过期",2004110096)</f>
        <v>2004110096</v>
      </c>
      <c r="F10" s="1906">
        <v>47118</v>
      </c>
    </row>
    <row r="11" spans="1:6" ht="24" customHeight="1">
      <c r="A11" s="3206" t="s">
        <v>1981</v>
      </c>
      <c r="B11" s="1897">
        <f ca="1">IF(C11&lt;B2,"已过期",1120100036)</f>
        <v>1120100036</v>
      </c>
      <c r="C11" s="3207">
        <v>43622</v>
      </c>
      <c r="D11" s="3206" t="s">
        <v>1981</v>
      </c>
      <c r="E11" s="1897">
        <f ca="1">IF(F11&lt;B2,"已过期",2010110070)</f>
        <v>2010110070</v>
      </c>
      <c r="F11" s="1906">
        <v>47907</v>
      </c>
    </row>
    <row r="12" spans="1:6" ht="24" customHeight="1">
      <c r="A12" s="3206"/>
      <c r="B12" s="1897"/>
      <c r="C12" s="3207"/>
      <c r="D12" s="3206"/>
      <c r="E12" s="1897"/>
      <c r="F12" s="1897"/>
    </row>
    <row r="13" spans="1:6" ht="24" customHeight="1">
      <c r="A13" s="3206" t="s">
        <v>1982</v>
      </c>
      <c r="B13" s="1897">
        <f ca="1">IF(C13&lt;B2,"已过期",1120070131)</f>
        <v>1120070131</v>
      </c>
      <c r="C13" s="3207">
        <v>43814</v>
      </c>
      <c r="D13" s="3206" t="s">
        <v>1982</v>
      </c>
      <c r="E13" s="1897">
        <v>2014110011</v>
      </c>
      <c r="F13" s="1906">
        <v>49302</v>
      </c>
    </row>
    <row r="14" spans="1:6" ht="24" customHeight="1">
      <c r="A14" s="3206" t="s">
        <v>1983</v>
      </c>
      <c r="B14" s="1897">
        <f ca="1">IF(C14&lt;B2,"已过期",1120130020)</f>
        <v>1120130020</v>
      </c>
      <c r="C14" s="3207">
        <v>43622</v>
      </c>
      <c r="D14" s="3206"/>
      <c r="E14" s="1897"/>
      <c r="F14" s="1897"/>
    </row>
    <row r="15" spans="1:6" ht="24" customHeight="1">
      <c r="A15" s="3208" t="s">
        <v>2700</v>
      </c>
      <c r="B15" s="1897">
        <v>1120070085</v>
      </c>
      <c r="C15" s="3207">
        <v>43814</v>
      </c>
      <c r="D15" s="3208" t="s">
        <v>2700</v>
      </c>
      <c r="E15" s="1897">
        <v>2004110128</v>
      </c>
      <c r="F15" s="1898">
        <v>47118</v>
      </c>
    </row>
    <row r="16" spans="1:6" ht="24" customHeight="1">
      <c r="A16" s="3206" t="s">
        <v>1984</v>
      </c>
      <c r="B16" s="1897">
        <f ca="1">IF(C16&lt;B2,"已过期",1120140022)</f>
        <v>1120140022</v>
      </c>
      <c r="C16" s="3207">
        <v>42987</v>
      </c>
      <c r="D16" s="3206" t="s">
        <v>1984</v>
      </c>
      <c r="E16" s="1897">
        <f ca="1">IF(F16&lt;B2,"已过期",2008110059)</f>
        <v>2008110059</v>
      </c>
      <c r="F16" s="1906">
        <v>47177</v>
      </c>
    </row>
    <row r="17" spans="1:7" ht="24" customHeight="1">
      <c r="A17" s="3206" t="s">
        <v>1985</v>
      </c>
      <c r="B17" s="1897">
        <f ca="1">IF(C17&lt;B2,"已过期",1120140020)</f>
        <v>1120140020</v>
      </c>
      <c r="C17" s="3207">
        <v>42987</v>
      </c>
      <c r="D17" s="3206"/>
      <c r="E17" s="1897"/>
      <c r="F17" s="1906"/>
    </row>
    <row r="18" spans="1:7" ht="24" customHeight="1">
      <c r="A18" s="3206" t="s">
        <v>1986</v>
      </c>
      <c r="B18" s="1897">
        <f ca="1">IF(C18&lt;B2,"已过期",1120140024)</f>
        <v>1120140024</v>
      </c>
      <c r="C18" s="3207">
        <v>42987</v>
      </c>
      <c r="D18" s="3206" t="s">
        <v>1986</v>
      </c>
      <c r="E18" s="1897">
        <f ca="1">IF(F18&lt;B2,"已过期",2011110048)</f>
        <v>2011110048</v>
      </c>
      <c r="F18" s="1906">
        <v>48302</v>
      </c>
    </row>
    <row r="19" spans="1:7" ht="24" customHeight="1">
      <c r="A19" s="3206" t="s">
        <v>1987</v>
      </c>
      <c r="B19" s="1897">
        <f ca="1">IF(C19&lt;B2,"已过期",1120140019)</f>
        <v>1120140019</v>
      </c>
      <c r="C19" s="3207">
        <v>42987</v>
      </c>
      <c r="D19" s="3206"/>
      <c r="E19" s="1897"/>
      <c r="F19" s="1897"/>
    </row>
    <row r="20" spans="1:7" ht="24" customHeight="1">
      <c r="A20" s="3206" t="s">
        <v>1988</v>
      </c>
      <c r="B20" s="1897">
        <f ca="1">IF(C20&lt;B2,"已过期",1120140023)</f>
        <v>1120140023</v>
      </c>
      <c r="C20" s="3207">
        <v>42987</v>
      </c>
      <c r="D20" s="3206"/>
      <c r="E20" s="1897"/>
      <c r="F20" s="1897"/>
    </row>
    <row r="21" spans="1:7" ht="24" customHeight="1">
      <c r="A21" s="3206"/>
      <c r="B21" s="1897"/>
      <c r="C21" s="3207"/>
      <c r="D21" s="3206" t="s">
        <v>1989</v>
      </c>
      <c r="E21" s="1897">
        <f ca="1">IF(F21&lt;B2,"已过期",2011110090)</f>
        <v>2011110090</v>
      </c>
      <c r="F21" s="1906">
        <v>48302</v>
      </c>
    </row>
    <row r="22" spans="1:7" ht="24" customHeight="1">
      <c r="A22" s="3206" t="s">
        <v>1990</v>
      </c>
      <c r="B22" s="1897">
        <f ca="1">IF(C22&lt;B2,"已过期",1120020033)</f>
        <v>1120020033</v>
      </c>
      <c r="C22" s="3207">
        <v>43304</v>
      </c>
      <c r="D22" s="3206" t="s">
        <v>1990</v>
      </c>
      <c r="E22" s="1897">
        <f ca="1">IF(F22&lt;B2,"已过期",2000110137)</f>
        <v>2000110137</v>
      </c>
      <c r="F22" s="1906">
        <v>46387</v>
      </c>
    </row>
    <row r="23" spans="1:7" ht="24" customHeight="1">
      <c r="A23" s="3206" t="s">
        <v>1991</v>
      </c>
      <c r="B23" s="1897">
        <f ca="1">IF(C23&lt;B2,"已过期",1120130048)</f>
        <v>1120130048</v>
      </c>
      <c r="C23" s="3207">
        <v>43686</v>
      </c>
      <c r="D23" s="3206"/>
      <c r="E23" s="1897"/>
      <c r="F23" s="1897"/>
    </row>
    <row r="24" spans="1:7" s="1899" customFormat="1" ht="24" customHeight="1">
      <c r="A24" s="3208" t="s">
        <v>2934</v>
      </c>
      <c r="B24" s="3208" t="s">
        <v>2934</v>
      </c>
      <c r="C24" s="3208" t="s">
        <v>2934</v>
      </c>
      <c r="D24" s="3208" t="s">
        <v>2934</v>
      </c>
      <c r="E24" s="3208" t="s">
        <v>2934</v>
      </c>
      <c r="F24" s="3208" t="s">
        <v>2934</v>
      </c>
    </row>
    <row r="25" spans="1:7" ht="24" customHeight="1">
      <c r="A25" s="3418" t="s">
        <v>1992</v>
      </c>
      <c r="B25" s="3418"/>
      <c r="C25" s="3418"/>
      <c r="D25" s="3418"/>
      <c r="E25" s="3418"/>
      <c r="F25" s="3418"/>
      <c r="G25" s="3418"/>
    </row>
    <row r="26" spans="1:7" s="1901" customFormat="1" ht="24" customHeight="1">
      <c r="A26" s="3419" t="s">
        <v>1993</v>
      </c>
      <c r="B26" s="3419"/>
      <c r="C26" s="3419"/>
      <c r="D26" s="1900"/>
      <c r="E26" s="3419" t="s">
        <v>1994</v>
      </c>
      <c r="F26" s="3419"/>
      <c r="G26" s="3419"/>
    </row>
    <row r="27" spans="1:7" s="1903" customFormat="1" ht="24" customHeight="1">
      <c r="A27" s="1902" t="s">
        <v>1995</v>
      </c>
      <c r="B27" s="1895" t="s">
        <v>1996</v>
      </c>
      <c r="C27" s="1895" t="s">
        <v>1997</v>
      </c>
      <c r="D27" s="1895"/>
      <c r="E27" s="1897" t="s">
        <v>1995</v>
      </c>
      <c r="F27" s="1895" t="s">
        <v>1996</v>
      </c>
      <c r="G27" s="1895" t="s">
        <v>1997</v>
      </c>
    </row>
    <row r="28" spans="1:7" s="1903" customFormat="1" ht="24" customHeight="1">
      <c r="A28" s="1904" t="s">
        <v>1998</v>
      </c>
      <c r="B28" s="1905" t="s">
        <v>1999</v>
      </c>
      <c r="C28" s="1906">
        <v>43725</v>
      </c>
      <c r="D28" s="1906"/>
      <c r="E28" s="1904" t="s">
        <v>2000</v>
      </c>
      <c r="F28" s="1904" t="s">
        <v>2001</v>
      </c>
      <c r="G28" s="2114">
        <v>44377</v>
      </c>
    </row>
    <row r="29" spans="1:7" s="1903" customFormat="1" ht="24" customHeight="1">
      <c r="A29" s="1904"/>
      <c r="B29" s="1904"/>
      <c r="C29" s="1907"/>
      <c r="D29" s="1907"/>
      <c r="E29" s="1904" t="s">
        <v>2002</v>
      </c>
      <c r="F29" s="2440" t="s">
        <v>3046</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27" priority="55">
      <formula>AND($C28-TODAY()&lt;30,TODAY()&lt;$C28)</formula>
    </cfRule>
  </conditionalFormatting>
  <conditionalFormatting sqref="C28:D28 F4">
    <cfRule type="cellIs" dxfId="226" priority="57" stopIfTrue="1" operator="lessThan">
      <formula>$B$2</formula>
    </cfRule>
  </conditionalFormatting>
  <conditionalFormatting sqref="C5">
    <cfRule type="expression" dxfId="225" priority="52">
      <formula>AND($C5-TODAY()&lt;30,TODAY()&lt;$C5)</formula>
    </cfRule>
  </conditionalFormatting>
  <conditionalFormatting sqref="C5 F5">
    <cfRule type="cellIs" dxfId="224" priority="53" stopIfTrue="1" operator="lessThan">
      <formula>$B$2</formula>
    </cfRule>
  </conditionalFormatting>
  <conditionalFormatting sqref="F6 F8 F10">
    <cfRule type="cellIs" dxfId="223" priority="51" stopIfTrue="1" operator="lessThan">
      <formula>$B$2</formula>
    </cfRule>
  </conditionalFormatting>
  <conditionalFormatting sqref="C4:C23">
    <cfRule type="expression" dxfId="222" priority="49">
      <formula>AND($C4-TODAY()&lt;30,TODAY()&lt;$C4)</formula>
    </cfRule>
  </conditionalFormatting>
  <conditionalFormatting sqref="F7 F9 F11 C4:C23">
    <cfRule type="cellIs" dxfId="221" priority="50" stopIfTrue="1" operator="lessThan">
      <formula>$B$2</formula>
    </cfRule>
  </conditionalFormatting>
  <conditionalFormatting sqref="C12">
    <cfRule type="expression" dxfId="220" priority="47">
      <formula>AND($C12-TODAY()&lt;30,TODAY()&lt;$C12)</formula>
    </cfRule>
  </conditionalFormatting>
  <conditionalFormatting sqref="C12">
    <cfRule type="cellIs" dxfId="219" priority="48" stopIfTrue="1" operator="lessThan">
      <formula>$B$2</formula>
    </cfRule>
  </conditionalFormatting>
  <conditionalFormatting sqref="C14">
    <cfRule type="expression" dxfId="218" priority="43">
      <formula>AND($C14-TODAY()&lt;30,TODAY()&lt;$C14)</formula>
    </cfRule>
  </conditionalFormatting>
  <conditionalFormatting sqref="C14">
    <cfRule type="cellIs" dxfId="217" priority="44" stopIfTrue="1" operator="lessThan">
      <formula>$B$2</formula>
    </cfRule>
  </conditionalFormatting>
  <conditionalFormatting sqref="C16">
    <cfRule type="expression" dxfId="216" priority="41">
      <formula>AND($C16-TODAY()&lt;30,TODAY()&lt;$C16)</formula>
    </cfRule>
  </conditionalFormatting>
  <conditionalFormatting sqref="C16">
    <cfRule type="cellIs" dxfId="215" priority="42" stopIfTrue="1" operator="lessThan">
      <formula>$B$2</formula>
    </cfRule>
  </conditionalFormatting>
  <conditionalFormatting sqref="C18">
    <cfRule type="expression" dxfId="214" priority="39">
      <formula>AND($C18-TODAY()&lt;30,TODAY()&lt;$C18)</formula>
    </cfRule>
  </conditionalFormatting>
  <conditionalFormatting sqref="C18">
    <cfRule type="cellIs" dxfId="213" priority="40" stopIfTrue="1" operator="lessThan">
      <formula>$B$2</formula>
    </cfRule>
  </conditionalFormatting>
  <conditionalFormatting sqref="C20">
    <cfRule type="expression" dxfId="212" priority="37">
      <formula>AND($C20-TODAY()&lt;30,TODAY()&lt;$C20)</formula>
    </cfRule>
  </conditionalFormatting>
  <conditionalFormatting sqref="C20">
    <cfRule type="cellIs" dxfId="211" priority="38" stopIfTrue="1" operator="lessThan">
      <formula>$B$2</formula>
    </cfRule>
  </conditionalFormatting>
  <conditionalFormatting sqref="C22">
    <cfRule type="expression" dxfId="210" priority="35">
      <formula>AND($C22-TODAY()&lt;30,TODAY()&lt;$C22)</formula>
    </cfRule>
  </conditionalFormatting>
  <conditionalFormatting sqref="C22">
    <cfRule type="cellIs" dxfId="209" priority="36" stopIfTrue="1" operator="lessThan">
      <formula>$B$2</formula>
    </cfRule>
  </conditionalFormatting>
  <conditionalFormatting sqref="C15">
    <cfRule type="expression" dxfId="208" priority="33">
      <formula>AND($C15-TODAY()&lt;30,TODAY()&lt;$C15)</formula>
    </cfRule>
  </conditionalFormatting>
  <conditionalFormatting sqref="C15">
    <cfRule type="cellIs" dxfId="207" priority="34" stopIfTrue="1" operator="lessThan">
      <formula>$B$2</formula>
    </cfRule>
  </conditionalFormatting>
  <conditionalFormatting sqref="C17">
    <cfRule type="expression" dxfId="206" priority="31">
      <formula>AND($C17-TODAY()&lt;30,TODAY()&lt;$C17)</formula>
    </cfRule>
  </conditionalFormatting>
  <conditionalFormatting sqref="C17">
    <cfRule type="cellIs" dxfId="205" priority="32" stopIfTrue="1" operator="lessThan">
      <formula>$B$2</formula>
    </cfRule>
  </conditionalFormatting>
  <conditionalFormatting sqref="C19">
    <cfRule type="expression" dxfId="204" priority="29">
      <formula>AND($C19-TODAY()&lt;30,TODAY()&lt;$C19)</formula>
    </cfRule>
  </conditionalFormatting>
  <conditionalFormatting sqref="C19">
    <cfRule type="cellIs" dxfId="203" priority="30" stopIfTrue="1" operator="lessThan">
      <formula>$B$2</formula>
    </cfRule>
  </conditionalFormatting>
  <conditionalFormatting sqref="C21">
    <cfRule type="expression" dxfId="202" priority="27">
      <formula>AND($C21-TODAY()&lt;30,TODAY()&lt;$C21)</formula>
    </cfRule>
  </conditionalFormatting>
  <conditionalFormatting sqref="C21">
    <cfRule type="cellIs" dxfId="201" priority="28" stopIfTrue="1" operator="lessThan">
      <formula>$B$2</formula>
    </cfRule>
  </conditionalFormatting>
  <conditionalFormatting sqref="C23">
    <cfRule type="expression" dxfId="200" priority="25">
      <formula>AND($C23-TODAY()&lt;30,TODAY()&lt;$C23)</formula>
    </cfRule>
  </conditionalFormatting>
  <conditionalFormatting sqref="C23">
    <cfRule type="cellIs" dxfId="199" priority="26" stopIfTrue="1" operator="lessThan">
      <formula>$B$2</formula>
    </cfRule>
  </conditionalFormatting>
  <conditionalFormatting sqref="F16">
    <cfRule type="cellIs" dxfId="198" priority="23" stopIfTrue="1" operator="lessThan">
      <formula>$B$2</formula>
    </cfRule>
  </conditionalFormatting>
  <conditionalFormatting sqref="F18">
    <cfRule type="cellIs" dxfId="197" priority="22" stopIfTrue="1" operator="lessThan">
      <formula>$B$2</formula>
    </cfRule>
  </conditionalFormatting>
  <conditionalFormatting sqref="F22">
    <cfRule type="cellIs" dxfId="196" priority="21" stopIfTrue="1" operator="lessThan">
      <formula>$B$2</formula>
    </cfRule>
  </conditionalFormatting>
  <conditionalFormatting sqref="F21">
    <cfRule type="cellIs" dxfId="195" priority="20" stopIfTrue="1" operator="lessThan">
      <formula>$B$2</formula>
    </cfRule>
  </conditionalFormatting>
  <conditionalFormatting sqref="F17">
    <cfRule type="cellIs" dxfId="194" priority="19" stopIfTrue="1" operator="lessThan">
      <formula>$B$2</formula>
    </cfRule>
  </conditionalFormatting>
  <conditionalFormatting sqref="B4:B14 E4:E14 B16:B23 E16:E23">
    <cfRule type="cellIs" dxfId="193" priority="18" stopIfTrue="1" operator="equal">
      <formula>"已过期"</formula>
    </cfRule>
  </conditionalFormatting>
  <conditionalFormatting sqref="A24:F24">
    <cfRule type="cellIs" dxfId="192" priority="14" stopIfTrue="1" operator="equal">
      <formula>"已过期"</formula>
    </cfRule>
  </conditionalFormatting>
  <conditionalFormatting sqref="G28">
    <cfRule type="expression" dxfId="191" priority="12">
      <formula>AND($F28-TODAY()&lt;30,TODAY()&lt;$F28)</formula>
    </cfRule>
  </conditionalFormatting>
  <conditionalFormatting sqref="G28">
    <cfRule type="cellIs" dxfId="190" priority="13" stopIfTrue="1" operator="lessThan">
      <formula>$B$2</formula>
    </cfRule>
  </conditionalFormatting>
  <conditionalFormatting sqref="G29">
    <cfRule type="expression" dxfId="189" priority="8" stopIfTrue="1">
      <formula>AND($F29-TODAY()&lt;30,TODAY()&lt;$F29)</formula>
    </cfRule>
  </conditionalFormatting>
  <conditionalFormatting sqref="G29">
    <cfRule type="cellIs" dxfId="188" priority="9" stopIfTrue="1" operator="lessThan">
      <formula>$B$2</formula>
    </cfRule>
  </conditionalFormatting>
  <conditionalFormatting sqref="B15">
    <cfRule type="cellIs" dxfId="187" priority="6" stopIfTrue="1" operator="equal">
      <formula>"已过期"</formula>
    </cfRule>
  </conditionalFormatting>
  <conditionalFormatting sqref="A15">
    <cfRule type="cellIs" dxfId="186" priority="5" stopIfTrue="1" operator="equal">
      <formula>"已过期"</formula>
    </cfRule>
  </conditionalFormatting>
  <conditionalFormatting sqref="C15">
    <cfRule type="expression" dxfId="185" priority="4">
      <formula>AND($C15-TODAY()&lt;30,TODAY()&lt;$C15)</formula>
    </cfRule>
  </conditionalFormatting>
  <conditionalFormatting sqref="E15">
    <cfRule type="cellIs" dxfId="184" priority="3" stopIfTrue="1" operator="equal">
      <formula>"已过期"</formula>
    </cfRule>
  </conditionalFormatting>
  <conditionalFormatting sqref="D15">
    <cfRule type="cellIs" dxfId="183" priority="2" stopIfTrue="1" operator="equal">
      <formula>"已过期"</formula>
    </cfRule>
  </conditionalFormatting>
  <conditionalFormatting sqref="F13">
    <cfRule type="cellIs" dxfId="18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5" sqref="X25"/>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1874</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1846</v>
      </c>
      <c r="Q1" s="11" t="s">
        <v>2641</v>
      </c>
      <c r="R1" s="1487" t="s">
        <v>2631</v>
      </c>
      <c r="S1" s="290" t="s">
        <v>270</v>
      </c>
      <c r="T1" s="291" t="s">
        <v>271</v>
      </c>
      <c r="U1" s="290" t="s">
        <v>272</v>
      </c>
      <c r="V1" s="290" t="s">
        <v>273</v>
      </c>
      <c r="W1" s="1487" t="s">
        <v>1849</v>
      </c>
    </row>
    <row r="2" spans="1:23">
      <c r="A2" s="2799" t="s">
        <v>114</v>
      </c>
      <c r="B2" s="2799" t="s">
        <v>580</v>
      </c>
      <c r="C2" s="1770" t="s">
        <v>1875</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2635</v>
      </c>
      <c r="S2" s="292" t="s">
        <v>232</v>
      </c>
      <c r="T2" s="292" t="s">
        <v>233</v>
      </c>
      <c r="U2" s="292" t="s">
        <v>232</v>
      </c>
      <c r="V2" s="292" t="s">
        <v>234</v>
      </c>
      <c r="W2" s="292" t="s">
        <v>232</v>
      </c>
    </row>
    <row r="3" spans="1:23">
      <c r="A3" s="2799" t="s">
        <v>579</v>
      </c>
      <c r="B3" s="2800" t="s">
        <v>2677</v>
      </c>
      <c r="C3" s="1771" t="s">
        <v>1876</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2633</v>
      </c>
      <c r="S3" s="292" t="s">
        <v>240</v>
      </c>
      <c r="T3" s="292" t="s">
        <v>241</v>
      </c>
      <c r="U3" s="292" t="s">
        <v>240</v>
      </c>
      <c r="V3" s="292" t="s">
        <v>242</v>
      </c>
      <c r="W3" s="292" t="s">
        <v>240</v>
      </c>
    </row>
    <row r="4" spans="1:23">
      <c r="A4" s="2799" t="s">
        <v>581</v>
      </c>
      <c r="B4" s="2799" t="s">
        <v>582</v>
      </c>
      <c r="C4" s="1770" t="s">
        <v>1877</v>
      </c>
      <c r="D4" s="292" t="s">
        <v>2045</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2636</v>
      </c>
      <c r="S4" s="292" t="s">
        <v>243</v>
      </c>
      <c r="T4" s="292" t="s">
        <v>244</v>
      </c>
      <c r="U4" s="292" t="s">
        <v>243</v>
      </c>
      <c r="W4" s="292" t="s">
        <v>243</v>
      </c>
    </row>
    <row r="5" spans="1:23">
      <c r="A5" s="2799" t="s">
        <v>583</v>
      </c>
      <c r="B5" s="2799" t="s">
        <v>584</v>
      </c>
      <c r="C5" s="1770" t="s">
        <v>1878</v>
      </c>
      <c r="F5" s="292" t="s">
        <v>245</v>
      </c>
      <c r="H5" s="292" t="s">
        <v>246</v>
      </c>
      <c r="I5" s="292" t="s">
        <v>247</v>
      </c>
      <c r="K5" s="292" t="s">
        <v>248</v>
      </c>
      <c r="L5" s="292" t="s">
        <v>248</v>
      </c>
      <c r="M5" s="292" t="s">
        <v>248</v>
      </c>
      <c r="N5" s="292" t="s">
        <v>248</v>
      </c>
      <c r="O5" s="292" t="s">
        <v>248</v>
      </c>
      <c r="P5" s="292" t="s">
        <v>248</v>
      </c>
      <c r="Q5" s="292" t="s">
        <v>248</v>
      </c>
      <c r="R5" s="2765" t="s">
        <v>2637</v>
      </c>
      <c r="S5" s="292" t="s">
        <v>248</v>
      </c>
      <c r="T5" s="292" t="s">
        <v>249</v>
      </c>
      <c r="U5" s="292" t="s">
        <v>248</v>
      </c>
      <c r="W5" s="292" t="s">
        <v>248</v>
      </c>
    </row>
    <row r="6" spans="1:23">
      <c r="A6" s="2799" t="s">
        <v>585</v>
      </c>
      <c r="B6" s="2800" t="s">
        <v>2678</v>
      </c>
      <c r="C6" s="1772" t="s">
        <v>163</v>
      </c>
      <c r="F6" s="292" t="s">
        <v>250</v>
      </c>
      <c r="H6" s="292" t="s">
        <v>251</v>
      </c>
      <c r="I6" s="292" t="s">
        <v>252</v>
      </c>
      <c r="K6" s="292" t="s">
        <v>253</v>
      </c>
      <c r="L6" s="292" t="s">
        <v>253</v>
      </c>
      <c r="M6" s="292" t="s">
        <v>253</v>
      </c>
      <c r="N6" s="292" t="s">
        <v>253</v>
      </c>
      <c r="O6" s="292" t="s">
        <v>253</v>
      </c>
      <c r="P6" s="292" t="s">
        <v>253</v>
      </c>
      <c r="Q6" s="292" t="s">
        <v>253</v>
      </c>
      <c r="R6" s="2765" t="s">
        <v>2638</v>
      </c>
      <c r="S6" s="292" t="s">
        <v>253</v>
      </c>
      <c r="T6" s="292"/>
      <c r="U6" s="292" t="s">
        <v>253</v>
      </c>
      <c r="W6" s="292" t="s">
        <v>253</v>
      </c>
    </row>
    <row r="7" spans="1:23">
      <c r="A7" s="2799" t="s">
        <v>587</v>
      </c>
      <c r="B7" s="2800" t="s">
        <v>2679</v>
      </c>
      <c r="C7" s="1770" t="s">
        <v>164</v>
      </c>
      <c r="F7" s="292" t="s">
        <v>254</v>
      </c>
      <c r="H7" s="292" t="s">
        <v>255</v>
      </c>
      <c r="I7" s="292" t="s">
        <v>256</v>
      </c>
    </row>
    <row r="8" spans="1:23">
      <c r="A8" s="2799" t="s">
        <v>589</v>
      </c>
      <c r="B8" s="2799" t="s">
        <v>586</v>
      </c>
      <c r="C8" s="1770" t="s">
        <v>1879</v>
      </c>
      <c r="F8" s="292" t="s">
        <v>283</v>
      </c>
      <c r="H8" s="292"/>
      <c r="I8" s="292" t="s">
        <v>284</v>
      </c>
    </row>
    <row r="9" spans="1:23">
      <c r="A9" s="2799" t="s">
        <v>591</v>
      </c>
      <c r="B9" s="2799" t="s">
        <v>588</v>
      </c>
      <c r="C9" s="1770" t="s">
        <v>1880</v>
      </c>
      <c r="F9" s="292" t="s">
        <v>285</v>
      </c>
      <c r="H9" s="292"/>
    </row>
    <row r="10" spans="1:23">
      <c r="A10" s="2799" t="s">
        <v>593</v>
      </c>
      <c r="B10" s="2799" t="s">
        <v>590</v>
      </c>
      <c r="C10" s="1770" t="s">
        <v>1881</v>
      </c>
      <c r="F10" s="292" t="s">
        <v>51</v>
      </c>
    </row>
    <row r="11" spans="1:23">
      <c r="A11" s="2799" t="s">
        <v>595</v>
      </c>
      <c r="B11" s="2799" t="s">
        <v>592</v>
      </c>
      <c r="C11" s="1770" t="s">
        <v>1882</v>
      </c>
    </row>
    <row r="12" spans="1:23">
      <c r="A12" s="2799" t="s">
        <v>597</v>
      </c>
      <c r="B12" s="2799" t="s">
        <v>594</v>
      </c>
      <c r="C12" s="1770" t="s">
        <v>1883</v>
      </c>
    </row>
    <row r="13" spans="1:23">
      <c r="A13" s="2799" t="s">
        <v>599</v>
      </c>
      <c r="B13" s="2799" t="s">
        <v>596</v>
      </c>
      <c r="C13" s="1770" t="s">
        <v>1884</v>
      </c>
    </row>
    <row r="14" spans="1:23">
      <c r="A14" s="2799" t="s">
        <v>601</v>
      </c>
      <c r="B14" s="2799" t="s">
        <v>598</v>
      </c>
      <c r="C14" s="292" t="s">
        <v>51</v>
      </c>
    </row>
    <row r="15" spans="1:23">
      <c r="A15" s="2799" t="s">
        <v>602</v>
      </c>
      <c r="B15" s="2799" t="s">
        <v>600</v>
      </c>
      <c r="C15" s="1773"/>
    </row>
    <row r="16" spans="1:23">
      <c r="A16" s="2799" t="s">
        <v>603</v>
      </c>
      <c r="B16" s="2799" t="s">
        <v>1865</v>
      </c>
      <c r="C16" s="1773"/>
    </row>
    <row r="17" spans="1:3">
      <c r="A17" s="2799" t="s">
        <v>604</v>
      </c>
      <c r="B17" s="2799" t="s">
        <v>3088</v>
      </c>
      <c r="C17" s="1773"/>
    </row>
    <row r="18" spans="1:3">
      <c r="A18" s="2799" t="s">
        <v>605</v>
      </c>
      <c r="B18" s="2799" t="s">
        <v>3090</v>
      </c>
      <c r="C18" s="1773"/>
    </row>
    <row r="19" spans="1:3">
      <c r="A19" s="2799" t="s">
        <v>606</v>
      </c>
      <c r="B19" s="2799" t="s">
        <v>3092</v>
      </c>
      <c r="C19" s="1773"/>
    </row>
    <row r="20" spans="1:3">
      <c r="A20" s="2799" t="s">
        <v>607</v>
      </c>
      <c r="B20" s="2799" t="s">
        <v>3094</v>
      </c>
      <c r="C20" s="1773"/>
    </row>
    <row r="21" spans="1:3">
      <c r="A21" s="2799" t="s">
        <v>608</v>
      </c>
      <c r="B21" s="2799" t="s">
        <v>3096</v>
      </c>
      <c r="C21" s="1773"/>
    </row>
    <row r="22" spans="1:3">
      <c r="A22" s="2799" t="s">
        <v>609</v>
      </c>
      <c r="B22" s="2799" t="s">
        <v>3098</v>
      </c>
      <c r="C22" s="1773"/>
    </row>
    <row r="23" spans="1:3">
      <c r="A23" s="2799" t="s">
        <v>610</v>
      </c>
      <c r="B23" s="2799" t="s">
        <v>3100</v>
      </c>
      <c r="C23" s="1773"/>
    </row>
    <row r="24" spans="1:3">
      <c r="A24" s="2799" t="s">
        <v>611</v>
      </c>
      <c r="B24" s="2799" t="s">
        <v>3110</v>
      </c>
      <c r="C24" s="1773"/>
    </row>
    <row r="25" spans="1:3">
      <c r="A25" s="2799" t="s">
        <v>612</v>
      </c>
      <c r="B25" s="2799" t="s">
        <v>3112</v>
      </c>
      <c r="C25" s="1773"/>
    </row>
    <row r="26" spans="1:3">
      <c r="A26" s="2799" t="s">
        <v>613</v>
      </c>
      <c r="B26" s="2799" t="s">
        <v>1866</v>
      </c>
      <c r="C26" s="1773"/>
    </row>
    <row r="27" spans="1:3">
      <c r="A27" s="2799" t="s">
        <v>1866</v>
      </c>
      <c r="B27" s="2799" t="s">
        <v>1866</v>
      </c>
      <c r="C27" s="1773"/>
    </row>
    <row r="28" spans="1:3">
      <c r="A28" s="2799" t="s">
        <v>1866</v>
      </c>
      <c r="B28" s="2799" t="s">
        <v>1866</v>
      </c>
      <c r="C28" s="1773"/>
    </row>
    <row r="29" spans="1:3">
      <c r="A29" s="2799" t="s">
        <v>1866</v>
      </c>
      <c r="B29" s="2799" t="s">
        <v>1866</v>
      </c>
      <c r="C29" s="1773"/>
    </row>
    <row r="30" spans="1:3">
      <c r="A30" s="2799" t="s">
        <v>1866</v>
      </c>
      <c r="B30" s="2799" t="s">
        <v>1866</v>
      </c>
      <c r="C30" s="1773"/>
    </row>
    <row r="31" spans="1:3">
      <c r="A31" s="2799" t="s">
        <v>1866</v>
      </c>
      <c r="B31" s="2799" t="s">
        <v>1866</v>
      </c>
      <c r="C31" s="1773"/>
    </row>
    <row r="32" spans="1:3">
      <c r="A32" s="2799" t="s">
        <v>1866</v>
      </c>
      <c r="B32" s="2799" t="s">
        <v>1866</v>
      </c>
      <c r="C32" s="1773"/>
    </row>
    <row r="33" spans="1:3">
      <c r="A33" s="2799" t="s">
        <v>1866</v>
      </c>
      <c r="B33" s="2799" t="s">
        <v>1866</v>
      </c>
      <c r="C33" s="1773"/>
    </row>
    <row r="34" spans="1:3">
      <c r="A34" s="2799" t="s">
        <v>1866</v>
      </c>
      <c r="B34" s="2799" t="s">
        <v>1866</v>
      </c>
      <c r="C34" s="1773"/>
    </row>
    <row r="35" spans="1:3">
      <c r="A35" s="2799" t="s">
        <v>1866</v>
      </c>
      <c r="B35" s="2799" t="s">
        <v>1866</v>
      </c>
      <c r="C35" s="1773"/>
    </row>
    <row r="36" spans="1:3">
      <c r="A36" s="2799" t="s">
        <v>1866</v>
      </c>
      <c r="B36" s="2799" t="s">
        <v>1866</v>
      </c>
      <c r="C36" s="1773"/>
    </row>
    <row r="37" spans="1:3">
      <c r="A37" s="2799" t="s">
        <v>1866</v>
      </c>
      <c r="B37" s="2799" t="s">
        <v>1866</v>
      </c>
      <c r="C37" s="1773"/>
    </row>
    <row r="38" spans="1:3">
      <c r="A38" s="2799" t="s">
        <v>1866</v>
      </c>
      <c r="B38" s="2799" t="s">
        <v>1866</v>
      </c>
      <c r="C38" s="1773"/>
    </row>
    <row r="39" spans="1:3">
      <c r="A39" s="2799" t="s">
        <v>1866</v>
      </c>
      <c r="B39" s="2799" t="s">
        <v>1866</v>
      </c>
      <c r="C39" s="1773"/>
    </row>
    <row r="40" spans="1:3">
      <c r="A40" s="2799" t="s">
        <v>1866</v>
      </c>
      <c r="B40" s="2799" t="s">
        <v>1866</v>
      </c>
      <c r="C40" s="1773"/>
    </row>
    <row r="41" spans="1:3">
      <c r="A41" s="2799" t="s">
        <v>1866</v>
      </c>
      <c r="B41" s="2799" t="s">
        <v>1866</v>
      </c>
      <c r="C41" s="1773"/>
    </row>
    <row r="42" spans="1:3">
      <c r="A42" s="2799" t="s">
        <v>1866</v>
      </c>
      <c r="B42" s="2799" t="s">
        <v>1866</v>
      </c>
      <c r="C42" s="1773"/>
    </row>
    <row r="43" spans="1:3">
      <c r="A43" s="2799" t="s">
        <v>1866</v>
      </c>
      <c r="B43" s="2799" t="s">
        <v>1866</v>
      </c>
      <c r="C43" s="1773"/>
    </row>
    <row r="44" spans="1:3">
      <c r="A44" s="2799" t="s">
        <v>1866</v>
      </c>
      <c r="B44" s="2799" t="s">
        <v>1866</v>
      </c>
      <c r="C44" s="1773"/>
    </row>
    <row r="45" spans="1:3">
      <c r="A45" s="2799" t="s">
        <v>1866</v>
      </c>
      <c r="B45" s="2799" t="s">
        <v>1866</v>
      </c>
      <c r="C45" s="1773"/>
    </row>
    <row r="46" spans="1:3">
      <c r="A46" s="2799" t="s">
        <v>1866</v>
      </c>
      <c r="B46" s="2799" t="s">
        <v>1866</v>
      </c>
      <c r="C46" s="1773"/>
    </row>
    <row r="47" spans="1:3">
      <c r="A47" s="2799" t="s">
        <v>1866</v>
      </c>
      <c r="B47" s="2799" t="s">
        <v>1866</v>
      </c>
      <c r="C47" s="1773"/>
    </row>
    <row r="48" spans="1:3">
      <c r="A48" s="2799" t="s">
        <v>1866</v>
      </c>
      <c r="B48" s="2799" t="s">
        <v>1866</v>
      </c>
      <c r="C48" s="1773"/>
    </row>
    <row r="49" spans="1:4">
      <c r="A49" s="2799" t="s">
        <v>1866</v>
      </c>
      <c r="B49" s="2799" t="s">
        <v>1866</v>
      </c>
      <c r="C49" s="1773"/>
    </row>
    <row r="50" spans="1:4">
      <c r="A50" s="2799" t="s">
        <v>1866</v>
      </c>
      <c r="B50" s="2799" t="s">
        <v>1866</v>
      </c>
      <c r="C50" s="1773"/>
    </row>
    <row r="51" spans="1:4">
      <c r="A51" s="1953" t="s">
        <v>2012</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禾亿企业管理有限公司拟使用北京市朝阳区望京街9号商业楼281套房地产作为抵押担保物，向办理贷款手续。特委托北京康正宏基房地产评估有限公司对上述抵押物进行评估。本次评估为确定房地产抵押贷款额度提供参考依据而评估房地产抵押价值。</v>
      </c>
      <c r="D51" s="2096" t="s">
        <v>2863</v>
      </c>
    </row>
    <row r="52" spans="1:4">
      <c r="A52" s="1953" t="s">
        <v>2015</v>
      </c>
      <c r="B52" s="1953" t="s">
        <v>2016</v>
      </c>
      <c r="C52" s="1162" t="s">
        <v>2017</v>
      </c>
      <c r="D52" s="1162" t="s">
        <v>2018</v>
      </c>
    </row>
    <row r="53" spans="1:4">
      <c r="A53" s="3420" t="s">
        <v>2019</v>
      </c>
      <c r="B53" s="2096" t="s">
        <v>2020</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17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20"/>
      <c r="B54" s="2096" t="s">
        <v>2021</v>
      </c>
      <c r="C54" s="1162" t="s">
        <v>2860</v>
      </c>
    </row>
    <row r="55" spans="1:4">
      <c r="A55" s="3420"/>
      <c r="B55" s="2096" t="s">
        <v>2022</v>
      </c>
      <c r="C55" s="1162" t="s">
        <v>2861</v>
      </c>
    </row>
    <row r="56" spans="1:4">
      <c r="A56" s="3420"/>
      <c r="B56" s="2096" t="s">
        <v>2023</v>
      </c>
      <c r="C56" s="1162" t="s">
        <v>2871</v>
      </c>
    </row>
    <row r="57" spans="1:4">
      <c r="A57" s="3420"/>
      <c r="B57" s="2096" t="s">
        <v>2024</v>
      </c>
      <c r="C57" s="1162" t="s">
        <v>2862</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2123</v>
      </c>
      <c r="B1" s="3421" t="str">
        <f>IF(B10="北京市","北京市",C10)&amp;F10&amp;IF(结果表!G1="在建","出让国有建设用地使用权及在建建筑物",IF(结果表!G1="土地","出让国有建设用地使用权",))&amp;B9&amp;"预评估"</f>
        <v>北京市朝阳区望京街9号商业楼281套房地产抵押价值预评估</v>
      </c>
      <c r="C1" s="3422"/>
      <c r="D1" s="3422"/>
      <c r="E1" s="3422"/>
      <c r="F1" s="3422"/>
      <c r="G1" s="3422"/>
      <c r="H1" s="3422"/>
      <c r="I1" s="3423"/>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北京市朝阳区望京街9号商业楼281套房地产抵押价值</v>
      </c>
    </row>
    <row r="2" spans="1:19" ht="18" customHeight="1">
      <c r="A2" s="1997" t="s">
        <v>2124</v>
      </c>
      <c r="B2" s="1944" t="s">
        <v>3135</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北京市朝阳区望京街9号商业楼281套房地产</v>
      </c>
    </row>
    <row r="3" spans="1:19" ht="18" customHeight="1">
      <c r="A3" s="1942" t="s">
        <v>2005</v>
      </c>
      <c r="B3" s="3234">
        <v>42964</v>
      </c>
      <c r="C3" s="1925" t="s">
        <v>2006</v>
      </c>
      <c r="D3" s="3234">
        <f>B3</f>
        <v>42964</v>
      </c>
      <c r="E3" s="1997"/>
      <c r="F3" s="1997"/>
      <c r="G3" s="1997"/>
      <c r="H3" s="1997"/>
      <c r="I3" s="1997"/>
      <c r="J3" s="1997"/>
      <c r="K3" s="2103"/>
      <c r="L3" s="1998"/>
      <c r="M3" s="1998"/>
      <c r="N3" s="1197"/>
      <c r="O3" s="11"/>
      <c r="P3" s="1197"/>
      <c r="Q3" s="1197"/>
      <c r="R3" s="1197"/>
      <c r="S3" s="1196"/>
    </row>
    <row r="4" spans="1:19" ht="18" customHeight="1" thickBot="1">
      <c r="A4" s="1926" t="s">
        <v>2007</v>
      </c>
      <c r="B4" s="1927" t="s">
        <v>3061</v>
      </c>
      <c r="C4" s="1928">
        <f ca="1">SUMIF(注册房地产估价师,B4,估价师及机构信息!B3:B24)</f>
        <v>1119970066</v>
      </c>
      <c r="D4" s="1927" t="s">
        <v>3062</v>
      </c>
      <c r="E4" s="1929">
        <f ca="1">SUMIF(注册房地产估价师,D4,估价师及机构信息!B3:B24)</f>
        <v>1120000080</v>
      </c>
      <c r="F4" s="1927" t="s">
        <v>531</v>
      </c>
      <c r="G4" s="1956">
        <f>SUMIF(注册房地产估价师,F4,估价师及机构信息!B3:B24)</f>
        <v>0</v>
      </c>
      <c r="H4" s="1927" t="s">
        <v>531</v>
      </c>
      <c r="I4" s="2888">
        <f>SUMIF(注册房地产估价师,H4,估价师及机构信息!B3:B24)</f>
        <v>0</v>
      </c>
      <c r="J4" s="2002"/>
      <c r="K4" s="2104" t="str">
        <f ca="1">CONCATENATE(B4,"（注册号：",C4,")、",D4,"（注册号：",E4,")")</f>
        <v>梁津（注册号：1119970066)、欧红伟（注册号：1120000080)</v>
      </c>
      <c r="L4" s="1998"/>
      <c r="M4" s="1998"/>
      <c r="N4" s="1197"/>
      <c r="O4" s="11"/>
      <c r="P4" s="1197"/>
      <c r="Q4" s="1197"/>
      <c r="R4" s="1197"/>
      <c r="S4" s="1196"/>
    </row>
    <row r="5" spans="1:19" ht="18" customHeight="1" thickTop="1">
      <c r="A5" s="1930" t="s">
        <v>2088</v>
      </c>
      <c r="B5" s="3289" t="s">
        <v>3136</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2089</v>
      </c>
      <c r="B6" s="2042"/>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2866</v>
      </c>
      <c r="B7" s="3290" t="str">
        <f>B5</f>
        <v>北京禾亿企业管理有限公司</v>
      </c>
      <c r="C7" s="2043"/>
      <c r="D7" s="2004"/>
      <c r="E7" s="2000"/>
      <c r="F7" s="2002"/>
      <c r="G7" s="2002"/>
      <c r="H7" s="2002"/>
      <c r="I7" s="2002"/>
      <c r="J7" s="2002"/>
      <c r="K7" s="2105"/>
      <c r="L7" s="1998"/>
      <c r="M7" s="1998"/>
      <c r="N7" s="1197"/>
      <c r="O7" s="11"/>
      <c r="P7" s="1197"/>
      <c r="Q7" s="1197"/>
      <c r="R7" s="1197"/>
    </row>
    <row r="8" spans="1:19" ht="18" customHeight="1">
      <c r="A8" s="1931" t="s">
        <v>1953</v>
      </c>
      <c r="B8" s="2036" t="s">
        <v>3063</v>
      </c>
      <c r="C8" s="2005"/>
      <c r="D8" s="3424" t="s">
        <v>2014</v>
      </c>
      <c r="E8" s="2037" t="s">
        <v>3064</v>
      </c>
      <c r="F8" s="2038"/>
      <c r="G8" s="1997"/>
      <c r="H8" s="1997"/>
      <c r="I8" s="1997"/>
      <c r="J8" s="2002"/>
      <c r="K8" s="2104"/>
      <c r="L8" s="1998"/>
      <c r="M8" s="1998"/>
      <c r="N8" s="1197"/>
      <c r="O8" s="11"/>
      <c r="P8" s="1197"/>
      <c r="Q8" s="1197"/>
      <c r="R8" s="1197"/>
    </row>
    <row r="9" spans="1:19" ht="18" customHeight="1" thickBot="1">
      <c r="A9" s="1956" t="s">
        <v>1954</v>
      </c>
      <c r="B9" s="1957" t="s">
        <v>3064</v>
      </c>
      <c r="C9" s="2006"/>
      <c r="D9" s="3425"/>
      <c r="E9" s="1957"/>
      <c r="F9" s="2891"/>
      <c r="G9" s="2001"/>
      <c r="H9" s="2001"/>
      <c r="I9" s="2001"/>
      <c r="J9" s="2002"/>
      <c r="K9" s="2105"/>
      <c r="L9" s="1998"/>
      <c r="M9" s="1998"/>
      <c r="N9" s="1197"/>
      <c r="O9" s="11"/>
      <c r="P9" s="1197"/>
      <c r="Q9" s="1197"/>
      <c r="R9" s="1197"/>
    </row>
    <row r="10" spans="1:19" ht="18" customHeight="1" thickTop="1">
      <c r="A10" s="2011" t="s">
        <v>2060</v>
      </c>
      <c r="B10" s="2057" t="s">
        <v>3065</v>
      </c>
      <c r="C10" s="2039"/>
      <c r="D10" s="2003"/>
      <c r="E10" s="1941" t="s">
        <v>1955</v>
      </c>
      <c r="F10" s="1954" t="s">
        <v>3143</v>
      </c>
      <c r="G10" s="2889"/>
      <c r="H10" s="2890"/>
      <c r="I10" s="2003"/>
      <c r="J10" s="2002"/>
      <c r="K10" s="2105"/>
      <c r="L10" s="1998"/>
      <c r="M10" s="1998"/>
      <c r="N10" s="1197"/>
      <c r="O10" s="11"/>
      <c r="P10" s="1197"/>
      <c r="Q10" s="1197"/>
      <c r="R10" s="1197"/>
    </row>
    <row r="11" spans="1:19" ht="18" customHeight="1">
      <c r="A11" s="1960" t="s">
        <v>2061</v>
      </c>
      <c r="B11" s="2056" t="s">
        <v>3066</v>
      </c>
      <c r="C11" s="2040" t="str">
        <f>B7</f>
        <v>北京禾亿企业管理有限公司</v>
      </c>
      <c r="D11" s="2007"/>
      <c r="E11" s="2002"/>
      <c r="F11" s="2002"/>
      <c r="G11" s="2002"/>
      <c r="H11" s="2002"/>
      <c r="I11" s="2002"/>
      <c r="J11" s="2002"/>
      <c r="K11" s="2105"/>
      <c r="L11" s="1998"/>
      <c r="M11" s="1998"/>
      <c r="N11" s="1197"/>
      <c r="O11" s="11"/>
      <c r="P11" s="1197"/>
      <c r="Q11" s="1197"/>
      <c r="R11" s="1197"/>
    </row>
    <row r="12" spans="1:19" ht="18" customHeight="1">
      <c r="A12" s="2055" t="s">
        <v>2087</v>
      </c>
      <c r="B12" s="2056" t="s">
        <v>2025</v>
      </c>
      <c r="C12" s="2014" t="s">
        <v>2091</v>
      </c>
      <c r="D12" s="2026" t="s">
        <v>1947</v>
      </c>
      <c r="E12" s="2026" t="s">
        <v>2703</v>
      </c>
      <c r="F12" s="2026" t="s">
        <v>2704</v>
      </c>
      <c r="G12" s="2026" t="s">
        <v>2705</v>
      </c>
      <c r="H12" s="2026" t="s">
        <v>2706</v>
      </c>
      <c r="I12" s="2026" t="s">
        <v>2707</v>
      </c>
      <c r="J12" s="2002"/>
      <c r="K12" s="2105"/>
      <c r="L12" s="1998"/>
      <c r="M12" s="1998"/>
      <c r="N12" s="1197"/>
      <c r="O12" s="11"/>
      <c r="P12" s="1197"/>
      <c r="Q12" s="1197"/>
      <c r="R12" s="1197"/>
    </row>
    <row r="13" spans="1:19" ht="18" customHeight="1">
      <c r="A13" s="2010"/>
      <c r="B13" s="2085"/>
      <c r="C13" s="2086" t="s">
        <v>2090</v>
      </c>
      <c r="D13" s="3233"/>
      <c r="E13" s="3233">
        <v>52777</v>
      </c>
      <c r="F13" s="3233"/>
      <c r="G13" s="3233">
        <v>56429</v>
      </c>
      <c r="H13" s="3233"/>
      <c r="I13" s="2051"/>
      <c r="J13" s="2002"/>
      <c r="K13" s="2105"/>
      <c r="L13" s="1998"/>
      <c r="M13" s="1998"/>
      <c r="N13" s="1197"/>
      <c r="O13" s="11"/>
      <c r="P13" s="1197"/>
      <c r="Q13" s="1197"/>
      <c r="R13" s="1197"/>
    </row>
    <row r="14" spans="1:19" ht="18" customHeight="1">
      <c r="A14" s="2010"/>
      <c r="B14" s="2085"/>
      <c r="C14" s="2086" t="s">
        <v>2092</v>
      </c>
      <c r="D14" s="2054"/>
      <c r="E14" s="2054">
        <v>40</v>
      </c>
      <c r="F14" s="2054"/>
      <c r="G14" s="2054">
        <v>50</v>
      </c>
      <c r="H14" s="2054"/>
      <c r="I14" s="2054"/>
      <c r="J14" s="2002"/>
      <c r="K14" s="2106"/>
      <c r="L14" s="1998"/>
      <c r="M14" s="1998"/>
      <c r="N14" s="1197"/>
      <c r="O14" s="11"/>
      <c r="P14" s="1197"/>
      <c r="Q14" s="1197"/>
      <c r="R14" s="1197"/>
    </row>
    <row r="15" spans="1:19" ht="18" customHeight="1">
      <c r="A15" s="2011"/>
      <c r="B15" s="2087"/>
      <c r="C15" s="2086" t="s">
        <v>2093</v>
      </c>
      <c r="D15" s="2053" t="str">
        <f>IF(B12="出让",IF(D13="","",ROUNDDOWN(MIN((D13-$D$3)/365,D14),2)),D14)</f>
        <v/>
      </c>
      <c r="E15" s="2053">
        <f>IF(B12="出让",IF(E13="","",ROUNDDOWN(MIN((E13-$D$3)/365,E14),2)),E14)</f>
        <v>26.88</v>
      </c>
      <c r="F15" s="2053" t="str">
        <f>IF(B12="出让",IF(F13="","",ROUNDDOWN(MIN((F13-$D$3)/365,F14),2)),F14)</f>
        <v/>
      </c>
      <c r="G15" s="2053">
        <f>IF(B12="出让",IF(G13="","",ROUNDDOWN(MIN((G13-$D$3)/365,G14),2)),G14)</f>
        <v>36.89</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2094</v>
      </c>
      <c r="B16" s="3431" t="s">
        <v>3067</v>
      </c>
      <c r="C16" s="3432"/>
      <c r="D16" s="3433"/>
      <c r="E16" s="1958" t="s">
        <v>2026</v>
      </c>
      <c r="F16" s="3434" t="s">
        <v>3068</v>
      </c>
      <c r="G16" s="3435"/>
      <c r="H16" s="3435"/>
      <c r="I16" s="3436"/>
      <c r="J16" s="1197"/>
      <c r="K16" s="2107"/>
      <c r="L16" s="1231"/>
      <c r="M16" s="1231"/>
      <c r="N16" s="2022"/>
      <c r="O16" s="1231"/>
      <c r="P16" s="2022"/>
      <c r="Q16" s="1197"/>
      <c r="R16" s="1197"/>
    </row>
    <row r="17" spans="1:22" ht="18" customHeight="1">
      <c r="A17" s="2009" t="s">
        <v>1956</v>
      </c>
      <c r="B17" s="1942" t="s">
        <v>1957</v>
      </c>
      <c r="C17" s="2088">
        <f>'数据-汇总表'!E3</f>
        <v>92501.329999999987</v>
      </c>
      <c r="D17" s="1943" t="s">
        <v>1958</v>
      </c>
      <c r="E17" s="3437" t="s">
        <v>3137</v>
      </c>
      <c r="F17" s="3438"/>
      <c r="G17" s="3438"/>
      <c r="H17" s="3438"/>
      <c r="I17" s="3439"/>
      <c r="J17" s="1197"/>
      <c r="K17" s="2698"/>
      <c r="L17" s="1231"/>
      <c r="M17" s="1231"/>
      <c r="N17" s="2022"/>
      <c r="O17" s="1231"/>
      <c r="P17" s="2022"/>
      <c r="Q17" s="1197"/>
      <c r="R17" s="1197"/>
      <c r="S17" s="1197"/>
      <c r="T17" s="1197"/>
      <c r="U17" s="1197"/>
      <c r="V17" s="1197"/>
    </row>
    <row r="18" spans="1:22" ht="36" customHeight="1" thickBot="1">
      <c r="A18" s="2897" t="s">
        <v>531</v>
      </c>
      <c r="B18" s="1926" t="s">
        <v>1959</v>
      </c>
      <c r="C18" s="2898">
        <f>'数据-汇总表'!D3</f>
        <v>31622.17</v>
      </c>
      <c r="D18" s="2899" t="s">
        <v>1958</v>
      </c>
      <c r="E18" s="3440" t="s">
        <v>3069</v>
      </c>
      <c r="F18" s="3441"/>
      <c r="G18" s="3441"/>
      <c r="H18" s="3441"/>
      <c r="I18" s="3442"/>
      <c r="J18" s="1197"/>
      <c r="K18" s="2698"/>
      <c r="L18" s="1231"/>
      <c r="M18" s="1231"/>
      <c r="N18" s="2022"/>
      <c r="O18" s="1231"/>
      <c r="P18" s="2022"/>
      <c r="Q18" s="1197"/>
      <c r="R18" s="1197"/>
      <c r="S18" s="1197"/>
      <c r="T18" s="1197"/>
      <c r="U18" s="1197"/>
      <c r="V18" s="1197"/>
    </row>
    <row r="19" spans="1:22" ht="37.5" customHeight="1" thickTop="1" thickBot="1">
      <c r="A19" s="2896" t="s">
        <v>2043</v>
      </c>
      <c r="B19" s="2062" t="s">
        <v>2044</v>
      </c>
      <c r="C19" s="2063" t="s">
        <v>41</v>
      </c>
      <c r="D19" s="2045" t="s">
        <v>2047</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2048</v>
      </c>
      <c r="B20" s="3427" t="s">
        <v>2049</v>
      </c>
      <c r="C20" s="3428"/>
      <c r="D20" s="3429" t="s">
        <v>2050</v>
      </c>
      <c r="E20" s="3430"/>
      <c r="F20" s="2070" t="s">
        <v>2051</v>
      </c>
      <c r="G20" s="2002"/>
      <c r="H20" s="2002"/>
      <c r="I20" s="2002"/>
      <c r="J20" s="2002"/>
      <c r="K20" s="3426" t="s">
        <v>2046</v>
      </c>
      <c r="L20" s="2612"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根据估价对象《不动产权证书》复印件、《国有土地使用权》复印件，截至价值时点，估价对象抵押权未见登记。</v>
      </c>
      <c r="M20" s="1998"/>
      <c r="N20" s="2022"/>
      <c r="O20" s="1231"/>
      <c r="P20" s="2022"/>
      <c r="Q20" s="1197"/>
      <c r="R20" s="1197"/>
      <c r="S20" s="1197"/>
      <c r="T20" s="1197"/>
      <c r="U20" s="1197"/>
      <c r="V20" s="1197"/>
    </row>
    <row r="21" spans="1:22" ht="24.75" customHeight="1">
      <c r="A21" s="2064"/>
      <c r="B21" s="2065" t="s">
        <v>3138</v>
      </c>
      <c r="C21" s="2034" t="s">
        <v>2053</v>
      </c>
      <c r="D21" s="1991"/>
      <c r="E21" s="2035"/>
      <c r="F21" s="1980"/>
      <c r="G21" s="2002"/>
      <c r="H21" s="2002"/>
      <c r="I21" s="2002"/>
      <c r="J21" s="2002"/>
      <c r="K21" s="3426"/>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8"/>
      <c r="N21" s="2022"/>
      <c r="O21" s="1231"/>
      <c r="P21" s="2022"/>
      <c r="Q21" s="1197"/>
      <c r="R21" s="1197"/>
      <c r="S21" s="1197"/>
      <c r="T21" s="1197"/>
      <c r="U21" s="1197"/>
      <c r="V21" s="1197"/>
    </row>
    <row r="22" spans="1:22" ht="24.75" customHeight="1" thickBot="1">
      <c r="A22" s="2064"/>
      <c r="B22" s="2066" t="s">
        <v>2052</v>
      </c>
      <c r="C22" s="2034" t="s">
        <v>2053</v>
      </c>
      <c r="D22" s="1997"/>
      <c r="E22" s="1997"/>
      <c r="F22" s="2071"/>
      <c r="G22" s="2002"/>
      <c r="H22" s="2002"/>
      <c r="I22" s="2002"/>
      <c r="J22" s="2002"/>
      <c r="K22" s="3426"/>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2054</v>
      </c>
      <c r="B23" s="2067" t="s">
        <v>2055</v>
      </c>
      <c r="C23" s="2068"/>
      <c r="D23" s="1981" t="s">
        <v>2055</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2056</v>
      </c>
      <c r="C24" s="2069"/>
      <c r="D24" s="1979" t="s">
        <v>2056</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2057</v>
      </c>
      <c r="C25" s="2069"/>
      <c r="D25" s="1979" t="s">
        <v>2057</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2058</v>
      </c>
      <c r="C26" s="2073"/>
      <c r="D26" s="2061" t="s">
        <v>2058</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44" t="s">
        <v>2062</v>
      </c>
      <c r="B27" s="2011" t="s">
        <v>2063</v>
      </c>
      <c r="C27" s="1932" t="s">
        <v>3070</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44"/>
      <c r="B28" s="1942" t="s">
        <v>2064</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44"/>
      <c r="B29" s="1942" t="s">
        <v>2065</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45"/>
      <c r="B30" s="1942" t="s">
        <v>2066</v>
      </c>
      <c r="C30" s="3446"/>
      <c r="D30" s="3447"/>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8" t="s">
        <v>2067</v>
      </c>
      <c r="B31" s="1938" t="s">
        <v>3071</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9"/>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9"/>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2027</v>
      </c>
      <c r="B34" s="1962" t="s">
        <v>3072</v>
      </c>
      <c r="C34" s="1962" t="s">
        <v>3073</v>
      </c>
      <c r="D34" s="1962" t="s">
        <v>3074</v>
      </c>
      <c r="E34" s="1962" t="s">
        <v>3075</v>
      </c>
      <c r="F34" s="1962" t="s">
        <v>3076</v>
      </c>
      <c r="G34" s="1962" t="s">
        <v>3086</v>
      </c>
      <c r="H34" s="1962"/>
      <c r="I34" s="2002"/>
      <c r="J34" s="2002"/>
      <c r="K34" s="2886">
        <f>COUNTIF(B34:H34,"——")</f>
        <v>0</v>
      </c>
      <c r="L34" s="2014" t="s">
        <v>2096</v>
      </c>
      <c r="M34" s="2014" t="s">
        <v>2097</v>
      </c>
      <c r="N34" s="2014" t="s">
        <v>2098</v>
      </c>
      <c r="O34" s="2014" t="s">
        <v>2099</v>
      </c>
      <c r="P34" s="2014" t="s">
        <v>2100</v>
      </c>
      <c r="Q34" s="2014" t="s">
        <v>2101</v>
      </c>
      <c r="R34" s="2014" t="s">
        <v>2102</v>
      </c>
      <c r="S34" s="3443" t="s">
        <v>2103</v>
      </c>
      <c r="T34" s="2015" t="str">
        <f>NUMBERSTRING(7-K34,1)&amp;"通"</f>
        <v>七通</v>
      </c>
      <c r="U34" s="1197"/>
      <c r="V34" s="1197"/>
    </row>
    <row r="35" spans="1:22" ht="18" customHeight="1">
      <c r="A35" s="2016"/>
      <c r="B35" s="3450" t="s">
        <v>1872</v>
      </c>
      <c r="C35" s="3450"/>
      <c r="D35" s="3450"/>
      <c r="E35" s="3450"/>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43"/>
      <c r="T35" s="23" t="str">
        <f>IF(T34="一通",L35,IF(T34="二通",M35,IF(T34="三通",N35,IF(T34="四通",O35,IF(T34="五通",P35,IF(T34="六通",Q35,R35))))))</f>
        <v>通路、通电、通讯、通上水、通下水、燃气、</v>
      </c>
      <c r="U35" s="1197"/>
      <c r="V35" s="1197"/>
    </row>
    <row r="36" spans="1:22" ht="18" customHeight="1">
      <c r="A36" s="2018"/>
      <c r="B36" s="2017" t="s">
        <v>1952</v>
      </c>
      <c r="C36" s="2017" t="s">
        <v>1948</v>
      </c>
      <c r="D36" s="2017" t="s">
        <v>1947</v>
      </c>
      <c r="E36" s="2017" t="s">
        <v>1949</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1871</v>
      </c>
      <c r="B37" s="2021" t="s">
        <v>1135</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1873</v>
      </c>
      <c r="B38" s="2049" t="s">
        <v>1387</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3028</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2068</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2069</v>
      </c>
      <c r="B42" s="1988" t="s">
        <v>2070</v>
      </c>
      <c r="C42" s="1988" t="s">
        <v>2071</v>
      </c>
      <c r="D42" s="1988" t="s">
        <v>2072</v>
      </c>
      <c r="E42" s="1988" t="s">
        <v>2073</v>
      </c>
      <c r="F42" s="1988" t="s">
        <v>2074</v>
      </c>
      <c r="G42" s="1988" t="s">
        <v>2075</v>
      </c>
      <c r="H42" s="1988" t="s">
        <v>2076</v>
      </c>
      <c r="I42" s="1988" t="s">
        <v>2077</v>
      </c>
      <c r="J42" s="2101" t="s">
        <v>2078</v>
      </c>
      <c r="K42" s="2026" t="s">
        <v>2079</v>
      </c>
      <c r="L42" s="2026" t="s">
        <v>2080</v>
      </c>
      <c r="M42" s="2026" t="s">
        <v>2081</v>
      </c>
      <c r="N42" s="1988" t="s">
        <v>2082</v>
      </c>
      <c r="O42" s="1988" t="s">
        <v>2083</v>
      </c>
      <c r="P42" s="1988" t="s">
        <v>2084</v>
      </c>
      <c r="Q42" s="2014" t="s">
        <v>2085</v>
      </c>
      <c r="R42" s="2014" t="s">
        <v>2086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2403</v>
      </c>
      <c r="AZ2" s="2522" t="s">
        <v>2404</v>
      </c>
      <c r="BA2" s="2523" t="s">
        <v>2405</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f>SUM(A13:A28)</f>
        <v>31622.170000000002</v>
      </c>
      <c r="B3" s="302">
        <f>IF(C3="否",G5-AT5,G5)</f>
        <v>92501.329999999987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92501.329999999987</v>
      </c>
      <c r="H5" s="305">
        <f t="shared" ref="H5:AT5" si="0">SUM(H13:H656)</f>
        <v>92501.329999999987</v>
      </c>
      <c r="I5" s="305">
        <f t="shared" si="0"/>
        <v>53370.079999999994</v>
      </c>
      <c r="J5" s="305">
        <f t="shared" si="0"/>
        <v>0</v>
      </c>
      <c r="K5" s="305">
        <f t="shared" si="0"/>
        <v>25109.51</v>
      </c>
      <c r="L5" s="305">
        <f t="shared" si="0"/>
        <v>0</v>
      </c>
      <c r="M5" s="305">
        <f t="shared" si="0"/>
        <v>14021.740000000002</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92501.329999999987</v>
      </c>
      <c r="BA5" s="307">
        <f t="shared" si="1"/>
        <v>92501.329999999987</v>
      </c>
      <c r="BB5" s="307">
        <f t="shared" si="1"/>
        <v>53370.079999999994</v>
      </c>
      <c r="BC5" s="307">
        <f t="shared" si="1"/>
        <v>25109.51</v>
      </c>
      <c r="BD5" s="307">
        <f t="shared" si="1"/>
        <v>14021.740000000002</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31622.17</v>
      </c>
      <c r="F6" s="305" t="s">
        <v>23</v>
      </c>
      <c r="G6" s="305" t="s">
        <v>25</v>
      </c>
      <c r="H6" s="309">
        <f>SUMIF(I$12:AB$12,"总值",I6:AB6)</f>
        <v>31622.17</v>
      </c>
      <c r="I6" s="305">
        <f t="shared" ref="I6:AB6" si="2">ROUND($A$3*I5/$B$3,2)</f>
        <v>18244.900000000001</v>
      </c>
      <c r="J6" s="305">
        <f t="shared" si="2"/>
        <v>0</v>
      </c>
      <c r="K6" s="305">
        <f t="shared" si="2"/>
        <v>8583.85</v>
      </c>
      <c r="L6" s="305">
        <f t="shared" si="2"/>
        <v>0</v>
      </c>
      <c r="M6" s="305">
        <f t="shared" si="2"/>
        <v>4793.42</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31622.17</v>
      </c>
      <c r="AZ6" s="305" t="s">
        <v>29</v>
      </c>
      <c r="BA6" s="305">
        <f>ROUND($AY$6*BA5/$AZ$5,2)</f>
        <v>31622.17</v>
      </c>
      <c r="BB6" s="305">
        <f>ROUND($AY$6*BB5/$AZ$5,2)</f>
        <v>18244.900000000001</v>
      </c>
      <c r="BC6" s="305">
        <f t="shared" ref="BC6:BH6" si="4">ROUND($AY$6*BC5/$AZ$5,2)</f>
        <v>8583.85</v>
      </c>
      <c r="BD6" s="305">
        <f t="shared" si="4"/>
        <v>4793.42</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3077</v>
      </c>
      <c r="J9" s="245"/>
      <c r="K9" s="244" t="s">
        <v>3079</v>
      </c>
      <c r="L9" s="245"/>
      <c r="M9" s="244" t="s">
        <v>3079</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3039</v>
      </c>
      <c r="J10" s="245"/>
      <c r="K10" s="252" t="s">
        <v>3080</v>
      </c>
      <c r="L10" s="245"/>
      <c r="M10" s="252" t="s">
        <v>3039</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3078</v>
      </c>
      <c r="J11" s="259"/>
      <c r="K11" s="258" t="s">
        <v>3080</v>
      </c>
      <c r="L11" s="259"/>
      <c r="M11" s="258" t="s">
        <v>3078</v>
      </c>
      <c r="N11" s="259"/>
      <c r="O11" s="258"/>
      <c r="P11" s="259"/>
      <c r="Q11" s="258"/>
      <c r="R11" s="259"/>
      <c r="S11" s="258"/>
      <c r="T11" s="259"/>
      <c r="U11" s="258"/>
      <c r="V11" s="259"/>
      <c r="W11" s="258"/>
      <c r="X11" s="259"/>
      <c r="Y11" s="258"/>
      <c r="Z11" s="259"/>
      <c r="AA11" s="258"/>
      <c r="AB11" s="259"/>
      <c r="AC11" s="240"/>
      <c r="AD11" s="2514" t="s">
        <v>2392</v>
      </c>
      <c r="AE11" s="2493"/>
      <c r="AF11" s="2514" t="s">
        <v>2392</v>
      </c>
      <c r="AG11" s="2493"/>
      <c r="AH11" s="2514" t="s">
        <v>2393</v>
      </c>
      <c r="AI11" s="2515"/>
      <c r="AJ11" s="2514" t="s">
        <v>2393</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独立商业</v>
      </c>
      <c r="BC12" s="267" t="str">
        <f>K11</f>
        <v>车库</v>
      </c>
      <c r="BD12" s="267" t="str">
        <f>M11</f>
        <v>独立商业</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v>1562</v>
      </c>
      <c r="B13" s="216">
        <v>77402</v>
      </c>
      <c r="C13" s="216">
        <v>3</v>
      </c>
      <c r="D13" s="217" t="s">
        <v>3050</v>
      </c>
      <c r="E13" s="305">
        <f>IF($C$3="是",ROUND($A$3*G13/$B$3,2),ROUND($A$3*(G13-AT13)/$B$3,2))</f>
        <v>1562.01</v>
      </c>
      <c r="F13" s="321"/>
      <c r="G13" s="322">
        <f>H13+AC13+AT13</f>
        <v>4569.2</v>
      </c>
      <c r="H13" s="309">
        <f>SUMIF(I$12:AB$12,"总值",I13:AB13)</f>
        <v>4569.2</v>
      </c>
      <c r="I13" s="1418">
        <v>4569.2</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1562</v>
      </c>
      <c r="AW13" s="82">
        <f t="shared" si="6"/>
        <v>77402</v>
      </c>
      <c r="AX13" s="82">
        <f t="shared" si="6"/>
        <v>3</v>
      </c>
      <c r="AY13" s="304">
        <f>ROUND($AY$6*AZ13/$AZ$5,2)</f>
        <v>1562.01</v>
      </c>
      <c r="AZ13" s="305">
        <f>BA13+BL13</f>
        <v>4569.2</v>
      </c>
      <c r="BA13" s="305">
        <f>SUM(BB13:BK13)</f>
        <v>4569.2</v>
      </c>
      <c r="BB13" s="305">
        <f>IF($D13="是",I13-J13,0)</f>
        <v>4569.2</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v>3067.97</v>
      </c>
      <c r="B14" s="216">
        <v>77415</v>
      </c>
      <c r="C14" s="1417">
        <v>4</v>
      </c>
      <c r="D14" s="217" t="s">
        <v>3050</v>
      </c>
      <c r="E14" s="305">
        <f>IF($C$3="是",ROUND($A$3*G14/$B$3,2),ROUND($A$3*(G14-AT14)/$B$3,2))</f>
        <v>3067.96</v>
      </c>
      <c r="F14" s="321"/>
      <c r="G14" s="322">
        <f>H14+AC14+AT14</f>
        <v>8974.42</v>
      </c>
      <c r="H14" s="309">
        <f>SUMIF(I$12:AB$12,"总值",I14:AB14)</f>
        <v>8974.42</v>
      </c>
      <c r="I14" s="1418">
        <v>8974.42</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3067.97</v>
      </c>
      <c r="AW14" s="82">
        <f t="shared" si="6"/>
        <v>77415</v>
      </c>
      <c r="AX14" s="82">
        <f t="shared" si="6"/>
        <v>4</v>
      </c>
      <c r="AY14" s="304">
        <f>ROUND($AY$6*AZ14/$AZ$5,2)</f>
        <v>3067.96</v>
      </c>
      <c r="AZ14" s="305">
        <f>BA14+BL14</f>
        <v>8974.42</v>
      </c>
      <c r="BA14" s="305">
        <f>SUM(BB14:BK14)</f>
        <v>8974.42</v>
      </c>
      <c r="BB14" s="305">
        <f>IF($D14="是",I14-J14,0)</f>
        <v>8974.42</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v>3003.23</v>
      </c>
      <c r="B15" s="216">
        <v>77422</v>
      </c>
      <c r="C15" s="1417">
        <v>3</v>
      </c>
      <c r="D15" s="217" t="s">
        <v>3050</v>
      </c>
      <c r="E15" s="305">
        <f>IF($C$3="是",ROUND($A$3*G15/$B$3,2),ROUND($A$3*(G15-AT15)/$B$3,2))</f>
        <v>3003.23</v>
      </c>
      <c r="F15" s="321"/>
      <c r="G15" s="322">
        <f>H15+AC15+AT15</f>
        <v>8785.0499999999993</v>
      </c>
      <c r="H15" s="309">
        <f>SUMIF(I$12:AB$12,"总值",I15:AB15)</f>
        <v>8785.0499999999993</v>
      </c>
      <c r="I15" s="1418">
        <v>8785.0499999999993</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3003.23</v>
      </c>
      <c r="AW15" s="82">
        <f t="shared" si="6"/>
        <v>77422</v>
      </c>
      <c r="AX15" s="82">
        <f t="shared" si="6"/>
        <v>3</v>
      </c>
      <c r="AY15" s="304">
        <f>ROUND($AY$6*AZ15/$AZ$5,2)</f>
        <v>3003.23</v>
      </c>
      <c r="AZ15" s="305">
        <f>BA15+BL15</f>
        <v>8785.0499999999993</v>
      </c>
      <c r="BA15" s="305">
        <f>SUM(BB15:BK15)</f>
        <v>8785.0499999999993</v>
      </c>
      <c r="BB15" s="305">
        <f>IF($D15="是",I15-J15,0)</f>
        <v>8785.0499999999993</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v>942.45</v>
      </c>
      <c r="B16" s="216">
        <v>77427</v>
      </c>
      <c r="C16" s="1417">
        <v>2</v>
      </c>
      <c r="D16" s="217" t="s">
        <v>3050</v>
      </c>
      <c r="E16" s="305">
        <f>IF($C$3="是",ROUND($A$3*G16/$B$3,2),ROUND($A$3*(G16-AT16)/$B$3,2))</f>
        <v>942.47</v>
      </c>
      <c r="F16" s="321"/>
      <c r="G16" s="322">
        <f>H16+AC16+AT16</f>
        <v>2756.91</v>
      </c>
      <c r="H16" s="309">
        <f>SUMIF(I$12:AB$12,"总值",I16:AB16)</f>
        <v>2756.91</v>
      </c>
      <c r="I16" s="1418">
        <v>2756.91</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942.45</v>
      </c>
      <c r="AW16" s="82">
        <f t="shared" si="6"/>
        <v>77427</v>
      </c>
      <c r="AX16" s="82">
        <f t="shared" si="6"/>
        <v>2</v>
      </c>
      <c r="AY16" s="304">
        <f>ROUND($AY$6*AZ16/$AZ$5,2)</f>
        <v>942.47</v>
      </c>
      <c r="AZ16" s="305">
        <f>BA16+BL16</f>
        <v>2756.91</v>
      </c>
      <c r="BA16" s="305">
        <f>SUM(BB16:BK16)</f>
        <v>2756.91</v>
      </c>
      <c r="BB16" s="305">
        <f>IF($D16="是",I16-J16,0)</f>
        <v>2756.91</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v>64.73</v>
      </c>
      <c r="B17" s="216">
        <v>82112</v>
      </c>
      <c r="C17" s="1417">
        <v>3</v>
      </c>
      <c r="D17" s="217" t="s">
        <v>3050</v>
      </c>
      <c r="E17" s="305">
        <f>IF($C$3="是",ROUND($A$3*G17/$B$3,2),ROUND($A$3*(G17-AT17)/$B$3,2))</f>
        <v>64.73</v>
      </c>
      <c r="F17" s="321"/>
      <c r="G17" s="322">
        <f>H17+AC17+AT17</f>
        <v>189.35</v>
      </c>
      <c r="H17" s="309">
        <f>SUMIF(I$12:AB$12,"总值",I17:AB17)</f>
        <v>189.35</v>
      </c>
      <c r="I17" s="1418">
        <v>189.35</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64.73</v>
      </c>
      <c r="AW17" s="82">
        <f t="shared" si="6"/>
        <v>82112</v>
      </c>
      <c r="AX17" s="82">
        <f t="shared" si="6"/>
        <v>3</v>
      </c>
      <c r="AY17" s="304">
        <f>ROUND($AY$6*AZ17/$AZ$5,2)</f>
        <v>64.73</v>
      </c>
      <c r="AZ17" s="305">
        <f>BA17+BL17</f>
        <v>189.35</v>
      </c>
      <c r="BA17" s="305">
        <f>SUM(BB17:BK17)</f>
        <v>189.35</v>
      </c>
      <c r="BB17" s="305">
        <f>IF($D17="是",I17-J17,0)</f>
        <v>189.35</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v>325.73</v>
      </c>
      <c r="B18" s="323">
        <v>82116</v>
      </c>
      <c r="C18" s="323">
        <v>1</v>
      </c>
      <c r="D18" s="217" t="s">
        <v>3050</v>
      </c>
      <c r="E18" s="324">
        <f t="shared" ref="E18:E112" si="7">IF($C$3="是",ROUND($A$3*G18/$B$3,2),ROUND($A$3*(G18-AT18)/$B$3,2))</f>
        <v>325.72000000000003</v>
      </c>
      <c r="F18" s="325"/>
      <c r="G18" s="326">
        <f t="shared" ref="G18:G109" si="8">H18+AC18+AT18</f>
        <v>952.8</v>
      </c>
      <c r="H18" s="327">
        <f t="shared" ref="H18:H109" si="9">SUMIF(I$12:AB$12,"总值",I18:AB18)</f>
        <v>952.8</v>
      </c>
      <c r="I18" s="328">
        <v>952.8</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325.73</v>
      </c>
      <c r="AW18" s="2213">
        <f t="shared" ref="AW18:AW112" si="12">B18</f>
        <v>82116</v>
      </c>
      <c r="AX18" s="2213">
        <f t="shared" ref="AX18:AX112" si="13">C18</f>
        <v>1</v>
      </c>
      <c r="AY18" s="331">
        <f t="shared" ref="AY18:AY109" si="14">ROUND($AY$6*AZ18/$AZ$5,2)</f>
        <v>325.72000000000003</v>
      </c>
      <c r="AZ18" s="324">
        <f t="shared" ref="AZ18:AZ109" si="15">BA18+BL18</f>
        <v>952.8</v>
      </c>
      <c r="BA18" s="324">
        <f t="shared" ref="BA18:BA109" si="16">SUM(BB18:BK18)</f>
        <v>952.8</v>
      </c>
      <c r="BB18" s="324">
        <f t="shared" ref="BB18:BB109" si="17">IF($D18="是",I18-J18,0)</f>
        <v>952.8</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v>2794.37</v>
      </c>
      <c r="B19" s="323">
        <v>82119</v>
      </c>
      <c r="C19" s="323" t="s">
        <v>3139</v>
      </c>
      <c r="D19" s="217" t="s">
        <v>3050</v>
      </c>
      <c r="E19" s="324">
        <f t="shared" si="7"/>
        <v>2794.37</v>
      </c>
      <c r="F19" s="325"/>
      <c r="G19" s="326">
        <f t="shared" si="8"/>
        <v>8174.1</v>
      </c>
      <c r="H19" s="327">
        <f t="shared" si="9"/>
        <v>8174.1</v>
      </c>
      <c r="I19" s="328"/>
      <c r="J19" s="328"/>
      <c r="K19" s="328"/>
      <c r="L19" s="328"/>
      <c r="M19" s="328">
        <v>8174.1</v>
      </c>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2794.37</v>
      </c>
      <c r="AW19" s="2213">
        <f t="shared" si="12"/>
        <v>82119</v>
      </c>
      <c r="AX19" s="2213" t="str">
        <f t="shared" si="13"/>
        <v>负1</v>
      </c>
      <c r="AY19" s="331">
        <f t="shared" si="14"/>
        <v>2794.37</v>
      </c>
      <c r="AZ19" s="324">
        <f t="shared" si="15"/>
        <v>8174.1</v>
      </c>
      <c r="BA19" s="324">
        <f t="shared" si="16"/>
        <v>8174.1</v>
      </c>
      <c r="BB19" s="324">
        <f t="shared" si="17"/>
        <v>0</v>
      </c>
      <c r="BC19" s="324">
        <f t="shared" si="18"/>
        <v>0</v>
      </c>
      <c r="BD19" s="324">
        <f t="shared" si="19"/>
        <v>8174.1</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v>2907.85</v>
      </c>
      <c r="B20" s="323">
        <v>82125</v>
      </c>
      <c r="C20" s="323">
        <v>2</v>
      </c>
      <c r="D20" s="217" t="s">
        <v>3050</v>
      </c>
      <c r="E20" s="324">
        <f t="shared" si="7"/>
        <v>2907.86</v>
      </c>
      <c r="F20" s="325"/>
      <c r="G20" s="326">
        <f t="shared" si="8"/>
        <v>8506.08</v>
      </c>
      <c r="H20" s="327">
        <f t="shared" si="9"/>
        <v>8506.08</v>
      </c>
      <c r="I20" s="328">
        <v>8506.08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2907.85</v>
      </c>
      <c r="AW20" s="2213">
        <f t="shared" si="12"/>
        <v>82125</v>
      </c>
      <c r="AX20" s="2213">
        <f t="shared" si="13"/>
        <v>2</v>
      </c>
      <c r="AY20" s="331">
        <f t="shared" si="14"/>
        <v>2907.86</v>
      </c>
      <c r="AZ20" s="324">
        <f t="shared" si="15"/>
        <v>8506.08</v>
      </c>
      <c r="BA20" s="324">
        <f t="shared" si="16"/>
        <v>8506.08</v>
      </c>
      <c r="BB20" s="324">
        <f t="shared" si="17"/>
        <v>8506.08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v>2529.21</v>
      </c>
      <c r="B21" s="323">
        <v>82129</v>
      </c>
      <c r="C21" s="323">
        <v>1</v>
      </c>
      <c r="D21" s="217" t="s">
        <v>3050</v>
      </c>
      <c r="E21" s="324">
        <f t="shared" si="7"/>
        <v>2529.19</v>
      </c>
      <c r="F21" s="325"/>
      <c r="G21" s="326">
        <f t="shared" si="8"/>
        <v>7398.39</v>
      </c>
      <c r="H21" s="327">
        <f t="shared" si="9"/>
        <v>7398.39</v>
      </c>
      <c r="I21" s="328">
        <v>7398.39</v>
      </c>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2529.21</v>
      </c>
      <c r="AW21" s="2213">
        <f t="shared" si="12"/>
        <v>82129</v>
      </c>
      <c r="AX21" s="2213">
        <f t="shared" si="13"/>
        <v>1</v>
      </c>
      <c r="AY21" s="331">
        <f t="shared" si="14"/>
        <v>2529.19</v>
      </c>
      <c r="AZ21" s="324">
        <f t="shared" si="15"/>
        <v>7398.39</v>
      </c>
      <c r="BA21" s="324">
        <f t="shared" si="16"/>
        <v>7398.39</v>
      </c>
      <c r="BB21" s="324">
        <f t="shared" si="17"/>
        <v>7398.39</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v>575.29</v>
      </c>
      <c r="B22" s="323">
        <v>82130</v>
      </c>
      <c r="C22" s="323">
        <v>5</v>
      </c>
      <c r="D22" s="217" t="s">
        <v>3050</v>
      </c>
      <c r="E22" s="324">
        <f t="shared" si="7"/>
        <v>318.57</v>
      </c>
      <c r="F22" s="325"/>
      <c r="G22" s="326">
        <f t="shared" si="8"/>
        <v>931.88</v>
      </c>
      <c r="H22" s="327">
        <f t="shared" si="9"/>
        <v>931.88</v>
      </c>
      <c r="I22" s="328">
        <v>931.88</v>
      </c>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575.29</v>
      </c>
      <c r="AW22" s="2213">
        <f t="shared" si="12"/>
        <v>82130</v>
      </c>
      <c r="AX22" s="2213">
        <f t="shared" si="13"/>
        <v>5</v>
      </c>
      <c r="AY22" s="331">
        <f t="shared" si="14"/>
        <v>318.57</v>
      </c>
      <c r="AZ22" s="324">
        <f t="shared" si="15"/>
        <v>931.88</v>
      </c>
      <c r="BA22" s="324">
        <f t="shared" si="16"/>
        <v>931.88</v>
      </c>
      <c r="BB22" s="324">
        <f t="shared" si="17"/>
        <v>931.88</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v>7</v>
      </c>
      <c r="D23" s="217" t="s">
        <v>3050</v>
      </c>
      <c r="E23" s="324">
        <f t="shared" si="7"/>
        <v>256.72000000000003</v>
      </c>
      <c r="F23" s="325"/>
      <c r="G23" s="326">
        <f t="shared" si="8"/>
        <v>750.95</v>
      </c>
      <c r="H23" s="327">
        <f t="shared" si="9"/>
        <v>750.95</v>
      </c>
      <c r="I23" s="328">
        <v>750.95</v>
      </c>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7</v>
      </c>
      <c r="AY23" s="331">
        <f t="shared" si="14"/>
        <v>256.72000000000003</v>
      </c>
      <c r="AZ23" s="324">
        <f t="shared" si="15"/>
        <v>750.95</v>
      </c>
      <c r="BA23" s="324">
        <f t="shared" si="16"/>
        <v>750.95</v>
      </c>
      <c r="BB23" s="324">
        <f t="shared" si="17"/>
        <v>750.95</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v>1856.47</v>
      </c>
      <c r="B24" s="323">
        <v>82132</v>
      </c>
      <c r="C24" s="323">
        <v>4</v>
      </c>
      <c r="D24" s="217" t="s">
        <v>3050</v>
      </c>
      <c r="E24" s="324">
        <f t="shared" si="7"/>
        <v>1856.49</v>
      </c>
      <c r="F24" s="325"/>
      <c r="G24" s="326">
        <f t="shared" si="8"/>
        <v>5430.61</v>
      </c>
      <c r="H24" s="327">
        <f t="shared" si="9"/>
        <v>5430.61</v>
      </c>
      <c r="I24" s="328">
        <v>5430.61</v>
      </c>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1856.47</v>
      </c>
      <c r="AW24" s="2213">
        <f t="shared" si="12"/>
        <v>82132</v>
      </c>
      <c r="AX24" s="2213">
        <f t="shared" si="13"/>
        <v>4</v>
      </c>
      <c r="AY24" s="331">
        <f t="shared" si="14"/>
        <v>1856.49</v>
      </c>
      <c r="AZ24" s="324">
        <f t="shared" si="15"/>
        <v>5430.61</v>
      </c>
      <c r="BA24" s="324">
        <f t="shared" si="16"/>
        <v>5430.61</v>
      </c>
      <c r="BB24" s="324">
        <f t="shared" si="17"/>
        <v>5430.61</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v>1999.05</v>
      </c>
      <c r="B25" s="323">
        <v>82133</v>
      </c>
      <c r="C25" s="323" t="s">
        <v>3139</v>
      </c>
      <c r="D25" s="217" t="s">
        <v>3050</v>
      </c>
      <c r="E25" s="324">
        <f t="shared" si="7"/>
        <v>1999.05</v>
      </c>
      <c r="F25" s="325"/>
      <c r="G25" s="326">
        <f t="shared" si="8"/>
        <v>5847.64</v>
      </c>
      <c r="H25" s="327">
        <f t="shared" si="9"/>
        <v>5847.64</v>
      </c>
      <c r="I25" s="328"/>
      <c r="J25" s="328"/>
      <c r="K25" s="328"/>
      <c r="L25" s="328"/>
      <c r="M25" s="328">
        <v>5847.64</v>
      </c>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1999.05</v>
      </c>
      <c r="AW25" s="2213">
        <f t="shared" si="12"/>
        <v>82133</v>
      </c>
      <c r="AX25" s="2213" t="str">
        <f t="shared" si="13"/>
        <v>负1</v>
      </c>
      <c r="AY25" s="331">
        <f t="shared" si="14"/>
        <v>1999.05</v>
      </c>
      <c r="AZ25" s="324">
        <f t="shared" si="15"/>
        <v>5847.64</v>
      </c>
      <c r="BA25" s="324">
        <f t="shared" si="16"/>
        <v>5847.64</v>
      </c>
      <c r="BB25" s="324">
        <f t="shared" si="17"/>
        <v>0</v>
      </c>
      <c r="BC25" s="324">
        <f t="shared" si="18"/>
        <v>0</v>
      </c>
      <c r="BD25" s="324">
        <f t="shared" si="19"/>
        <v>5847.64</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v>1409.96</v>
      </c>
      <c r="B26" s="323">
        <v>82134</v>
      </c>
      <c r="C26" s="323">
        <v>3</v>
      </c>
      <c r="D26" s="217" t="s">
        <v>3050</v>
      </c>
      <c r="E26" s="324">
        <f t="shared" si="7"/>
        <v>704.98</v>
      </c>
      <c r="F26" s="325"/>
      <c r="G26" s="326">
        <f t="shared" si="8"/>
        <v>2062.2199999999998</v>
      </c>
      <c r="H26" s="327">
        <f t="shared" si="9"/>
        <v>2062.2199999999998</v>
      </c>
      <c r="I26" s="328">
        <v>2062.2199999999998</v>
      </c>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1409.96</v>
      </c>
      <c r="AW26" s="2213">
        <f t="shared" si="12"/>
        <v>82134</v>
      </c>
      <c r="AX26" s="2213">
        <f t="shared" si="13"/>
        <v>3</v>
      </c>
      <c r="AY26" s="331">
        <f t="shared" si="14"/>
        <v>704.98</v>
      </c>
      <c r="AZ26" s="324">
        <f t="shared" si="15"/>
        <v>2062.2199999999998</v>
      </c>
      <c r="BA26" s="324">
        <f t="shared" si="16"/>
        <v>2062.2199999999998</v>
      </c>
      <c r="BB26" s="324">
        <f t="shared" si="17"/>
        <v>2062.2199999999998</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t="s">
        <v>3140</v>
      </c>
      <c r="C27" s="323">
        <v>4</v>
      </c>
      <c r="D27" s="217" t="s">
        <v>3050</v>
      </c>
      <c r="E27" s="324">
        <f t="shared" si="7"/>
        <v>704.98</v>
      </c>
      <c r="F27" s="325"/>
      <c r="G27" s="326">
        <f t="shared" si="8"/>
        <v>2062.2199999999998</v>
      </c>
      <c r="H27" s="327">
        <f t="shared" si="9"/>
        <v>2062.2199999999998</v>
      </c>
      <c r="I27" s="328">
        <v>2062.2199999999998</v>
      </c>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t="str">
        <f t="shared" si="12"/>
        <v xml:space="preserve"> </v>
      </c>
      <c r="AX27" s="2213">
        <f t="shared" si="13"/>
        <v>4</v>
      </c>
      <c r="AY27" s="331">
        <f t="shared" si="14"/>
        <v>704.98</v>
      </c>
      <c r="AZ27" s="324">
        <f t="shared" si="15"/>
        <v>2062.2199999999998</v>
      </c>
      <c r="BA27" s="324">
        <f t="shared" si="16"/>
        <v>2062.2199999999998</v>
      </c>
      <c r="BB27" s="324">
        <f t="shared" si="17"/>
        <v>2062.2199999999998</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v>8583.86</v>
      </c>
      <c r="B28" s="323">
        <v>82137</v>
      </c>
      <c r="C28" s="323" t="s">
        <v>3139</v>
      </c>
      <c r="D28" s="217" t="s">
        <v>3050</v>
      </c>
      <c r="E28" s="324">
        <f t="shared" si="7"/>
        <v>2902.24</v>
      </c>
      <c r="F28" s="325"/>
      <c r="G28" s="326">
        <f t="shared" si="8"/>
        <v>8489.64</v>
      </c>
      <c r="H28" s="327">
        <f t="shared" si="9"/>
        <v>8489.64</v>
      </c>
      <c r="I28" s="328"/>
      <c r="J28" s="328"/>
      <c r="K28" s="328">
        <v>8489.64</v>
      </c>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8583.86</v>
      </c>
      <c r="AW28" s="2213">
        <f t="shared" si="12"/>
        <v>82137</v>
      </c>
      <c r="AX28" s="2213" t="str">
        <f t="shared" si="13"/>
        <v>负1</v>
      </c>
      <c r="AY28" s="331">
        <f t="shared" si="14"/>
        <v>2902.24</v>
      </c>
      <c r="AZ28" s="324">
        <f t="shared" si="15"/>
        <v>8489.64</v>
      </c>
      <c r="BA28" s="324">
        <f t="shared" si="16"/>
        <v>8489.64</v>
      </c>
      <c r="BB28" s="324">
        <f t="shared" si="17"/>
        <v>0</v>
      </c>
      <c r="BC28" s="324">
        <f t="shared" si="18"/>
        <v>8489.64</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t="s">
        <v>3141</v>
      </c>
      <c r="D29" s="217" t="s">
        <v>3050</v>
      </c>
      <c r="E29" s="324">
        <f t="shared" si="7"/>
        <v>5681.61</v>
      </c>
      <c r="F29" s="325"/>
      <c r="G29" s="326">
        <f t="shared" si="8"/>
        <v>16619.87</v>
      </c>
      <c r="H29" s="327">
        <f t="shared" si="9"/>
        <v>16619.87</v>
      </c>
      <c r="I29" s="328"/>
      <c r="J29" s="328"/>
      <c r="K29" s="328">
        <v>16619.87</v>
      </c>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t="str">
        <f t="shared" si="13"/>
        <v>负2</v>
      </c>
      <c r="AY29" s="331">
        <f t="shared" si="14"/>
        <v>5681.61</v>
      </c>
      <c r="AZ29" s="324">
        <f t="shared" si="15"/>
        <v>16619.87</v>
      </c>
      <c r="BA29" s="324">
        <f t="shared" si="16"/>
        <v>16619.87</v>
      </c>
      <c r="BB29" s="324">
        <f t="shared" si="17"/>
        <v>0</v>
      </c>
      <c r="BC29" s="324">
        <f t="shared" si="18"/>
        <v>16619.87</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1" t="s">
        <v>2</v>
      </c>
      <c r="B1" s="3391" t="s">
        <v>37</v>
      </c>
      <c r="C1" s="3391" t="s">
        <v>38</v>
      </c>
      <c r="D1" s="3451" t="s">
        <v>200</v>
      </c>
      <c r="E1" s="3451" t="s">
        <v>201</v>
      </c>
      <c r="F1" s="3451"/>
      <c r="G1" s="3451"/>
      <c r="H1" s="3451"/>
      <c r="I1" s="3451"/>
      <c r="J1" s="3451"/>
      <c r="K1" s="3451"/>
      <c r="L1" s="3451"/>
      <c r="M1" s="3451"/>
    </row>
    <row r="2" spans="1:13" ht="27" customHeight="1">
      <c r="A2" s="3391"/>
      <c r="B2" s="3391"/>
      <c r="C2" s="3391"/>
      <c r="D2" s="3451"/>
      <c r="E2" s="3451" t="s">
        <v>184</v>
      </c>
      <c r="F2" s="3451" t="s">
        <v>185</v>
      </c>
      <c r="G2" s="3451"/>
      <c r="H2" s="3451"/>
      <c r="I2" s="3451"/>
      <c r="J2" s="3451" t="s">
        <v>186</v>
      </c>
      <c r="K2" s="3451"/>
      <c r="L2" s="3451"/>
      <c r="M2" s="3451"/>
    </row>
    <row r="3" spans="1:13" ht="28.5">
      <c r="A3" s="3391"/>
      <c r="B3" s="3391"/>
      <c r="C3" s="3391"/>
      <c r="D3" s="3451"/>
      <c r="E3" s="345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202</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20" sqref="E20"/>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61" t="s">
        <v>644</v>
      </c>
      <c r="B2" s="3461"/>
      <c r="C2" s="3461"/>
      <c r="D2" s="2211" t="s">
        <v>645</v>
      </c>
      <c r="E2" s="19" t="s">
        <v>646</v>
      </c>
      <c r="F2" s="2227"/>
      <c r="G2" s="1180"/>
      <c r="H2" s="1181"/>
      <c r="I2" s="2219" t="s">
        <v>647</v>
      </c>
      <c r="J2" s="2227"/>
      <c r="K2" s="2227"/>
      <c r="L2" s="2227"/>
      <c r="M2" s="2227"/>
      <c r="N2" s="2236"/>
      <c r="O2" s="2227"/>
      <c r="P2" s="2227"/>
    </row>
    <row r="3" spans="1:16" ht="15.75" thickBot="1">
      <c r="A3" s="3462" t="s">
        <v>648</v>
      </c>
      <c r="B3" s="3462"/>
      <c r="C3" s="3462"/>
      <c r="D3" s="335">
        <f>'数据-基础表'!AY6</f>
        <v>31622.17</v>
      </c>
      <c r="E3" s="335">
        <f>'数据-基础表'!AZ5</f>
        <v>92501.329999999987</v>
      </c>
      <c r="F3" s="2227"/>
      <c r="G3" s="442"/>
      <c r="H3" s="440" t="s">
        <v>649</v>
      </c>
      <c r="I3" s="344">
        <f>ROUND('数据-基础表'!B3/'数据-基础表'!A3,2)</f>
        <v>2.93</v>
      </c>
      <c r="J3" s="2227"/>
      <c r="K3" s="2227"/>
      <c r="L3" s="2227"/>
      <c r="M3" s="2227"/>
      <c r="N3" s="2236"/>
      <c r="O3" s="2227"/>
      <c r="P3" s="2227"/>
    </row>
    <row r="4" spans="1:16" ht="14.25">
      <c r="A4" s="3463"/>
      <c r="B4" s="3464"/>
      <c r="C4" s="3465"/>
      <c r="D4" s="20" t="s">
        <v>645</v>
      </c>
      <c r="E4" s="21" t="s">
        <v>646</v>
      </c>
      <c r="F4" s="2227"/>
      <c r="G4" s="1182" t="s">
        <v>1790</v>
      </c>
      <c r="H4" s="440" t="s">
        <v>650</v>
      </c>
      <c r="I4" s="344">
        <f>ROUND(SUMIF('数据-基础表'!I9:AS9,"地上",'数据-基础表'!I5:AS5)/'数据-基础表'!A3,2)</f>
        <v>1.69</v>
      </c>
      <c r="J4" s="2227"/>
      <c r="K4" s="2227"/>
      <c r="L4" s="2227"/>
      <c r="M4" s="2227"/>
      <c r="N4" s="2236"/>
      <c r="O4" s="2227"/>
      <c r="P4" s="2227"/>
    </row>
    <row r="5" spans="1:16" ht="14.25">
      <c r="A5" s="22" t="s">
        <v>651</v>
      </c>
      <c r="B5" s="3466" t="s">
        <v>652</v>
      </c>
      <c r="C5" s="3466"/>
      <c r="D5" s="337">
        <f>ROUND($D$3*E5/$E$3,2)</f>
        <v>0</v>
      </c>
      <c r="E5" s="338">
        <f>SUMIF('数据-基础表'!$11:$11,"住宅",'数据-基础表'!$5:$5)</f>
        <v>0</v>
      </c>
      <c r="F5" s="2227"/>
      <c r="G5" s="442"/>
      <c r="H5" s="440" t="s">
        <v>649</v>
      </c>
      <c r="I5" s="344">
        <f>ROUND(E31/D31,2)</f>
        <v>2.93</v>
      </c>
      <c r="J5" s="2227"/>
      <c r="K5" s="2227"/>
      <c r="L5" s="2227"/>
      <c r="M5" s="2227"/>
      <c r="N5" s="2227"/>
      <c r="O5" s="2227"/>
      <c r="P5" s="2227"/>
    </row>
    <row r="6" spans="1:16" ht="15" thickBot="1">
      <c r="A6" s="24"/>
      <c r="B6" s="3466" t="s">
        <v>653</v>
      </c>
      <c r="C6" s="3466"/>
      <c r="D6" s="337">
        <f>ROUND($D$3*E6/$E$3,2)</f>
        <v>31622.17</v>
      </c>
      <c r="E6" s="338">
        <f>E3-E5</f>
        <v>92501.329999999987</v>
      </c>
      <c r="F6" s="2227"/>
      <c r="G6" s="1761" t="s">
        <v>1791</v>
      </c>
      <c r="H6" s="442" t="s">
        <v>650</v>
      </c>
      <c r="I6" s="1762">
        <f>ROUND(F31/D31,2)</f>
        <v>1.69</v>
      </c>
      <c r="J6" s="2227"/>
      <c r="K6" s="2227"/>
      <c r="L6" s="2227"/>
      <c r="M6" s="2227"/>
      <c r="N6" s="2227"/>
      <c r="O6" s="2227"/>
      <c r="P6" s="2227"/>
    </row>
    <row r="7" spans="1:16" ht="14.25">
      <c r="A7" s="3458"/>
      <c r="B7" s="3459"/>
      <c r="C7" s="3460"/>
      <c r="D7" s="20" t="s">
        <v>645</v>
      </c>
      <c r="E7" s="25" t="s">
        <v>646</v>
      </c>
      <c r="F7" s="2227"/>
      <c r="G7" s="1180" t="s">
        <v>1870</v>
      </c>
      <c r="H7" s="38"/>
      <c r="I7" s="763"/>
      <c r="J7" s="2227"/>
      <c r="K7" s="2227"/>
      <c r="L7" s="2227"/>
      <c r="M7" s="2227"/>
      <c r="N7" s="2227"/>
      <c r="O7" s="2227"/>
      <c r="P7" s="2227"/>
    </row>
    <row r="8" spans="1:16" ht="14.25">
      <c r="A8" s="22" t="s">
        <v>654</v>
      </c>
      <c r="B8" s="26" t="s">
        <v>655</v>
      </c>
      <c r="C8" s="23" t="s">
        <v>656</v>
      </c>
      <c r="D8" s="337">
        <f t="shared" ref="D8:D15" si="0">ROUND($D$3*E8/$E$3,2)</f>
        <v>18244.900000000001</v>
      </c>
      <c r="E8" s="340">
        <f>SUMIF('数据-基础表'!BB10:BK10,"地上",'数据-基础表'!BB5:BK5)</f>
        <v>53370.079999999994</v>
      </c>
      <c r="F8" s="2227"/>
      <c r="G8" s="2228"/>
      <c r="H8" s="2228"/>
      <c r="I8" s="2227"/>
      <c r="J8" s="2227"/>
      <c r="K8" s="2227"/>
      <c r="L8" s="2227"/>
      <c r="M8" s="2227"/>
      <c r="N8" s="2227"/>
      <c r="O8" s="2227"/>
      <c r="P8" s="2227"/>
    </row>
    <row r="9" spans="1:16" ht="14.25">
      <c r="A9" s="27"/>
      <c r="B9" s="28"/>
      <c r="C9" s="23" t="s">
        <v>657</v>
      </c>
      <c r="D9" s="337">
        <f t="shared" si="0"/>
        <v>0</v>
      </c>
      <c r="E9" s="341">
        <v>0</v>
      </c>
      <c r="F9" s="2227"/>
      <c r="G9" s="2228"/>
      <c r="H9" s="2228"/>
      <c r="I9" s="2227"/>
      <c r="J9" s="2227"/>
      <c r="K9" s="2227"/>
      <c r="L9" s="2227"/>
      <c r="M9" s="2227"/>
      <c r="N9" s="2227"/>
      <c r="O9" s="2227"/>
      <c r="P9" s="2227"/>
    </row>
    <row r="10" spans="1:16" ht="14.25">
      <c r="A10" s="27"/>
      <c r="B10" s="28"/>
      <c r="C10" s="23" t="s">
        <v>658</v>
      </c>
      <c r="D10" s="337">
        <f t="shared" si="0"/>
        <v>4793.42</v>
      </c>
      <c r="E10" s="340">
        <f>SUMPRODUCT(('数据-基础表'!BB10:BK10="地下")*('数据-基础表'!BB11:BK11="商业")*('数据-基础表'!BB5:BK5))</f>
        <v>14021.740000000002</v>
      </c>
      <c r="F10" s="2227"/>
      <c r="G10" s="2228"/>
      <c r="H10" s="2228"/>
      <c r="I10" s="2227"/>
      <c r="J10" s="2227"/>
      <c r="K10" s="2227"/>
      <c r="L10" s="2227"/>
      <c r="M10" s="2227"/>
      <c r="N10" s="2227"/>
      <c r="O10" s="2227"/>
      <c r="P10" s="2227"/>
    </row>
    <row r="11" spans="1:16" ht="14.25">
      <c r="A11" s="27"/>
      <c r="B11" s="28"/>
      <c r="C11" s="23" t="s">
        <v>2394</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8583.85</v>
      </c>
      <c r="E13" s="340">
        <f>SUMPRODUCT(('数据-基础表'!BB10:BK10="地下")*('数据-基础表'!BB11:BK11="车库")*('数据-基础表'!BB5:BK5))</f>
        <v>25109.51</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31622.17</v>
      </c>
      <c r="E16" s="342">
        <f>SUM(E8:E15)</f>
        <v>92501.329999999987</v>
      </c>
      <c r="F16" s="2227"/>
      <c r="G16" s="2228"/>
      <c r="H16" s="1179" t="s">
        <v>534</v>
      </c>
      <c r="I16" s="1183"/>
      <c r="J16" s="2227"/>
      <c r="K16" s="3455" t="s">
        <v>534</v>
      </c>
      <c r="L16" s="3456"/>
      <c r="M16" s="3456"/>
      <c r="N16" s="3456"/>
      <c r="O16" s="3456"/>
      <c r="P16" s="3457"/>
    </row>
    <row r="17" spans="1:19" ht="14.25">
      <c r="A17" s="29" t="s">
        <v>664</v>
      </c>
      <c r="B17" s="30" t="s">
        <v>665</v>
      </c>
      <c r="C17" s="34" t="s">
        <v>2385</v>
      </c>
      <c r="D17" s="2077" t="s">
        <v>645</v>
      </c>
      <c r="E17" s="2075" t="s">
        <v>646</v>
      </c>
      <c r="F17" s="36"/>
      <c r="G17" s="37"/>
      <c r="H17" s="1184" t="s">
        <v>666</v>
      </c>
      <c r="I17" s="1185" t="s">
        <v>207</v>
      </c>
      <c r="J17" s="2227"/>
      <c r="K17" s="3452" t="s">
        <v>672</v>
      </c>
      <c r="L17" s="3453"/>
      <c r="M17" s="3454"/>
      <c r="N17" s="3452" t="s">
        <v>2688</v>
      </c>
      <c r="O17" s="3453"/>
      <c r="P17" s="3454"/>
      <c r="R17" s="2487" t="s">
        <v>2386</v>
      </c>
      <c r="S17" s="354"/>
    </row>
    <row r="18" spans="1:19">
      <c r="A18" s="27"/>
      <c r="B18" s="31"/>
      <c r="C18" s="35"/>
      <c r="D18" s="2078"/>
      <c r="E18" s="2076" t="s">
        <v>667</v>
      </c>
      <c r="F18" s="15" t="s">
        <v>668</v>
      </c>
      <c r="G18" s="16" t="s">
        <v>669</v>
      </c>
      <c r="H18" s="1186" t="s">
        <v>670</v>
      </c>
      <c r="I18" s="1187" t="s">
        <v>671</v>
      </c>
      <c r="J18" s="2227"/>
      <c r="K18" s="1186" t="s">
        <v>2681</v>
      </c>
      <c r="L18" s="6" t="s">
        <v>2689</v>
      </c>
      <c r="M18" s="2805" t="s">
        <v>2687</v>
      </c>
      <c r="N18" s="1186" t="s">
        <v>2681</v>
      </c>
      <c r="O18" s="6" t="s">
        <v>2689</v>
      </c>
      <c r="P18" s="2805" t="s">
        <v>2687</v>
      </c>
      <c r="R18" s="2488" t="s">
        <v>2387</v>
      </c>
      <c r="S18" s="2488" t="s">
        <v>2388</v>
      </c>
    </row>
    <row r="19" spans="1:19" ht="14.25">
      <c r="A19" s="32"/>
      <c r="B19" s="26" t="s">
        <v>119</v>
      </c>
      <c r="C19" s="1421" t="s">
        <v>3105</v>
      </c>
      <c r="D19" s="337">
        <f>ROUND($D$3*E19/$E$3,2)</f>
        <v>23038.32</v>
      </c>
      <c r="E19" s="345">
        <f t="shared" ref="E19:E26" si="1">SUM(F19:G19)</f>
        <v>67391.819999999992</v>
      </c>
      <c r="F19" s="346">
        <f>'数据-基础表'!I5</f>
        <v>53370.079999999994</v>
      </c>
      <c r="G19" s="347">
        <f>'数据-基础表'!M5</f>
        <v>14021.740000000002</v>
      </c>
      <c r="H19" s="1133">
        <f>ROUND($D$3*I19/$E$3,2)</f>
        <v>0</v>
      </c>
      <c r="I19" s="340">
        <f t="shared" ref="I19:I26" si="2">IF($I$17="自定义",P19,M19)</f>
        <v>0</v>
      </c>
      <c r="J19" s="2227"/>
      <c r="K19" s="2806">
        <f t="shared" ref="K19:K26" si="3">ROUND(E$28*E19/E$27,2)</f>
        <v>0</v>
      </c>
      <c r="L19" s="2489">
        <f t="shared" ref="L19:L26" si="4">ROUND(IF(COUNTIF(C19,"*住宅*")&gt;0,E$29*E19/E$32,0),2)</f>
        <v>0</v>
      </c>
      <c r="M19" s="2824">
        <f>K19+L19</f>
        <v>0</v>
      </c>
      <c r="N19" s="2822"/>
      <c r="O19" s="2804"/>
      <c r="P19" s="2807">
        <f>N19+O19</f>
        <v>0</v>
      </c>
      <c r="R19" s="2489">
        <f t="shared" ref="R19:S26" si="5">D19+H19</f>
        <v>23038.32</v>
      </c>
      <c r="S19" s="2490">
        <f t="shared" si="5"/>
        <v>67391.819999999992</v>
      </c>
    </row>
    <row r="20" spans="1:19" ht="14.25">
      <c r="A20" s="33"/>
      <c r="B20" s="26" t="s">
        <v>638</v>
      </c>
      <c r="C20" s="1421" t="s">
        <v>3081</v>
      </c>
      <c r="D20" s="337">
        <f t="shared" ref="D20:D26" si="6">ROUND($D$3*E20/$E$3,2)</f>
        <v>8583.85</v>
      </c>
      <c r="E20" s="345">
        <f t="shared" si="1"/>
        <v>25109.51</v>
      </c>
      <c r="F20" s="346"/>
      <c r="G20" s="347">
        <f>'数据-基础表'!K5</f>
        <v>25109.51</v>
      </c>
      <c r="H20" s="1133">
        <f t="shared" ref="H20:H26" si="7">ROUND($D$3*I20/$E$3,2)</f>
        <v>0</v>
      </c>
      <c r="I20" s="340">
        <f t="shared" si="2"/>
        <v>0</v>
      </c>
      <c r="J20" s="2227"/>
      <c r="K20" s="2806">
        <f t="shared" si="3"/>
        <v>0</v>
      </c>
      <c r="L20" s="2489">
        <f t="shared" si="4"/>
        <v>0</v>
      </c>
      <c r="M20" s="2824">
        <f t="shared" ref="M20:M26" si="8">K20+L20</f>
        <v>0</v>
      </c>
      <c r="N20" s="2822"/>
      <c r="O20" s="2804"/>
      <c r="P20" s="2807">
        <f t="shared" ref="P20:P26" si="9">N20+O20</f>
        <v>0</v>
      </c>
      <c r="R20" s="2489">
        <f t="shared" si="5"/>
        <v>8583.85</v>
      </c>
      <c r="S20" s="2490">
        <f t="shared" si="5"/>
        <v>25109.51</v>
      </c>
    </row>
    <row r="21" spans="1:19" ht="14.25">
      <c r="A21" s="33"/>
      <c r="B21" s="26" t="s">
        <v>638</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639</v>
      </c>
      <c r="D27" s="2809">
        <f>SUM(D19:D26)</f>
        <v>31622.17</v>
      </c>
      <c r="E27" s="2810">
        <f>IF(SUM(E19:E26)='数据-基础表'!BA5,SUM(E19:E26),IF(F27="地上面积有误","面积有误","地下面积有误"))</f>
        <v>92501.329999999987</v>
      </c>
      <c r="F27" s="2809">
        <f>IF(SUM(F19:F26)=E8,SUM(F19:F26),"地上面积有误")</f>
        <v>53370.079999999994</v>
      </c>
      <c r="G27" s="2811">
        <f>SUM(G19:G26)</f>
        <v>39131.25</v>
      </c>
      <c r="H27" s="2812">
        <f>SUM(H19:H26)</f>
        <v>0</v>
      </c>
      <c r="I27" s="2813">
        <f>SUM(I19:I26)</f>
        <v>0</v>
      </c>
      <c r="J27" s="2227"/>
      <c r="K27" s="2819">
        <f>SUM(K19:K26)</f>
        <v>0</v>
      </c>
      <c r="L27" s="2820">
        <f>SUM(L19:L26)</f>
        <v>0</v>
      </c>
      <c r="M27" s="2825">
        <f>SUM(M19:M26)</f>
        <v>0</v>
      </c>
      <c r="N27" s="2819">
        <f t="shared" ref="N27:O27" si="10">SUM(N19:N26)</f>
        <v>0</v>
      </c>
      <c r="O27" s="2820">
        <f t="shared" si="10"/>
        <v>0</v>
      </c>
      <c r="P27" s="2821">
        <f>SUM(P19:P26)</f>
        <v>0</v>
      </c>
      <c r="R27" s="2491">
        <f>IF(SUM(R19:R26)=$D$3,SUM(R19:R26),SUM(R19:R26)&amp;"误差"&amp;ROUND(SUM(R19:R26)-$D$3,2))</f>
        <v>31622.17</v>
      </c>
      <c r="S27" s="2489">
        <f>IF(SUM(S19:S26)=$E$3,SUM(S19:S26),SUM(S19:S26)&amp;"误差"&amp;ROUND(SUM(S19:S26)-E3,2))</f>
        <v>92501.329999999987</v>
      </c>
    </row>
    <row r="28" spans="1:19" ht="14.25">
      <c r="A28" s="33"/>
      <c r="B28" s="26" t="s">
        <v>640</v>
      </c>
      <c r="C28" s="5" t="s">
        <v>641</v>
      </c>
      <c r="D28" s="337">
        <f>ROUND($D$3*E28/$E$3,2)</f>
        <v>0</v>
      </c>
      <c r="E28" s="345">
        <f>SUM(F28:G28)</f>
        <v>0</v>
      </c>
      <c r="F28" s="354">
        <f>'数据-基础表'!BQ5+'数据-基础表'!BS5</f>
        <v>0</v>
      </c>
      <c r="G28" s="355">
        <f>'数据-基础表'!BR5+'数据-基础表'!BT5</f>
        <v>0</v>
      </c>
      <c r="H28" s="2227"/>
      <c r="I28" s="2227"/>
      <c r="J28" s="2227"/>
      <c r="K28" s="2227"/>
      <c r="L28" s="2227"/>
      <c r="M28" s="2227"/>
      <c r="N28" s="2808"/>
      <c r="O28" s="2808"/>
      <c r="P28" s="2227"/>
    </row>
    <row r="29" spans="1:19" ht="14.25">
      <c r="A29" s="33"/>
      <c r="B29" s="26" t="s">
        <v>640</v>
      </c>
      <c r="C29" s="13" t="s">
        <v>2389</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639</v>
      </c>
      <c r="D30" s="2809">
        <f>SUM(D28:D29)</f>
        <v>0</v>
      </c>
      <c r="E30" s="2809">
        <f>SUM(E28:E29)</f>
        <v>0</v>
      </c>
      <c r="F30" s="2809">
        <f>SUM(F28:F29)</f>
        <v>0</v>
      </c>
      <c r="G30" s="2811">
        <f>SUM(G28:G29)</f>
        <v>0</v>
      </c>
      <c r="H30" s="2227"/>
      <c r="I30" s="2227"/>
      <c r="J30" s="2227"/>
      <c r="K30" s="2227"/>
      <c r="L30" s="2227"/>
      <c r="M30" s="2227"/>
      <c r="N30" s="2808"/>
      <c r="O30" s="2808"/>
      <c r="P30" s="2227"/>
    </row>
    <row r="31" spans="1:19" ht="15.75" thickBot="1">
      <c r="A31" s="1188"/>
      <c r="B31" s="2528"/>
      <c r="C31" s="2529" t="s">
        <v>642</v>
      </c>
      <c r="D31" s="1189">
        <f>D27+D30</f>
        <v>31622.17</v>
      </c>
      <c r="E31" s="1189">
        <f>E27+E30</f>
        <v>92501.329999999987</v>
      </c>
      <c r="F31" s="1190">
        <f>F27+F30</f>
        <v>53370.079999999994</v>
      </c>
      <c r="G31" s="1191">
        <f>G27+G30</f>
        <v>39131.25</v>
      </c>
      <c r="H31" s="2227"/>
      <c r="I31" s="2227"/>
      <c r="J31" s="2227"/>
      <c r="K31" s="2227"/>
      <c r="L31" s="2227"/>
      <c r="M31" s="2227"/>
      <c r="N31" s="2227"/>
      <c r="O31" s="2227"/>
      <c r="P31" s="2227"/>
    </row>
    <row r="32" spans="1:19" ht="14.25">
      <c r="A32" s="1182"/>
      <c r="B32" s="1182" t="s">
        <v>2701</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42964</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2391</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2682</v>
      </c>
      <c r="T5" s="274" t="s">
        <v>695</v>
      </c>
      <c r="U5" s="2519" t="s">
        <v>2397</v>
      </c>
      <c r="V5" s="51" t="s">
        <v>696</v>
      </c>
      <c r="W5" s="2520" t="s">
        <v>2398</v>
      </c>
      <c r="X5" s="62"/>
      <c r="Y5" s="60" t="s">
        <v>697</v>
      </c>
      <c r="Z5" s="61" t="s">
        <v>698</v>
      </c>
      <c r="AA5" s="51" t="s">
        <v>696</v>
      </c>
      <c r="AB5" s="2520" t="s">
        <v>2398</v>
      </c>
      <c r="AC5" s="62"/>
      <c r="AD5" s="62" t="s">
        <v>697</v>
      </c>
      <c r="AE5" s="14" t="s">
        <v>539</v>
      </c>
      <c r="AF5" s="51" t="s">
        <v>699</v>
      </c>
      <c r="AG5" s="60" t="s">
        <v>700</v>
      </c>
      <c r="AH5" s="14" t="s">
        <v>2402</v>
      </c>
      <c r="AI5" s="61" t="s">
        <v>2320</v>
      </c>
      <c r="AJ5" s="61" t="s">
        <v>701</v>
      </c>
      <c r="AK5" s="2520" t="s">
        <v>2399</v>
      </c>
      <c r="AL5" s="2520" t="s">
        <v>2400</v>
      </c>
      <c r="AM5" s="360" t="s">
        <v>2401</v>
      </c>
      <c r="AN5" s="2577" t="s">
        <v>2441</v>
      </c>
      <c r="AO5" s="2014" t="s">
        <v>2673</v>
      </c>
      <c r="AP5" s="2893" t="s">
        <v>2683</v>
      </c>
      <c r="AQ5" s="2894" t="s">
        <v>2792</v>
      </c>
      <c r="AR5" s="2894" t="s">
        <v>2793</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商业</v>
      </c>
      <c r="B6" s="2495" t="str">
        <f>IF(A6=0,"","经营性")</f>
        <v>经营性</v>
      </c>
      <c r="C6" s="39" t="s">
        <v>3039</v>
      </c>
      <c r="D6" s="2058">
        <f>SUMIF(项目基本情况!D$12:I$12,C6,项目基本情况!D$14:I$14)</f>
        <v>40</v>
      </c>
      <c r="E6" s="2052">
        <f>IF(B6="","",SUMIF(项目基本情况!D$12:I$12,C6,项目基本情况!D$13:I$13))</f>
        <v>52777</v>
      </c>
      <c r="F6" s="362">
        <f>SUMIF(项目基本情况!D$12:I$12,C6,项目基本情况!D$15:I$15)</f>
        <v>26.88</v>
      </c>
      <c r="G6" s="363">
        <f>IF(ISERROR(ROUND(POWER(1+H6,D6-F6)*(POWER(1+H6,F6)-1)/(POWER(1+H6,D6)-1),3)),0,ROUND(POWER(1+H6,D6-F6)*(POWER(1+H6,F6)-1)/(POWER(1+H6,D6)-1),3))</f>
        <v>0.85199999999999998</v>
      </c>
      <c r="H6" s="1476">
        <v>0.05</v>
      </c>
      <c r="I6" s="1476">
        <v>5.5E-2</v>
      </c>
      <c r="J6" s="364">
        <v>8.5000000000000006E-2</v>
      </c>
      <c r="K6" s="2498">
        <f>SUMIF('数据-汇总表'!C$19:C$33,A6,'数据-汇总表'!E$19:E$33)</f>
        <v>67391.819999999992</v>
      </c>
      <c r="L6" s="1477">
        <v>4500</v>
      </c>
      <c r="M6" s="365">
        <f t="shared" ref="M6:M14" si="0">ROUND(K6*L6/10000,0)</f>
        <v>30326</v>
      </c>
      <c r="N6" s="1475">
        <f>ROUND(1-(1-0%)*(2017-2006)/60,2)</f>
        <v>0.82</v>
      </c>
      <c r="O6" s="365" t="str">
        <f>IF($N$5="成新度","——",ROUND(M6*N6,0))</f>
        <v>——</v>
      </c>
      <c r="P6" s="366" t="str">
        <f>IF($N$5="成新度","——",M6-O6)</f>
        <v>——</v>
      </c>
      <c r="Q6" s="1478">
        <v>0.25</v>
      </c>
      <c r="R6" s="367">
        <f ca="1">SUMIF('数据-汇总表'!C$19:C$33,A6,'数据-汇总表'!R$19:R$27)</f>
        <v>23038.32</v>
      </c>
      <c r="S6" s="343">
        <f>IF('数据-汇总表'!$I$17="按面积比例",SUMIF('数据-汇总表'!C$19:C$33,A6,'数据-汇总表'!K$19:K$33),SUMIF('数据-汇总表'!C$19:C$33,A6,'数据-汇总表'!N$19:N$33))</f>
        <v>0</v>
      </c>
      <c r="T6" s="2892">
        <f>ROUND($L$14*S6/10000,0)</f>
        <v>0</v>
      </c>
      <c r="U6" s="368">
        <f>案例!N71</f>
        <v>8.1</v>
      </c>
      <c r="V6" s="369">
        <v>0.04</v>
      </c>
      <c r="W6" s="369">
        <v>0.1</v>
      </c>
      <c r="X6" s="2508"/>
      <c r="Y6" s="370">
        <f>N6</f>
        <v>0.82</v>
      </c>
      <c r="Z6" s="371"/>
      <c r="AA6" s="364"/>
      <c r="AB6" s="364"/>
      <c r="AC6" s="2508"/>
      <c r="AD6" s="372"/>
      <c r="AE6" s="2509">
        <f ca="1">IF(AN6="",0,SUMIF(INDIRECT("'"&amp;AN6&amp;"'"&amp;"!E:E"),$AE$5,INDIRECT("'"&amp;AN6&amp;"'"&amp;"!F:F")))</f>
        <v>26.88</v>
      </c>
      <c r="AF6" s="352"/>
      <c r="AG6" s="478">
        <f>IF(AF6="",0,AE6-AF6)</f>
        <v>0</v>
      </c>
      <c r="AH6" s="373"/>
      <c r="AI6" s="375">
        <v>365</v>
      </c>
      <c r="AJ6" s="376"/>
      <c r="AK6" s="377">
        <v>1.4999999999999999E-2</v>
      </c>
      <c r="AL6" s="378">
        <v>1.5E-3</v>
      </c>
      <c r="AM6" s="379">
        <v>0.02</v>
      </c>
      <c r="AN6" s="2578" t="s">
        <v>3109</v>
      </c>
      <c r="AO6" s="344">
        <f ca="1">SUMIF(INDIRECT("'"&amp;AN6&amp;"'"&amp;"!A:A"),"总价",INDIRECT("'"&amp;AN6&amp;"'"&amp;"!B:B"))</f>
        <v>327868</v>
      </c>
      <c r="AP6" s="2895">
        <f>IF(C6="住宅",K6*L6,0)</f>
        <v>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车库</v>
      </c>
      <c r="B7" s="2495" t="str">
        <f t="shared" ref="B7:B13" si="1">IF(A7=0,"","经营性")</f>
        <v>经营性</v>
      </c>
      <c r="C7" s="39" t="s">
        <v>3080</v>
      </c>
      <c r="D7" s="2058">
        <f>SUMIF(项目基本情况!D$12:I$12,C7,项目基本情况!D$14:I$14)</f>
        <v>50</v>
      </c>
      <c r="E7" s="2052">
        <f>IF(B7="","",SUMIF(项目基本情况!D$12:I$12,C7,项目基本情况!D$13:I$13))</f>
        <v>56429</v>
      </c>
      <c r="F7" s="362">
        <f>SUMIF(项目基本情况!D$12:I$12,C7,项目基本情况!D$15:I$15)</f>
        <v>36.89</v>
      </c>
      <c r="G7" s="363">
        <f t="shared" ref="G7:G11" si="2">IF(ISERROR(ROUND(POWER(1+H7,D7-F7)*(POWER(1+H7,F7)-1)/(POWER(1+H7,D7)-1),3)),0,ROUND(POWER(1+H7,D7-F7)*(POWER(1+H7,F7)-1)/(POWER(1+H7,D7)-1),3))</f>
        <v>0.89</v>
      </c>
      <c r="H7" s="1476">
        <v>0.04</v>
      </c>
      <c r="I7" s="1476">
        <v>4.4999999999999998E-2</v>
      </c>
      <c r="J7" s="364">
        <f>J6</f>
        <v>8.5000000000000006E-2</v>
      </c>
      <c r="K7" s="2498">
        <f>SUMIF('数据-汇总表'!C$19:C$33,A7,'数据-汇总表'!E$19:E$33)</f>
        <v>25109.51</v>
      </c>
      <c r="L7" s="1477">
        <v>3000</v>
      </c>
      <c r="M7" s="365">
        <f t="shared" si="0"/>
        <v>7533</v>
      </c>
      <c r="N7" s="1475">
        <f>N6</f>
        <v>0.82</v>
      </c>
      <c r="O7" s="365" t="str">
        <f t="shared" ref="O7:O14" si="3">IF($N$5="成新度","——",ROUND(M7*N7,0))</f>
        <v>——</v>
      </c>
      <c r="P7" s="366" t="str">
        <f t="shared" ref="P7:P14" si="4">IF($N$5="成新度","——",M7-O7)</f>
        <v>——</v>
      </c>
      <c r="Q7" s="1478">
        <v>0.1</v>
      </c>
      <c r="R7" s="367">
        <f ca="1">SUMIF('数据-汇总表'!C$19:C$33,A7,'数据-汇总表'!R$19:R$27)</f>
        <v>8583.85</v>
      </c>
      <c r="S7" s="343">
        <f>IF('数据-汇总表'!$I$17="按面积比例",SUMIF('数据-汇总表'!C$19:C$33,A7,'数据-汇总表'!K$19:K$33),SUMIF('数据-汇总表'!C$19:C$33,A7,'数据-汇总表'!N$19:N$33))</f>
        <v>0</v>
      </c>
      <c r="T7" s="2892">
        <f t="shared" ref="T7:T13" si="5">ROUND($L$14*S7/10000,0)</f>
        <v>0</v>
      </c>
      <c r="U7" s="368">
        <v>1600</v>
      </c>
      <c r="V7" s="369">
        <v>0.03</v>
      </c>
      <c r="W7" s="369">
        <v>0.05</v>
      </c>
      <c r="X7" s="2508"/>
      <c r="Y7" s="370">
        <f>Y6</f>
        <v>0.82</v>
      </c>
      <c r="Z7" s="371"/>
      <c r="AA7" s="364"/>
      <c r="AB7" s="364"/>
      <c r="AC7" s="2508"/>
      <c r="AD7" s="372"/>
      <c r="AE7" s="2509">
        <f t="shared" ref="AE7:AE13" ca="1" si="6">IF(AN7="",0,SUMIF(INDIRECT("'"&amp;AN7&amp;"'"&amp;"!E:E"),$AE$5,INDIRECT("'"&amp;AN7&amp;"'"&amp;"!F:F")))</f>
        <v>36.89</v>
      </c>
      <c r="AF7" s="352"/>
      <c r="AG7" s="478">
        <f t="shared" ref="AG7:AG13" si="7">IF(AF7="",0,AE7-AF7)</f>
        <v>0</v>
      </c>
      <c r="AH7" s="373">
        <v>717</v>
      </c>
      <c r="AI7" s="375">
        <v>12</v>
      </c>
      <c r="AJ7" s="376"/>
      <c r="AK7" s="377">
        <f>AK6</f>
        <v>1.4999999999999999E-2</v>
      </c>
      <c r="AL7" s="378">
        <f>AL6</f>
        <v>1.5E-3</v>
      </c>
      <c r="AM7" s="379">
        <f>AM6</f>
        <v>0.02</v>
      </c>
      <c r="AN7" s="2578" t="s">
        <v>3111</v>
      </c>
      <c r="AO7" s="344">
        <f t="shared" ref="AO7:AO13" ca="1" si="8">SUMIF(INDIRECT("'"&amp;AN7&amp;"'"&amp;"!A:A"),"总价",INDIRECT("'"&amp;AN7&amp;"'"&amp;"!B:B"))</f>
        <v>25629</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0</v>
      </c>
      <c r="L14" s="3375">
        <f>L7</f>
        <v>3000</v>
      </c>
      <c r="M14" s="365">
        <f t="shared" si="0"/>
        <v>0</v>
      </c>
      <c r="N14" s="382">
        <f>N6</f>
        <v>0.82</v>
      </c>
      <c r="O14" s="365" t="str">
        <f t="shared" si="3"/>
        <v>——</v>
      </c>
      <c r="P14" s="366" t="str">
        <f t="shared" si="4"/>
        <v>——</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2390</v>
      </c>
      <c r="B15" s="2495" t="s">
        <v>535</v>
      </c>
      <c r="C15" s="2496" t="s">
        <v>2095</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0.86199999999999999</v>
      </c>
      <c r="H16" s="389">
        <f>ROUND(SUMPRODUCT(H6:H13,K6:K13)/SUMPRODUCT((H6:H13&gt;0)*(K6:K13)),3)</f>
        <v>4.7E-2</v>
      </c>
      <c r="I16" s="390"/>
      <c r="J16" s="390"/>
      <c r="K16" s="391">
        <f>SUM(K6:K15)</f>
        <v>92501.329999999987</v>
      </c>
      <c r="L16" s="392">
        <f>ROUND(M16*10000/SUM(K6:K14),0)</f>
        <v>4093</v>
      </c>
      <c r="M16" s="392">
        <f>SUM(M6:M14)</f>
        <v>37859</v>
      </c>
      <c r="N16" s="393">
        <f>ROUND(SUMPRODUCT(M6:M14,N6:N14)/M16,3)</f>
        <v>0.82</v>
      </c>
      <c r="O16" s="392">
        <f>SUM(O6:O14)</f>
        <v>0</v>
      </c>
      <c r="P16" s="392">
        <f>SUM(P6:P14)</f>
        <v>0</v>
      </c>
      <c r="Q16" s="394">
        <f>ROUND(SUMPRODUCT(Q6:Q13,K6:K13)/SUMPRODUCT((Q6:Q13&gt;0)*(K6:K13)),2)</f>
        <v>0.21</v>
      </c>
      <c r="R16" s="2502">
        <f ca="1">SUM(R6:R13)</f>
        <v>31622.17</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2406</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2</v>
      </c>
      <c r="C20" s="2234" t="s">
        <v>2407</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2</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v>160</v>
      </c>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2685</v>
      </c>
      <c r="B29" s="411">
        <f>ROUND(B28*K16/10000,0)</f>
        <v>1850</v>
      </c>
      <c r="C29" s="2530" t="s">
        <v>2686</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0.05</v>
      </c>
      <c r="C33" s="3291" t="s">
        <v>2996</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1" t="s">
        <v>2997</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1" t="s">
        <v>2998</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1" t="s">
        <v>2999</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1" t="s">
        <v>3000</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0.03</v>
      </c>
      <c r="C38" s="3291" t="s">
        <v>3000</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2535</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2611</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1" t="s">
        <v>3002</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2" t="s">
        <v>3001</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2" t="s">
        <v>3029</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v>0</v>
      </c>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4" t="s">
        <v>3030</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4" t="s">
        <v>3031</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12</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1135</v>
      </c>
      <c r="C53" s="2236" t="s">
        <v>3003</v>
      </c>
      <c r="D53" s="2239" t="s">
        <v>3007</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1175</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3004</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3005</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3006</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7" t="s">
        <v>751</v>
      </c>
      <c r="B1" s="3468"/>
      <c r="C1" s="3468"/>
      <c r="D1" s="3468"/>
      <c r="E1" s="3468"/>
      <c r="F1" s="3468"/>
      <c r="G1" s="3468"/>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40.5">
      <c r="A3" s="1021" t="s">
        <v>754</v>
      </c>
      <c r="B3" s="51" t="s">
        <v>52</v>
      </c>
      <c r="C3" s="3293"/>
      <c r="D3" s="2258"/>
      <c r="E3" s="1030" t="s">
        <v>754</v>
      </c>
      <c r="F3" s="1214" t="s">
        <v>99</v>
      </c>
      <c r="G3" s="3297" t="s">
        <v>3009</v>
      </c>
      <c r="H3" s="2257"/>
      <c r="I3" s="2257"/>
      <c r="J3" s="2257"/>
      <c r="K3" s="2257"/>
      <c r="L3" s="2257"/>
      <c r="M3" s="2257"/>
      <c r="N3" s="2257"/>
      <c r="O3" s="2257"/>
      <c r="P3" s="2257"/>
      <c r="Q3" s="2257"/>
      <c r="R3" s="2257"/>
    </row>
    <row r="4" spans="1:29" ht="40.5">
      <c r="A4" s="1030"/>
      <c r="B4" s="2213" t="s">
        <v>755</v>
      </c>
      <c r="C4" s="3294" t="s">
        <v>3123</v>
      </c>
      <c r="D4" s="2258"/>
      <c r="E4" s="1215"/>
      <c r="F4" s="2217" t="s">
        <v>756</v>
      </c>
      <c r="G4" s="3295" t="s">
        <v>757</v>
      </c>
      <c r="H4" s="2257"/>
      <c r="I4" s="2257"/>
      <c r="J4" s="2257"/>
      <c r="K4" s="2257"/>
      <c r="L4" s="2257"/>
      <c r="M4" s="2257"/>
      <c r="N4" s="2257"/>
      <c r="O4" s="2257"/>
      <c r="P4" s="2257"/>
      <c r="Q4" s="2257"/>
      <c r="R4" s="2257"/>
    </row>
    <row r="5" spans="1:29" ht="27">
      <c r="A5" s="1030"/>
      <c r="B5" s="2213" t="s">
        <v>758</v>
      </c>
      <c r="C5" s="3294"/>
      <c r="D5" s="2258"/>
      <c r="E5" s="1215"/>
      <c r="F5" s="2746" t="s">
        <v>2628</v>
      </c>
      <c r="G5" s="3295" t="s">
        <v>2630</v>
      </c>
      <c r="H5" s="2257"/>
      <c r="I5" s="2257"/>
      <c r="J5" s="2257"/>
      <c r="K5" s="2257"/>
      <c r="L5" s="2257"/>
      <c r="M5" s="2257"/>
      <c r="N5" s="2257"/>
      <c r="O5" s="2257"/>
      <c r="P5" s="2257"/>
      <c r="Q5" s="2257"/>
      <c r="R5" s="2257"/>
    </row>
    <row r="6" spans="1:29" ht="54">
      <c r="A6" s="1030"/>
      <c r="B6" s="2213" t="s">
        <v>72</v>
      </c>
      <c r="C6" s="3295" t="s">
        <v>3124</v>
      </c>
      <c r="D6" s="2258"/>
      <c r="E6" s="1215"/>
      <c r="F6" s="2746" t="s">
        <v>2627</v>
      </c>
      <c r="G6" s="3295" t="s">
        <v>2629</v>
      </c>
      <c r="H6" s="2257"/>
      <c r="I6" s="2257"/>
      <c r="J6" s="2257"/>
      <c r="K6" s="2257"/>
      <c r="L6" s="2257"/>
      <c r="M6" s="2257"/>
      <c r="N6" s="2257"/>
      <c r="O6" s="2257"/>
      <c r="P6" s="2257"/>
      <c r="Q6" s="2257"/>
      <c r="R6" s="2257"/>
    </row>
    <row r="7" spans="1:29" ht="41.25" thickBot="1">
      <c r="A7" s="1030"/>
      <c r="B7" s="2213" t="s">
        <v>2628</v>
      </c>
      <c r="C7" s="3295" t="s">
        <v>3126</v>
      </c>
      <c r="D7" s="2259"/>
      <c r="E7" s="1216"/>
      <c r="F7" s="1217" t="s">
        <v>737</v>
      </c>
      <c r="G7" s="3298" t="s">
        <v>3010</v>
      </c>
      <c r="H7" s="2257"/>
      <c r="I7" s="2257"/>
      <c r="J7" s="2257"/>
      <c r="K7" s="2257"/>
      <c r="L7" s="2257"/>
      <c r="M7" s="2257"/>
      <c r="N7" s="2257"/>
      <c r="O7" s="2257"/>
      <c r="P7" s="2257"/>
      <c r="Q7" s="2257"/>
      <c r="R7" s="2257"/>
    </row>
    <row r="8" spans="1:29">
      <c r="A8" s="1030"/>
      <c r="B8" s="2746" t="s">
        <v>2627</v>
      </c>
      <c r="C8" s="3295" t="s">
        <v>3127</v>
      </c>
      <c r="D8" s="2259"/>
      <c r="E8" s="2259"/>
      <c r="F8" s="2260"/>
      <c r="G8" s="2260"/>
      <c r="H8" s="2257"/>
      <c r="I8" s="2257"/>
      <c r="J8" s="2257"/>
      <c r="K8" s="2257"/>
      <c r="L8" s="2257"/>
      <c r="M8" s="2257"/>
      <c r="N8" s="2257"/>
      <c r="O8" s="2257"/>
      <c r="P8" s="2257"/>
      <c r="Q8" s="2257"/>
      <c r="R8" s="2257"/>
    </row>
    <row r="9" spans="1:29">
      <c r="A9" s="1030"/>
      <c r="B9" s="2213" t="s">
        <v>73</v>
      </c>
      <c r="C9" s="3294" t="s">
        <v>3126</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40.5">
      <c r="A15" s="46" t="s">
        <v>742</v>
      </c>
      <c r="B15" s="14" t="s">
        <v>52</v>
      </c>
      <c r="C15" s="1225">
        <f>C3</f>
        <v>0</v>
      </c>
      <c r="D15" s="2258"/>
      <c r="E15" s="2759" t="s">
        <v>743</v>
      </c>
      <c r="F15" s="14" t="s">
        <v>744</v>
      </c>
      <c r="G15" s="1023" t="str">
        <f>G3</f>
        <v>估价对象位于XX开发区，园区建设成熟度XX，产业集聚程度XX</v>
      </c>
    </row>
    <row r="16" spans="1:29" ht="40.5">
      <c r="A16" s="2762"/>
      <c r="B16" s="1226" t="s">
        <v>745</v>
      </c>
      <c r="C16" s="1227" t="str">
        <f>C4</f>
        <v>估价对象位于望京商圈，周边商业氛围成熟，人流量大，商业繁华度较好</v>
      </c>
      <c r="D16" s="2258"/>
      <c r="E16" s="2760"/>
      <c r="F16" s="1228" t="s">
        <v>746</v>
      </c>
      <c r="G16" s="1025" t="str">
        <f>G4</f>
        <v>估价对象周边道路状况、公共交通通达情况、停车便捷程度，综合评价交通便捷度较好</v>
      </c>
    </row>
    <row r="17" spans="1:18">
      <c r="A17" s="2762"/>
      <c r="B17" s="1226" t="s">
        <v>747</v>
      </c>
      <c r="C17" s="1227">
        <f>C5</f>
        <v>0</v>
      </c>
      <c r="D17" s="2259"/>
      <c r="E17" s="2760"/>
      <c r="F17" s="1228" t="s">
        <v>748</v>
      </c>
      <c r="G17" s="271"/>
    </row>
    <row r="18" spans="1:18" ht="54">
      <c r="A18" s="2762"/>
      <c r="B18" s="1228" t="s">
        <v>72</v>
      </c>
      <c r="C18" s="1025" t="str">
        <f>C6</f>
        <v>估价对象周边道路状况、公共交通通达情况、停车便捷程度一般，综合评价交通便捷度较好</v>
      </c>
      <c r="D18" s="2259"/>
      <c r="E18" s="2760"/>
      <c r="F18" s="1228" t="s">
        <v>737</v>
      </c>
      <c r="G18" s="1025" t="str">
        <f>G7</f>
        <v>该园区内是否有污染型企业，绿化情况，卫生条件，整体环境状况判断</v>
      </c>
    </row>
    <row r="19" spans="1:18" ht="27">
      <c r="A19" s="2762"/>
      <c r="B19" s="1228" t="s">
        <v>91</v>
      </c>
      <c r="C19" s="271" t="s">
        <v>3128</v>
      </c>
      <c r="D19" s="2258"/>
      <c r="E19" s="2760"/>
      <c r="F19" s="2746" t="s">
        <v>2628</v>
      </c>
      <c r="G19" s="1025" t="str">
        <f>G5</f>
        <v>估价对象所在区域公共配套设施齐备情况</v>
      </c>
    </row>
    <row r="20" spans="1:18" ht="27">
      <c r="A20" s="2762"/>
      <c r="B20" s="1228" t="s">
        <v>90</v>
      </c>
      <c r="C20" s="1227" t="str">
        <f>C9</f>
        <v>较好</v>
      </c>
      <c r="D20" s="2259"/>
      <c r="E20" s="2760"/>
      <c r="F20" s="2746" t="s">
        <v>2627</v>
      </c>
      <c r="G20" s="1025" t="str">
        <f>G6</f>
        <v>估价对象所在区域基础设施水平</v>
      </c>
    </row>
    <row r="21" spans="1:18">
      <c r="A21" s="2762"/>
      <c r="B21" s="2746" t="s">
        <v>2628</v>
      </c>
      <c r="C21" s="1025" t="str">
        <f>C7</f>
        <v>较好</v>
      </c>
      <c r="D21" s="2258"/>
      <c r="E21" s="2760"/>
      <c r="F21" s="1228" t="s">
        <v>89</v>
      </c>
      <c r="G21" s="283"/>
    </row>
    <row r="22" spans="1:18" ht="13.5" customHeight="1">
      <c r="A22" s="2762"/>
      <c r="B22" s="2746" t="s">
        <v>2627</v>
      </c>
      <c r="C22" s="1025" t="str">
        <f>C8</f>
        <v>七通</v>
      </c>
      <c r="D22" s="2258"/>
      <c r="E22" s="2760"/>
      <c r="F22" s="1228" t="s">
        <v>749</v>
      </c>
      <c r="G22" s="271"/>
    </row>
    <row r="23" spans="1:18" s="2257" customFormat="1" ht="14.25" thickBot="1">
      <c r="A23" s="2762"/>
      <c r="B23" s="1228" t="s">
        <v>89</v>
      </c>
      <c r="C23" s="283" t="s">
        <v>3129</v>
      </c>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3252" customWidth="1"/>
    <col min="2" max="9" width="15.75" style="3252" customWidth="1"/>
    <col min="10" max="16384" width="9" style="3252"/>
  </cols>
  <sheetData>
    <row r="1" spans="1:10" ht="16.5">
      <c r="A1" s="3257" t="s">
        <v>2979</v>
      </c>
      <c r="B1" s="3257">
        <f>SUM(B14:B23)</f>
        <v>92501.329999999987</v>
      </c>
      <c r="C1" s="3256"/>
      <c r="D1" s="3256"/>
      <c r="E1" s="3256"/>
      <c r="F1" s="3256"/>
      <c r="G1" s="3254"/>
    </row>
    <row r="2" spans="1:10" ht="16.5">
      <c r="A2" s="3257" t="s">
        <v>2967</v>
      </c>
      <c r="B2" s="3257">
        <f>SUM(C14:C23)</f>
        <v>31622.17</v>
      </c>
      <c r="C2" s="3256"/>
      <c r="D2" s="3256"/>
      <c r="E2" s="3256"/>
      <c r="F2" s="3256"/>
      <c r="G2" s="3254"/>
    </row>
    <row r="3" spans="1:10" ht="16.5">
      <c r="A3" s="3257" t="s">
        <v>2976</v>
      </c>
      <c r="B3" s="3258">
        <f>项目基本情况!D3</f>
        <v>42964</v>
      </c>
      <c r="C3" s="3256"/>
      <c r="D3" s="3256"/>
      <c r="E3" s="3256"/>
      <c r="F3" s="3256"/>
      <c r="G3" s="3254"/>
    </row>
    <row r="4" spans="1:10" ht="33">
      <c r="A4" s="3257" t="s">
        <v>2975</v>
      </c>
      <c r="B4" s="3257" t="s">
        <v>2974</v>
      </c>
      <c r="C4" s="3257" t="s">
        <v>2973</v>
      </c>
      <c r="D4" s="3257" t="s">
        <v>2972</v>
      </c>
      <c r="E4" s="3256"/>
      <c r="F4" s="3254"/>
      <c r="G4" s="3254"/>
    </row>
    <row r="5" spans="1:10" ht="16.5">
      <c r="A5" s="3257" t="s">
        <v>2971</v>
      </c>
      <c r="B5" s="3257">
        <f ca="1">SUM(D14:D23)</f>
        <v>322046</v>
      </c>
      <c r="C5" s="3257">
        <f ca="1">ROUND(B5*10000/$B$1,0)</f>
        <v>34815</v>
      </c>
      <c r="D5" s="3257">
        <f ca="1">ROUND(B5*10000/$B$2,0)</f>
        <v>101842</v>
      </c>
      <c r="E5" s="3256"/>
      <c r="F5" s="3254"/>
      <c r="G5" s="3254"/>
    </row>
    <row r="6" spans="1:10" ht="16.5">
      <c r="A6" s="3257" t="s">
        <v>2970</v>
      </c>
      <c r="B6" s="3257">
        <f ca="1">SUM(G14:G23)</f>
        <v>322046</v>
      </c>
      <c r="C6" s="3257">
        <f ca="1">ROUND(B6*10000/$B$1,0)</f>
        <v>34815</v>
      </c>
      <c r="D6" s="3257">
        <f ca="1">ROUND(B6*10000/$B$2,0)</f>
        <v>101842</v>
      </c>
      <c r="E6" s="3256"/>
      <c r="F6" s="3254"/>
      <c r="G6" s="3254"/>
    </row>
    <row r="7" spans="1:10" ht="16.5">
      <c r="A7" s="3257" t="s">
        <v>2978</v>
      </c>
      <c r="B7" s="3257">
        <f>SUM(H14:H23)</f>
        <v>0</v>
      </c>
      <c r="C7" s="3257">
        <f>ROUND(B7*10000/$B$1,0)</f>
        <v>0</v>
      </c>
      <c r="D7" s="3257">
        <f>ROUND(B7*10000/$B$2,0)</f>
        <v>0</v>
      </c>
      <c r="E7" s="3256"/>
      <c r="F7" s="3254"/>
      <c r="G7" s="3254"/>
    </row>
    <row r="8" spans="1:10" ht="16.5">
      <c r="A8" s="3257" t="s">
        <v>2867</v>
      </c>
      <c r="B8" s="3257">
        <f>SUM(I14:I23)</f>
        <v>0</v>
      </c>
      <c r="C8" s="3257">
        <f>ROUND(B8*10000/$B$1,0)</f>
        <v>0</v>
      </c>
      <c r="D8" s="3257">
        <f>ROUND(B8*10000/$B$2,0)</f>
        <v>0</v>
      </c>
      <c r="E8" s="3256"/>
      <c r="F8" s="3254"/>
      <c r="G8" s="3254"/>
    </row>
    <row r="9" spans="1:10" ht="16.5">
      <c r="A9" s="3257" t="s">
        <v>2969</v>
      </c>
      <c r="B9" s="3259"/>
      <c r="C9" s="3256"/>
      <c r="D9" s="3256"/>
      <c r="E9" s="3256"/>
      <c r="F9" s="3254"/>
      <c r="G9" s="3254"/>
    </row>
    <row r="10" spans="1:10" ht="16.5">
      <c r="A10" s="3257" t="s">
        <v>2968</v>
      </c>
      <c r="B10" s="3259"/>
      <c r="C10" s="3256"/>
      <c r="D10" s="3256"/>
      <c r="E10" s="3256"/>
      <c r="F10" s="3254"/>
      <c r="G10" s="3254"/>
    </row>
    <row r="11" spans="1:10" ht="16.5">
      <c r="A11" s="3257" t="s">
        <v>2984</v>
      </c>
      <c r="B11" s="3259"/>
      <c r="C11" s="3256"/>
      <c r="D11" s="3256"/>
      <c r="E11" s="3256"/>
      <c r="F11" s="3254"/>
      <c r="G11" s="3254"/>
    </row>
    <row r="12" spans="1:10" ht="16.5">
      <c r="A12" s="3256"/>
      <c r="B12" s="3256"/>
      <c r="C12" s="3256"/>
      <c r="D12" s="3256"/>
      <c r="E12" s="3256"/>
      <c r="F12" s="3254"/>
      <c r="G12" s="3254"/>
    </row>
    <row r="13" spans="1:10" ht="33">
      <c r="A13" s="3262" t="s">
        <v>2983</v>
      </c>
      <c r="B13" s="3255" t="s">
        <v>2980</v>
      </c>
      <c r="C13" s="3255" t="s">
        <v>2982</v>
      </c>
      <c r="D13" s="3255" t="s">
        <v>2981</v>
      </c>
      <c r="E13" s="3257" t="s">
        <v>2973</v>
      </c>
      <c r="F13" s="3257" t="s">
        <v>2972</v>
      </c>
      <c r="G13" s="3255" t="s">
        <v>2966</v>
      </c>
      <c r="H13" s="3255" t="s">
        <v>2977</v>
      </c>
      <c r="I13" s="3255" t="s">
        <v>2965</v>
      </c>
      <c r="J13" s="3254"/>
    </row>
    <row r="14" spans="1:10" ht="16.5">
      <c r="A14" s="3253" t="s">
        <v>2964</v>
      </c>
      <c r="B14" s="3255">
        <f>'数据-汇总表'!E3</f>
        <v>92501.329999999987</v>
      </c>
      <c r="C14" s="3255">
        <f>'数据-汇总表'!D3</f>
        <v>31622.17</v>
      </c>
      <c r="D14" s="3255">
        <f ca="1">结果表!H118</f>
        <v>322046</v>
      </c>
      <c r="E14" s="3255">
        <f ca="1">ROUND(D14*10000/B14,0)</f>
        <v>34815</v>
      </c>
      <c r="F14" s="3255">
        <f ca="1">ROUND(D14*10000/C14,0)</f>
        <v>101842</v>
      </c>
      <c r="G14" s="3255">
        <f ca="1">结果表!D122</f>
        <v>322046</v>
      </c>
      <c r="H14" s="3255" t="str">
        <f>结果表!D124</f>
        <v>——</v>
      </c>
      <c r="I14" s="3255" t="str">
        <f>结果表!D126</f>
        <v>——</v>
      </c>
      <c r="J14" s="3254"/>
    </row>
    <row r="15" spans="1:10" ht="16.5">
      <c r="A15" s="3253" t="s">
        <v>2963</v>
      </c>
      <c r="B15" s="3260"/>
      <c r="C15" s="3260"/>
      <c r="D15" s="3260"/>
      <c r="E15" s="3255" t="e">
        <f t="shared" ref="E15:E23" si="0">ROUND(D15*10000/B15,0)</f>
        <v>#DIV/0!</v>
      </c>
      <c r="F15" s="3255" t="e">
        <f t="shared" ref="F15:F23" si="1">ROUND(D15*10000/C15,0)</f>
        <v>#DIV/0!</v>
      </c>
      <c r="G15" s="3261"/>
      <c r="H15" s="3261"/>
      <c r="I15" s="3260"/>
      <c r="J15" s="3254"/>
    </row>
    <row r="16" spans="1:10" ht="16.5">
      <c r="A16" s="3253" t="s">
        <v>2962</v>
      </c>
      <c r="B16" s="3260"/>
      <c r="C16" s="3260"/>
      <c r="D16" s="3260"/>
      <c r="E16" s="3255" t="e">
        <f t="shared" si="0"/>
        <v>#DIV/0!</v>
      </c>
      <c r="F16" s="3255" t="e">
        <f t="shared" si="1"/>
        <v>#DIV/0!</v>
      </c>
      <c r="G16" s="3261"/>
      <c r="H16" s="3261"/>
      <c r="I16" s="3260"/>
    </row>
    <row r="17" spans="1:9" ht="16.5">
      <c r="A17" s="3253" t="s">
        <v>2961</v>
      </c>
      <c r="B17" s="3260"/>
      <c r="C17" s="3260"/>
      <c r="D17" s="3260"/>
      <c r="E17" s="3255" t="e">
        <f t="shared" si="0"/>
        <v>#DIV/0!</v>
      </c>
      <c r="F17" s="3255" t="e">
        <f t="shared" si="1"/>
        <v>#DIV/0!</v>
      </c>
      <c r="G17" s="3261"/>
      <c r="H17" s="3261"/>
      <c r="I17" s="3260"/>
    </row>
    <row r="18" spans="1:9" ht="16.5">
      <c r="A18" s="3253" t="s">
        <v>2960</v>
      </c>
      <c r="B18" s="3260"/>
      <c r="C18" s="3260"/>
      <c r="D18" s="3260"/>
      <c r="E18" s="3255" t="e">
        <f t="shared" si="0"/>
        <v>#DIV/0!</v>
      </c>
      <c r="F18" s="3255" t="e">
        <f t="shared" si="1"/>
        <v>#DIV/0!</v>
      </c>
      <c r="G18" s="3260"/>
      <c r="H18" s="3260"/>
      <c r="I18" s="3260"/>
    </row>
    <row r="19" spans="1:9" ht="16.5">
      <c r="A19" s="3253" t="s">
        <v>2959</v>
      </c>
      <c r="B19" s="3260"/>
      <c r="C19" s="3260"/>
      <c r="D19" s="3260"/>
      <c r="E19" s="3255" t="e">
        <f t="shared" si="0"/>
        <v>#DIV/0!</v>
      </c>
      <c r="F19" s="3255" t="e">
        <f t="shared" si="1"/>
        <v>#DIV/0!</v>
      </c>
      <c r="G19" s="3260"/>
      <c r="H19" s="3260"/>
      <c r="I19" s="3260"/>
    </row>
    <row r="20" spans="1:9" ht="16.5">
      <c r="A20" s="3253" t="s">
        <v>2958</v>
      </c>
      <c r="B20" s="3260"/>
      <c r="C20" s="3260"/>
      <c r="D20" s="3260"/>
      <c r="E20" s="3255" t="e">
        <f t="shared" si="0"/>
        <v>#DIV/0!</v>
      </c>
      <c r="F20" s="3255" t="e">
        <f t="shared" si="1"/>
        <v>#DIV/0!</v>
      </c>
      <c r="G20" s="3260"/>
      <c r="H20" s="3260"/>
      <c r="I20" s="3260"/>
    </row>
    <row r="21" spans="1:9" ht="16.5">
      <c r="A21" s="3253" t="s">
        <v>2957</v>
      </c>
      <c r="B21" s="3260"/>
      <c r="C21" s="3260"/>
      <c r="D21" s="3260"/>
      <c r="E21" s="3255" t="e">
        <f t="shared" si="0"/>
        <v>#DIV/0!</v>
      </c>
      <c r="F21" s="3255" t="e">
        <f t="shared" si="1"/>
        <v>#DIV/0!</v>
      </c>
      <c r="G21" s="3260"/>
      <c r="H21" s="3260"/>
      <c r="I21" s="3260"/>
    </row>
    <row r="22" spans="1:9" ht="16.5">
      <c r="A22" s="3253" t="s">
        <v>2956</v>
      </c>
      <c r="B22" s="3260"/>
      <c r="C22" s="3260"/>
      <c r="D22" s="3260"/>
      <c r="E22" s="3255" t="e">
        <f t="shared" si="0"/>
        <v>#DIV/0!</v>
      </c>
      <c r="F22" s="3255" t="e">
        <f t="shared" si="1"/>
        <v>#DIV/0!</v>
      </c>
      <c r="G22" s="3260"/>
      <c r="H22" s="3260"/>
      <c r="I22" s="3260"/>
    </row>
    <row r="23" spans="1:9" ht="16.5">
      <c r="A23" s="3253" t="s">
        <v>2955</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35" zoomScaleNormal="100" zoomScaleSheetLayoutView="100" zoomScalePageLayoutView="80" workbookViewId="0">
      <selection activeCell="D122" sqref="D122:I122"/>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759</v>
      </c>
      <c r="B1" s="1243"/>
      <c r="C1" s="2099"/>
      <c r="D1" s="1243"/>
      <c r="E1" s="1243"/>
      <c r="F1" s="2083" t="s">
        <v>2104</v>
      </c>
      <c r="G1" s="2056" t="s">
        <v>3071</v>
      </c>
      <c r="H1" s="2112" t="str">
        <f>IF(G1="现房","——","估价对象范围")</f>
        <v>——</v>
      </c>
      <c r="I1" s="2089" t="s">
        <v>3116</v>
      </c>
    </row>
    <row r="2" spans="1:12" ht="21.75" customHeight="1" thickBot="1">
      <c r="A2" s="3548" t="str">
        <f>项目基本情况!S2</f>
        <v>北京市朝阳区望京街9号商业楼281套房地产</v>
      </c>
      <c r="B2" s="3549"/>
      <c r="C2" s="3549"/>
      <c r="D2" s="3549"/>
      <c r="E2" s="3549"/>
      <c r="F2" s="3549"/>
      <c r="G2" s="3549"/>
      <c r="H2" s="3549"/>
      <c r="I2" s="3550"/>
    </row>
    <row r="3" spans="1:12" ht="12">
      <c r="A3" s="3552" t="s">
        <v>10</v>
      </c>
      <c r="B3" s="3553"/>
      <c r="C3" s="3553"/>
      <c r="D3" s="3553"/>
      <c r="E3" s="3553"/>
      <c r="F3" s="3553"/>
      <c r="G3" s="3553"/>
      <c r="H3" s="3553"/>
      <c r="I3" s="3553"/>
    </row>
    <row r="4" spans="1:12" ht="13.5">
      <c r="A4" s="429" t="s">
        <v>11</v>
      </c>
      <c r="B4" s="430" t="s">
        <v>12</v>
      </c>
      <c r="C4" s="431" t="s">
        <v>3113</v>
      </c>
      <c r="D4" s="431" t="s">
        <v>3114</v>
      </c>
      <c r="E4" s="3554" t="s">
        <v>760</v>
      </c>
      <c r="F4" s="3555"/>
      <c r="G4" s="3555"/>
      <c r="H4" s="3555"/>
      <c r="I4" s="3556"/>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21" t="s">
        <v>13</v>
      </c>
      <c r="B5" s="3551">
        <v>25</v>
      </c>
      <c r="C5" s="3539">
        <v>0</v>
      </c>
      <c r="D5" s="3539">
        <v>20</v>
      </c>
      <c r="E5" s="471" t="s">
        <v>801</v>
      </c>
      <c r="F5" s="432"/>
      <c r="G5" s="432"/>
      <c r="H5" s="432"/>
      <c r="I5" s="433"/>
    </row>
    <row r="6" spans="1:12" ht="12.75" customHeight="1">
      <c r="A6" s="3521"/>
      <c r="B6" s="3551"/>
      <c r="C6" s="3540"/>
      <c r="D6" s="3540"/>
      <c r="E6" s="471" t="s">
        <v>802</v>
      </c>
      <c r="F6" s="432"/>
      <c r="G6" s="432"/>
      <c r="H6" s="432"/>
      <c r="I6" s="433"/>
    </row>
    <row r="7" spans="1:12" ht="12.75" customHeight="1">
      <c r="A7" s="3521"/>
      <c r="B7" s="3551"/>
      <c r="C7" s="3541"/>
      <c r="D7" s="3541"/>
      <c r="E7" s="471" t="s">
        <v>803</v>
      </c>
      <c r="F7" s="432"/>
      <c r="G7" s="432"/>
      <c r="H7" s="432"/>
      <c r="I7" s="433"/>
    </row>
    <row r="8" spans="1:12" ht="12.75" customHeight="1">
      <c r="A8" s="3521" t="s">
        <v>14</v>
      </c>
      <c r="B8" s="3551">
        <v>15</v>
      </c>
      <c r="C8" s="3539">
        <v>0</v>
      </c>
      <c r="D8" s="3539">
        <v>10</v>
      </c>
      <c r="E8" s="471" t="s">
        <v>804</v>
      </c>
      <c r="F8" s="432"/>
      <c r="G8" s="432"/>
      <c r="H8" s="432"/>
      <c r="I8" s="433"/>
    </row>
    <row r="9" spans="1:12" ht="12.75" customHeight="1">
      <c r="A9" s="3521"/>
      <c r="B9" s="3551"/>
      <c r="C9" s="3541"/>
      <c r="D9" s="3541"/>
      <c r="E9" s="471" t="s">
        <v>805</v>
      </c>
      <c r="F9" s="432"/>
      <c r="G9" s="432"/>
      <c r="H9" s="432"/>
      <c r="I9" s="433"/>
    </row>
    <row r="10" spans="1:12" ht="12.75" customHeight="1">
      <c r="A10" s="3521" t="s">
        <v>15</v>
      </c>
      <c r="B10" s="3551">
        <v>15</v>
      </c>
      <c r="C10" s="3539">
        <v>8</v>
      </c>
      <c r="D10" s="3539">
        <v>10</v>
      </c>
      <c r="E10" s="471" t="s">
        <v>806</v>
      </c>
      <c r="F10" s="432"/>
      <c r="G10" s="432"/>
      <c r="H10" s="432"/>
      <c r="I10" s="433"/>
    </row>
    <row r="11" spans="1:12" ht="12.75" customHeight="1">
      <c r="A11" s="3521"/>
      <c r="B11" s="3551"/>
      <c r="C11" s="3541"/>
      <c r="D11" s="3541"/>
      <c r="E11" s="471" t="s">
        <v>807</v>
      </c>
      <c r="F11" s="432"/>
      <c r="G11" s="432"/>
      <c r="H11" s="432"/>
      <c r="I11" s="433"/>
    </row>
    <row r="12" spans="1:12" ht="12.75" customHeight="1">
      <c r="A12" s="3521" t="s">
        <v>16</v>
      </c>
      <c r="B12" s="3551">
        <v>15</v>
      </c>
      <c r="C12" s="3539">
        <v>10</v>
      </c>
      <c r="D12" s="3539">
        <v>10</v>
      </c>
      <c r="E12" s="471" t="s">
        <v>808</v>
      </c>
      <c r="F12" s="432"/>
      <c r="G12" s="432"/>
      <c r="H12" s="432"/>
      <c r="I12" s="433"/>
    </row>
    <row r="13" spans="1:12" ht="12.75" customHeight="1">
      <c r="A13" s="3521"/>
      <c r="B13" s="3551"/>
      <c r="C13" s="3541"/>
      <c r="D13" s="3541"/>
      <c r="E13" s="471" t="s">
        <v>809</v>
      </c>
      <c r="F13" s="432"/>
      <c r="G13" s="432"/>
      <c r="H13" s="432"/>
      <c r="I13" s="433"/>
    </row>
    <row r="14" spans="1:12" ht="12.75" customHeight="1">
      <c r="A14" s="3521" t="s">
        <v>17</v>
      </c>
      <c r="B14" s="3551">
        <v>30</v>
      </c>
      <c r="C14" s="3539">
        <v>20</v>
      </c>
      <c r="D14" s="3539">
        <v>20</v>
      </c>
      <c r="E14" s="471" t="s">
        <v>810</v>
      </c>
      <c r="F14" s="432"/>
      <c r="G14" s="432"/>
      <c r="H14" s="432"/>
      <c r="I14" s="433"/>
    </row>
    <row r="15" spans="1:12" ht="12.75" customHeight="1">
      <c r="A15" s="3521"/>
      <c r="B15" s="3551"/>
      <c r="C15" s="3540"/>
      <c r="D15" s="3540"/>
      <c r="E15" s="471" t="s">
        <v>811</v>
      </c>
      <c r="F15" s="432"/>
      <c r="G15" s="432"/>
      <c r="H15" s="432"/>
      <c r="I15" s="433"/>
    </row>
    <row r="16" spans="1:12" ht="12.75" customHeight="1">
      <c r="A16" s="3521"/>
      <c r="B16" s="3551"/>
      <c r="C16" s="3541"/>
      <c r="D16" s="3541"/>
      <c r="E16" s="471" t="s">
        <v>812</v>
      </c>
      <c r="F16" s="432"/>
      <c r="G16" s="432"/>
      <c r="H16" s="432"/>
      <c r="I16" s="433"/>
    </row>
    <row r="17" spans="1:35" ht="14.25">
      <c r="A17" s="434" t="s">
        <v>18</v>
      </c>
      <c r="B17" s="38"/>
      <c r="C17" s="472">
        <f>SUM(C5:C16)</f>
        <v>38</v>
      </c>
      <c r="D17" s="472">
        <f>SUM(D5:D16)</f>
        <v>70</v>
      </c>
      <c r="E17" s="2278"/>
      <c r="F17" s="2278"/>
      <c r="G17" s="2278"/>
      <c r="H17" s="2278"/>
      <c r="I17" s="2278"/>
      <c r="K17" s="2185"/>
      <c r="L17" s="2186" t="s">
        <v>2312</v>
      </c>
      <c r="M17" s="2186" t="s">
        <v>2313</v>
      </c>
    </row>
    <row r="18" spans="1:35" ht="15" thickBot="1">
      <c r="A18" s="435" t="s">
        <v>19</v>
      </c>
      <c r="B18" s="18"/>
      <c r="C18" s="473">
        <f>ROUND(C17/SUM(C17:D17),2)</f>
        <v>0.35</v>
      </c>
      <c r="D18" s="473">
        <f>1-C18</f>
        <v>0.65</v>
      </c>
      <c r="E18" s="2278"/>
      <c r="F18" s="2278"/>
      <c r="G18" s="2278"/>
      <c r="H18" s="2278"/>
      <c r="I18" s="2278"/>
      <c r="K18" s="2185" t="s">
        <v>2126</v>
      </c>
      <c r="L18" s="2185">
        <f>IF(C1="",'数据-汇总表'!E3,SUMIF(项目类型,C1,'数据-汇总表'!E17:E26)+SUMIF(项目类型,C1,'数据-汇总表'!I17:I26))</f>
        <v>92501.329999999987</v>
      </c>
      <c r="M18" s="2185">
        <f>IF(C1="",'数据-汇总表'!E3,SUMIF(项目类型,C1,'数据-汇总表'!E17:E26))</f>
        <v>92501.329999999987</v>
      </c>
    </row>
    <row r="19" spans="1:35" ht="14.25">
      <c r="A19" s="436" t="s">
        <v>180</v>
      </c>
      <c r="B19" s="437" t="s">
        <v>20</v>
      </c>
      <c r="C19" s="474">
        <f ca="1">SUMIF(INDIRECT("'"&amp;C4&amp;"'"&amp;"!A:A"),结果表!B19,INDIRECT("'"&amp;C4&amp;"'"&amp;"!B:B"))</f>
        <v>263637</v>
      </c>
      <c r="D19" s="475">
        <f ca="1">SUMIF(INDIRECT("'"&amp;D4&amp;"'"&amp;"!A:A"),结果表!B19,INDIRECT("'"&amp;D4&amp;"'"&amp;"!B:B"))</f>
        <v>353497</v>
      </c>
      <c r="E19" s="436" t="s">
        <v>179</v>
      </c>
      <c r="F19" s="437" t="s">
        <v>20</v>
      </c>
      <c r="G19" s="476">
        <f ca="1">ROUND(C19*$C$18+D19*$D$18,0)</f>
        <v>322046</v>
      </c>
      <c r="H19" s="438" t="s">
        <v>228</v>
      </c>
      <c r="I19" s="2278"/>
      <c r="K19" s="2185" t="s">
        <v>2127</v>
      </c>
      <c r="L19" s="2185">
        <f>IF(C1="",'数据-汇总表'!D3,SUMIF(项目类型,C1,'数据-汇总表'!D17:D26)+SUMIF(项目类型,C1,'数据-汇总表'!H17:H27))</f>
        <v>31622.17</v>
      </c>
      <c r="M19" s="2185">
        <f>IF(C1="",'数据-汇总表'!D3,SUMIF(项目类型,C1,'数据-汇总表'!D17:D26))</f>
        <v>31622.17</v>
      </c>
    </row>
    <row r="20" spans="1:35" ht="14.25">
      <c r="A20" s="439"/>
      <c r="B20" s="440" t="s">
        <v>21</v>
      </c>
      <c r="C20" s="477">
        <f ca="1">SUMIF(INDIRECT("'"&amp;C4&amp;"'"&amp;"!A:A"),结果表!B20,INDIRECT("'"&amp;C4&amp;"'"&amp;"!B:B"))</f>
        <v>28501</v>
      </c>
      <c r="D20" s="478">
        <f ca="1">SUMIF(INDIRECT("'"&amp;D4&amp;"'"&amp;"!A:A"),结果表!B20,INDIRECT("'"&amp;D4&amp;"'"&amp;"!B:B"))</f>
        <v>38215</v>
      </c>
      <c r="E20" s="439"/>
      <c r="F20" s="440" t="s">
        <v>21</v>
      </c>
      <c r="G20" s="479">
        <f ca="1">ROUND(C20*$C$18+D20*$D$18,0)</f>
        <v>34815</v>
      </c>
      <c r="H20" s="441" t="s">
        <v>227</v>
      </c>
      <c r="I20" s="2278"/>
    </row>
    <row r="21" spans="1:35" ht="15" customHeight="1" thickBot="1">
      <c r="A21" s="443"/>
      <c r="B21" s="444" t="s">
        <v>22</v>
      </c>
      <c r="C21" s="1422">
        <f ca="1">ROUND(C19*10000/L19,0)</f>
        <v>83371</v>
      </c>
      <c r="D21" s="1423">
        <f ca="1">ROUND(D19*10000/L19,0)</f>
        <v>111788</v>
      </c>
      <c r="E21" s="443"/>
      <c r="F21" s="444" t="s">
        <v>22</v>
      </c>
      <c r="G21" s="480">
        <f ca="1">ROUND(G19*10000/L19,0)</f>
        <v>101842</v>
      </c>
      <c r="H21" s="445" t="s">
        <v>227</v>
      </c>
      <c r="I21" s="2278"/>
    </row>
    <row r="22" spans="1:35" ht="15" thickBot="1">
      <c r="A22" s="275" t="s">
        <v>181</v>
      </c>
      <c r="B22" s="1424"/>
      <c r="C22" s="1425"/>
      <c r="D22" s="1426">
        <f ca="1">IF(C19&lt;D19,D19/C19-1,C19/D19-1)</f>
        <v>0.34084745312683729</v>
      </c>
      <c r="E22" s="2278"/>
      <c r="F22" s="2278"/>
      <c r="G22" s="2278"/>
      <c r="H22" s="2278"/>
      <c r="I22" s="2278"/>
    </row>
    <row r="23" spans="1:35" ht="12.75" thickBot="1">
      <c r="A23" s="1243"/>
      <c r="B23" s="1243"/>
      <c r="C23" s="1243"/>
      <c r="D23" s="1243"/>
      <c r="E23" s="2278"/>
      <c r="F23" s="2278"/>
      <c r="G23" s="2278"/>
      <c r="H23" s="2278"/>
      <c r="I23" s="2278"/>
    </row>
    <row r="24" spans="1:35" ht="14.25">
      <c r="A24" s="3563" t="s">
        <v>177</v>
      </c>
      <c r="B24" s="437" t="s">
        <v>20</v>
      </c>
      <c r="C24" s="476">
        <f>IF(B30=0,0,D30)</f>
        <v>0</v>
      </c>
      <c r="D24" s="446"/>
      <c r="E24" s="2278"/>
      <c r="F24" s="2278"/>
      <c r="G24" s="2278"/>
      <c r="H24" s="2278"/>
      <c r="I24" s="2278"/>
      <c r="K24" s="2246" t="s">
        <v>3053</v>
      </c>
      <c r="N24" s="3376" t="s">
        <v>3134</v>
      </c>
      <c r="O24" s="3376"/>
    </row>
    <row r="25" spans="1:35" ht="14.25">
      <c r="A25" s="3564"/>
      <c r="B25" s="440" t="s">
        <v>21</v>
      </c>
      <c r="C25" s="481">
        <f>IF(B30=0,0,C30)</f>
        <v>0</v>
      </c>
      <c r="D25" s="447"/>
      <c r="E25" s="2278"/>
      <c r="F25" s="2278"/>
      <c r="G25" s="2278"/>
      <c r="H25" s="2278"/>
      <c r="I25" s="2278"/>
      <c r="J25" s="1446">
        <v>1</v>
      </c>
      <c r="K25" s="2246">
        <f>'基准地价修正（1）'!D29</f>
        <v>8351.19</v>
      </c>
      <c r="M25" s="1446">
        <f ca="1">(G19-17500)*10000/(K25+K26*L26+K27*L27+K28*L28+K29*L29+K30*L30+K31*L31+K32*L32)</f>
        <v>76850.044013031045</v>
      </c>
      <c r="N25" s="3376">
        <v>13380.279999999999</v>
      </c>
      <c r="O25" s="3376">
        <v>67161.933504077839</v>
      </c>
    </row>
    <row r="26" spans="1:35" ht="13.5" customHeight="1">
      <c r="A26" s="448" t="s">
        <v>178</v>
      </c>
      <c r="B26" s="449" t="s">
        <v>120</v>
      </c>
      <c r="C26" s="449" t="s">
        <v>121</v>
      </c>
      <c r="D26" s="450" t="s">
        <v>122</v>
      </c>
      <c r="E26" s="2278"/>
      <c r="F26" s="2278"/>
      <c r="G26" s="2278"/>
      <c r="H26" s="2278"/>
      <c r="I26" s="2278"/>
      <c r="J26" s="1446">
        <v>2</v>
      </c>
      <c r="K26" s="2246">
        <f>'基准地价修正 (2)'!D29</f>
        <v>11262.99</v>
      </c>
      <c r="L26" s="1446">
        <v>0.7</v>
      </c>
      <c r="N26" s="3376">
        <v>14440.34</v>
      </c>
      <c r="O26" s="3376"/>
    </row>
    <row r="27" spans="1:35" ht="14.25">
      <c r="A27" s="448"/>
      <c r="B27" s="482">
        <v>0</v>
      </c>
      <c r="C27" s="482">
        <v>0</v>
      </c>
      <c r="D27" s="483">
        <f>ROUND(C27*B27/10000,0)</f>
        <v>0</v>
      </c>
      <c r="E27" s="2278"/>
      <c r="F27" s="2278"/>
      <c r="G27" s="2278"/>
      <c r="H27" s="2278"/>
      <c r="I27" s="2278"/>
      <c r="J27" s="1446">
        <v>3</v>
      </c>
      <c r="K27" s="2246">
        <f>'基准地价修正 (3)'!D29</f>
        <v>15605.82</v>
      </c>
      <c r="L27" s="1446">
        <v>0.6</v>
      </c>
      <c r="N27" s="3376">
        <v>17028.37</v>
      </c>
      <c r="O27" s="3376"/>
    </row>
    <row r="28" spans="1:35" ht="14.25">
      <c r="A28" s="448"/>
      <c r="B28" s="482"/>
      <c r="C28" s="482"/>
      <c r="D28" s="483"/>
      <c r="E28" s="2278"/>
      <c r="F28" s="2278"/>
      <c r="G28" s="2278"/>
      <c r="H28" s="2278"/>
      <c r="I28" s="2278"/>
      <c r="J28" s="1446">
        <v>4</v>
      </c>
      <c r="K28" s="2246">
        <f>'基准地价修正 (4)'!D29</f>
        <v>16467.25</v>
      </c>
      <c r="L28" s="1446">
        <v>0.55000000000000004</v>
      </c>
      <c r="N28" s="3376">
        <v>17421.89</v>
      </c>
      <c r="O28" s="3376"/>
    </row>
    <row r="29" spans="1:35" ht="14.25">
      <c r="A29" s="448"/>
      <c r="B29" s="482"/>
      <c r="C29" s="482"/>
      <c r="D29" s="483"/>
      <c r="E29" s="2278"/>
      <c r="F29" s="2278"/>
      <c r="G29" s="2278"/>
      <c r="H29" s="2278"/>
      <c r="I29" s="2278"/>
      <c r="J29" s="1446">
        <v>5</v>
      </c>
      <c r="K29" s="2246">
        <f>'基准地价修正 (5)'!D29</f>
        <v>931.88</v>
      </c>
      <c r="L29" s="1446">
        <v>0.5</v>
      </c>
      <c r="N29" s="3376">
        <v>931.88</v>
      </c>
      <c r="O29" s="3376"/>
    </row>
    <row r="30" spans="1:35" ht="14.25">
      <c r="A30" s="451" t="s">
        <v>176</v>
      </c>
      <c r="B30" s="484">
        <f>SUM(B27:B29)</f>
        <v>0</v>
      </c>
      <c r="C30" s="484" t="e">
        <f>ROUND(D30*10000/B30,0)</f>
        <v>#DIV/0!</v>
      </c>
      <c r="D30" s="484">
        <f>SUM(D27:D29)</f>
        <v>0</v>
      </c>
      <c r="E30" s="2278"/>
      <c r="F30" s="2278"/>
      <c r="G30" s="2278"/>
      <c r="H30" s="2278"/>
      <c r="I30" s="2278"/>
      <c r="J30" s="1446">
        <v>6</v>
      </c>
      <c r="K30" s="2246">
        <f>'基准地价修正 (6)'!D29</f>
        <v>0</v>
      </c>
      <c r="L30" s="1446">
        <v>0.4</v>
      </c>
      <c r="N30" s="3376">
        <v>931.88</v>
      </c>
      <c r="O30" s="3376"/>
    </row>
    <row r="31" spans="1:35" s="1245" customFormat="1" ht="14.25" thickBot="1">
      <c r="A31" s="452"/>
      <c r="B31" s="452"/>
      <c r="C31" s="452"/>
      <c r="D31" s="452"/>
      <c r="E31" s="2278"/>
      <c r="F31" s="2278"/>
      <c r="G31" s="2278"/>
      <c r="H31" s="2278"/>
      <c r="I31" s="2278"/>
      <c r="J31" s="1446">
        <v>7</v>
      </c>
      <c r="K31" s="2246">
        <f>'基准地价修正 (7)'!D29</f>
        <v>750.95</v>
      </c>
      <c r="L31" s="1446">
        <v>0.4</v>
      </c>
      <c r="M31" s="1446"/>
      <c r="N31" s="3376">
        <v>1192.3900000000001</v>
      </c>
      <c r="O31" s="337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322046</v>
      </c>
      <c r="D32" s="2093" t="s">
        <v>210</v>
      </c>
      <c r="E32" s="2278"/>
      <c r="F32" s="2278"/>
      <c r="G32" s="2278"/>
      <c r="H32" s="2278"/>
      <c r="I32" s="2278"/>
      <c r="J32" s="1446">
        <v>-1</v>
      </c>
      <c r="K32" s="2246">
        <f>'基准地价修正（1）'!D33</f>
        <v>14021.740000000002</v>
      </c>
      <c r="L32" s="1446">
        <v>0.3</v>
      </c>
      <c r="N32" s="3376">
        <v>14898.37</v>
      </c>
      <c r="O32" s="3376"/>
    </row>
    <row r="33" spans="1:15" ht="13.5">
      <c r="A33" s="457" t="s">
        <v>761</v>
      </c>
      <c r="B33" s="2092"/>
      <c r="C33" s="2875" t="s">
        <v>3117</v>
      </c>
      <c r="D33" s="2878" t="s">
        <v>3113</v>
      </c>
      <c r="E33" s="2090" t="s">
        <v>2106</v>
      </c>
      <c r="F33" s="2091" t="str">
        <f>IF(D32="楼面单价","取值（单价）","取值（总价）")</f>
        <v>取值（总价）</v>
      </c>
      <c r="G33" s="2278"/>
      <c r="H33" s="2278"/>
      <c r="I33" s="2278"/>
      <c r="J33" s="1446" t="s">
        <v>3132</v>
      </c>
      <c r="K33" s="1446">
        <f>'基准地价修正（1）'!D39</f>
        <v>25109.51</v>
      </c>
      <c r="N33" s="3376">
        <v>25109.51</v>
      </c>
      <c r="O33" s="3376"/>
    </row>
    <row r="34" spans="1:15" ht="15">
      <c r="A34" s="458"/>
      <c r="B34" s="459" t="s">
        <v>764</v>
      </c>
      <c r="C34" s="489">
        <f ca="1">IF(C33="自定义",F34,C32-C35)</f>
        <v>261823</v>
      </c>
      <c r="D34" s="2094">
        <f ca="1">IF(C33="自定义",ROUND(C34/C32,3),IF(C33="收益比率",SUMIF(INDIRECT("'"&amp;D33&amp;"'"&amp;"!b:b"),"土地收益比率",INDIRECT("'"&amp;D33&amp;"'"&amp;"!c:c")),SUMIF(INDIRECT("'"&amp;D33&amp;"'"&amp;"!b:b"),"土地成本比率",INDIRECT("'"&amp;D33&amp;"'"&amp;"!c:c"))))</f>
        <v>0.81299999999999994</v>
      </c>
      <c r="E34" s="2876" t="s">
        <v>2107</v>
      </c>
      <c r="F34" s="3250"/>
      <c r="G34" s="2278"/>
      <c r="H34" s="2278"/>
      <c r="I34" s="2278"/>
      <c r="J34" s="1446" t="s">
        <v>3133</v>
      </c>
      <c r="K34" s="1446">
        <f>SUM(K25:K33)</f>
        <v>92501.329999999987</v>
      </c>
      <c r="N34" s="3376">
        <v>105334</v>
      </c>
      <c r="O34" s="3376"/>
    </row>
    <row r="35" spans="1:15" ht="15.75" thickBot="1">
      <c r="A35" s="461"/>
      <c r="B35" s="2879" t="s">
        <v>766</v>
      </c>
      <c r="C35" s="2880">
        <f ca="1">IF(C33="自定义",F35,ROUND(C32*D35,0))</f>
        <v>60223</v>
      </c>
      <c r="D35" s="2881">
        <f ca="1">IF(C33="自定义",ROUND(C35/C32,3),IF(C33="收益比率",SUMIF(INDIRECT("'"&amp;D33&amp;"'"&amp;"!b:b"),"建筑物收益比率",INDIRECT("'"&amp;D33&amp;"'"&amp;"!c:c")),SUMIF(INDIRECT("'"&amp;D33&amp;"'"&amp;"!b:b"),"建筑物成本比率",INDIRECT("'"&amp;D33&amp;"'"&amp;"!c:c"))))</f>
        <v>0.187</v>
      </c>
      <c r="E35" s="2877" t="s">
        <v>2108</v>
      </c>
      <c r="F35" s="495"/>
      <c r="G35" s="2278"/>
      <c r="H35" s="2278"/>
      <c r="I35" s="2278"/>
      <c r="M35" s="1446" t="s">
        <v>3142</v>
      </c>
      <c r="N35" s="1446">
        <f>N34-K34</f>
        <v>12832.670000000013</v>
      </c>
    </row>
    <row r="36" spans="1:15" ht="15.75" hidden="1" thickBot="1">
      <c r="A36" s="3542" t="s">
        <v>762</v>
      </c>
      <c r="B36" s="455" t="s">
        <v>763</v>
      </c>
      <c r="C36" s="486"/>
      <c r="D36" s="456"/>
      <c r="E36" s="1246"/>
      <c r="F36" s="2279"/>
      <c r="G36" s="2278"/>
      <c r="H36" s="2278"/>
      <c r="I36" s="2278"/>
    </row>
    <row r="37" spans="1:15" ht="15.75" hidden="1" thickBot="1">
      <c r="A37" s="3543"/>
      <c r="B37" s="13" t="s">
        <v>765</v>
      </c>
      <c r="C37" s="488"/>
      <c r="D37" s="2227"/>
      <c r="E37" s="2227"/>
      <c r="F37" s="2279"/>
      <c r="G37" s="2278"/>
      <c r="H37" s="2278"/>
      <c r="I37" s="2278"/>
    </row>
    <row r="38" spans="1:15" ht="15.75" hidden="1" thickBot="1">
      <c r="A38" s="3544"/>
      <c r="B38" s="460" t="s">
        <v>767</v>
      </c>
      <c r="C38" s="1137"/>
      <c r="D38" s="1247" t="s">
        <v>768</v>
      </c>
      <c r="E38" s="2227"/>
      <c r="F38" s="2279"/>
      <c r="G38" s="2278"/>
      <c r="H38" s="2278"/>
      <c r="I38" s="2278"/>
    </row>
    <row r="39" spans="1:15" ht="13.5" hidden="1">
      <c r="A39" s="439" t="s">
        <v>769</v>
      </c>
      <c r="B39" s="462" t="s">
        <v>770</v>
      </c>
      <c r="C39" s="463" t="s">
        <v>771</v>
      </c>
      <c r="D39" s="463" t="s">
        <v>772</v>
      </c>
      <c r="E39" s="464" t="s">
        <v>773</v>
      </c>
      <c r="F39" s="2279"/>
      <c r="G39" s="2278"/>
      <c r="H39" s="2278"/>
      <c r="I39" s="2278"/>
    </row>
    <row r="40" spans="1:15" ht="13.5" hidden="1">
      <c r="A40" s="1248" t="s">
        <v>774</v>
      </c>
      <c r="B40" s="490"/>
      <c r="C40" s="491"/>
      <c r="D40" s="491"/>
      <c r="E40" s="492"/>
      <c r="F40" s="2279"/>
      <c r="G40" s="2278"/>
      <c r="H40" s="2278"/>
      <c r="I40" s="2278"/>
    </row>
    <row r="41" spans="1:15" ht="13.5" hidden="1">
      <c r="A41" s="1248" t="s">
        <v>775</v>
      </c>
      <c r="B41" s="490"/>
      <c r="C41" s="491"/>
      <c r="D41" s="491"/>
      <c r="E41" s="492"/>
      <c r="F41" s="2279"/>
      <c r="G41" s="2278"/>
      <c r="H41" s="2278"/>
      <c r="I41" s="2278"/>
    </row>
    <row r="42" spans="1:15" ht="14.25" hidden="1"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hidden="1">
      <c r="A44" s="1252" t="s">
        <v>776</v>
      </c>
      <c r="B44" s="1253"/>
      <c r="C44" s="1253"/>
      <c r="D44" s="1254"/>
      <c r="E44" s="1254"/>
      <c r="F44" s="1255"/>
      <c r="G44" s="1255"/>
      <c r="H44" s="1255"/>
      <c r="I44" s="1255"/>
      <c r="J44" s="3267" t="s">
        <v>214</v>
      </c>
      <c r="K44" s="3268"/>
      <c r="L44" s="3268"/>
      <c r="M44" s="3268"/>
      <c r="N44" s="3268"/>
      <c r="O44" s="3268"/>
    </row>
    <row r="45" spans="1:15" ht="14.25" hidden="1" customHeight="1" thickBot="1">
      <c r="A45" s="3560" t="s">
        <v>793</v>
      </c>
      <c r="B45" s="3561"/>
      <c r="C45" s="3562"/>
      <c r="D45" s="496">
        <f ca="1">ROUND(H101*F45,0)</f>
        <v>322046</v>
      </c>
      <c r="E45" s="497" t="s">
        <v>794</v>
      </c>
      <c r="F45" s="498">
        <v>1</v>
      </c>
      <c r="G45" s="499" t="s">
        <v>795</v>
      </c>
      <c r="H45" s="2278"/>
      <c r="I45" s="2278"/>
      <c r="J45" s="3471" t="s">
        <v>215</v>
      </c>
      <c r="K45" s="3471"/>
      <c r="L45" s="3471"/>
      <c r="M45" s="3471"/>
      <c r="N45" s="3471"/>
      <c r="O45" s="3471"/>
    </row>
    <row r="46" spans="1:15" ht="14.25" hidden="1" customHeight="1">
      <c r="A46" s="3557" t="s">
        <v>287</v>
      </c>
      <c r="B46" s="3558"/>
      <c r="C46" s="3558"/>
      <c r="D46" s="3558"/>
      <c r="E46" s="3558"/>
      <c r="F46" s="3558"/>
      <c r="G46" s="3559"/>
      <c r="H46" s="2280"/>
      <c r="I46" s="2233"/>
      <c r="J46" s="1501">
        <v>1</v>
      </c>
      <c r="K46" s="3471" t="s">
        <v>216</v>
      </c>
      <c r="L46" s="3471"/>
      <c r="M46" s="3472"/>
      <c r="N46" s="3472"/>
      <c r="O46" s="3472"/>
    </row>
    <row r="47" spans="1:15" ht="12" hidden="1" customHeight="1">
      <c r="A47" s="501" t="s">
        <v>288</v>
      </c>
      <c r="B47" s="502"/>
      <c r="C47" s="503"/>
      <c r="D47" s="504" t="s">
        <v>289</v>
      </c>
      <c r="E47" s="313" t="s">
        <v>290</v>
      </c>
      <c r="F47" s="505" t="s">
        <v>796</v>
      </c>
      <c r="G47" s="506" t="s">
        <v>797</v>
      </c>
      <c r="H47" s="2280"/>
      <c r="I47" s="2233"/>
      <c r="J47" s="1501">
        <v>2</v>
      </c>
      <c r="K47" s="3471" t="s">
        <v>217</v>
      </c>
      <c r="L47" s="3471"/>
      <c r="M47" s="3473">
        <f>'数据-取费表'!B2</f>
        <v>42964</v>
      </c>
      <c r="N47" s="3473"/>
      <c r="O47" s="3473"/>
    </row>
    <row r="48" spans="1:15" ht="25.5" hidden="1">
      <c r="A48" s="3546" t="s">
        <v>291</v>
      </c>
      <c r="B48" s="3547"/>
      <c r="C48" s="3547"/>
      <c r="D48" s="471">
        <f>IF(H48="情况1",0,IF(H48="情况2",D52,IF(H48="情况3",D53,IF(H48="情况4",D54))))</f>
        <v>0</v>
      </c>
      <c r="E48" s="1924" t="str">
        <f>IF(H48="情况4","(销售额-原购置价)×税（费）率","销售额×税（费）率")</f>
        <v>销售额×税（费）率</v>
      </c>
      <c r="F48" s="507" t="str">
        <f>IF(H48="情况1","免征",'数据-取费表'!B41)</f>
        <v>免征</v>
      </c>
      <c r="G48" s="465" t="s">
        <v>777</v>
      </c>
      <c r="H48" s="1432" t="s">
        <v>2408</v>
      </c>
      <c r="I48" s="2280"/>
      <c r="J48" s="1501">
        <v>3</v>
      </c>
      <c r="K48" s="3471" t="s">
        <v>778</v>
      </c>
      <c r="L48" s="3471"/>
      <c r="M48" s="3474">
        <f ca="1">H101</f>
        <v>322046</v>
      </c>
      <c r="N48" s="3474"/>
      <c r="O48" s="3474"/>
    </row>
    <row r="49" spans="1:35" ht="25.5" hidden="1" customHeight="1">
      <c r="A49" s="508" t="s">
        <v>798</v>
      </c>
      <c r="B49" s="3524" t="s">
        <v>799</v>
      </c>
      <c r="C49" s="3524"/>
      <c r="D49" s="509">
        <v>0</v>
      </c>
      <c r="E49" s="312" t="s">
        <v>800</v>
      </c>
      <c r="F49" s="317" t="s">
        <v>171</v>
      </c>
      <c r="G49" s="3503"/>
      <c r="H49" s="2278"/>
      <c r="I49" s="2281"/>
      <c r="J49" s="1501">
        <v>4</v>
      </c>
      <c r="K49" s="3471" t="str">
        <f>IF(项目基本情况!E8="房地产抵押价值","房地产抵押价值","抵押担保权已注销时的房地产抵押价值")</f>
        <v>房地产抵押价值</v>
      </c>
      <c r="L49" s="3471"/>
      <c r="M49" s="3474">
        <f ca="1">IF(项目基本情况!E8="房地产抵押价值",H107,H109)</f>
        <v>322046</v>
      </c>
      <c r="N49" s="3474"/>
      <c r="O49" s="3474"/>
    </row>
    <row r="50" spans="1:35" ht="25.5" hidden="1" customHeight="1">
      <c r="A50" s="510"/>
      <c r="B50" s="3524" t="s">
        <v>294</v>
      </c>
      <c r="C50" s="3524"/>
      <c r="D50" s="511"/>
      <c r="E50" s="320"/>
      <c r="F50" s="512"/>
      <c r="G50" s="3504"/>
      <c r="H50" s="2278"/>
      <c r="I50" s="2281"/>
      <c r="J50" s="3471" t="s">
        <v>218</v>
      </c>
      <c r="K50" s="3471"/>
      <c r="L50" s="3471"/>
      <c r="M50" s="3471"/>
      <c r="N50" s="3471"/>
      <c r="O50" s="3471"/>
    </row>
    <row r="51" spans="1:35" ht="12" hidden="1" customHeight="1">
      <c r="A51" s="513"/>
      <c r="B51" s="3524" t="s">
        <v>295</v>
      </c>
      <c r="C51" s="3524"/>
      <c r="D51" s="514"/>
      <c r="E51" s="319"/>
      <c r="F51" s="512"/>
      <c r="G51" s="3505"/>
      <c r="H51" s="2278"/>
      <c r="I51" s="2281"/>
      <c r="J51" s="3269" t="s">
        <v>219</v>
      </c>
      <c r="K51" s="3471" t="s">
        <v>220</v>
      </c>
      <c r="L51" s="3471"/>
      <c r="M51" s="3269" t="s">
        <v>2992</v>
      </c>
      <c r="N51" s="3269" t="s">
        <v>221</v>
      </c>
      <c r="O51" s="3269" t="s">
        <v>222</v>
      </c>
    </row>
    <row r="52" spans="1:35" ht="24" hidden="1" customHeight="1">
      <c r="A52" s="515" t="s">
        <v>296</v>
      </c>
      <c r="B52" s="3524" t="s">
        <v>297</v>
      </c>
      <c r="C52" s="3524"/>
      <c r="D52" s="514">
        <f ca="1">ROUND(D45*'数据-取费表'!B41/(1+'数据-取费表'!C42),0)</f>
        <v>17176</v>
      </c>
      <c r="E52" s="299" t="s">
        <v>298</v>
      </c>
      <c r="F52" s="516">
        <f>'数据-取费表'!B41</f>
        <v>5.6000000000000001E-2</v>
      </c>
      <c r="G52" s="466"/>
      <c r="H52" s="2278"/>
      <c r="I52" s="2281"/>
      <c r="J52" s="1501">
        <v>1</v>
      </c>
      <c r="K52" s="3497" t="s">
        <v>779</v>
      </c>
      <c r="L52" s="3497"/>
      <c r="M52" s="3270">
        <f>D48</f>
        <v>0</v>
      </c>
      <c r="N52" s="1500" t="str">
        <f>E48</f>
        <v>销售额×税（费）率</v>
      </c>
      <c r="O52" s="3271" t="str">
        <f>F48</f>
        <v>免征</v>
      </c>
    </row>
    <row r="53" spans="1:35" ht="12" hidden="1" customHeight="1">
      <c r="A53" s="515" t="s">
        <v>299</v>
      </c>
      <c r="B53" s="3525" t="s">
        <v>300</v>
      </c>
      <c r="C53" s="3526"/>
      <c r="D53" s="514">
        <f ca="1">ROUND(D45*'数据-取费表'!B41/(1+'数据-取费表'!C42),0)</f>
        <v>17176</v>
      </c>
      <c r="E53" s="299" t="s">
        <v>298</v>
      </c>
      <c r="F53" s="516">
        <f>'数据-取费表'!B41</f>
        <v>5.6000000000000001E-2</v>
      </c>
      <c r="G53" s="466"/>
      <c r="H53" s="2278"/>
      <c r="I53" s="2281"/>
      <c r="J53" s="1501">
        <v>2</v>
      </c>
      <c r="K53" s="3497" t="s">
        <v>780</v>
      </c>
      <c r="L53" s="3497"/>
      <c r="M53" s="3270">
        <f t="shared" ref="M53:O54" ca="1" si="0">D55</f>
        <v>161</v>
      </c>
      <c r="N53" s="1500" t="str">
        <f t="shared" si="0"/>
        <v>销售额×税（费）率</v>
      </c>
      <c r="O53" s="3271">
        <f t="shared" si="0"/>
        <v>5.0000000000000001E-4</v>
      </c>
    </row>
    <row r="54" spans="1:35" ht="12" hidden="1" customHeight="1">
      <c r="A54" s="515" t="s">
        <v>301</v>
      </c>
      <c r="B54" s="3525" t="s">
        <v>302</v>
      </c>
      <c r="C54" s="3526"/>
      <c r="D54" s="514">
        <f ca="1">C68</f>
        <v>17176</v>
      </c>
      <c r="E54" s="319" t="s">
        <v>303</v>
      </c>
      <c r="F54" s="516">
        <f>'数据-取费表'!B41</f>
        <v>5.6000000000000001E-2</v>
      </c>
      <c r="G54" s="466"/>
      <c r="H54" s="2282"/>
      <c r="I54" s="2281"/>
      <c r="J54" s="1501">
        <v>3</v>
      </c>
      <c r="K54" s="3497" t="s">
        <v>781</v>
      </c>
      <c r="L54" s="3497"/>
      <c r="M54" s="3270">
        <f t="shared" ca="1" si="0"/>
        <v>182278</v>
      </c>
      <c r="N54" s="1500" t="str">
        <f t="shared" si="0"/>
        <v>增值额×税（费）率</v>
      </c>
      <c r="O54" s="3272" t="str">
        <f t="shared" si="0"/>
        <v>——</v>
      </c>
    </row>
    <row r="55" spans="1:35" ht="24" hidden="1" customHeight="1">
      <c r="A55" s="3566" t="s">
        <v>304</v>
      </c>
      <c r="B55" s="3547"/>
      <c r="C55" s="3547"/>
      <c r="D55" s="517">
        <f ca="1">IF(H55="个人住宅",0,ROUND(D45*I55,0))</f>
        <v>161</v>
      </c>
      <c r="E55" s="299" t="s">
        <v>305</v>
      </c>
      <c r="F55" s="516">
        <f>IF(H55="正常",I55,"免征")</f>
        <v>5.0000000000000001E-4</v>
      </c>
      <c r="G55" s="466"/>
      <c r="H55" s="1432" t="s">
        <v>155</v>
      </c>
      <c r="I55" s="518">
        <f>'数据-取费表'!B49</f>
        <v>5.0000000000000001E-4</v>
      </c>
      <c r="J55" s="1501" t="str">
        <f>IF(H59="非个人房产","",4)</f>
        <v/>
      </c>
      <c r="K55" s="3497" t="str">
        <f>IF(H59="非个人房产","——","个人所得税")</f>
        <v>——</v>
      </c>
      <c r="L55" s="3497"/>
      <c r="M55" s="3273" t="str">
        <f>D59</f>
        <v>——</v>
      </c>
      <c r="N55" s="3274" t="str">
        <f>E59</f>
        <v>——</v>
      </c>
      <c r="O55" s="3275" t="str">
        <f>F59</f>
        <v>——</v>
      </c>
    </row>
    <row r="56" spans="1:35" ht="24.75" hidden="1">
      <c r="A56" s="3566" t="s">
        <v>306</v>
      </c>
      <c r="B56" s="3547"/>
      <c r="C56" s="3547"/>
      <c r="D56" s="517">
        <f ca="1">IF(H56="个人住宅",D57,D58)</f>
        <v>182278</v>
      </c>
      <c r="E56" s="299" t="s">
        <v>307</v>
      </c>
      <c r="F56" s="516" t="str">
        <f>IF(H56="正常",F58,"免征")</f>
        <v>——</v>
      </c>
      <c r="G56" s="1256" t="s">
        <v>782</v>
      </c>
      <c r="H56" s="1431" t="s">
        <v>155</v>
      </c>
      <c r="I56" s="2283"/>
      <c r="J56" s="1501" t="str">
        <f>IF(项目基本情况!K6="上海银行",IF(J55="",4,J55+1),"")</f>
        <v/>
      </c>
      <c r="K56" s="3477" t="str">
        <f>IF(项目基本情况!K6="上海银行","其他处置费用","")</f>
        <v/>
      </c>
      <c r="L56" s="3478"/>
      <c r="M56" s="3270" t="str">
        <f>IF(项目基本情况!K6="上海银行",M69,"")</f>
        <v/>
      </c>
      <c r="N56" s="3480" t="str">
        <f>IF(项目基本情况!K6="上海银行","包含处置中涉及的律师、诉讼、拍卖、评估等费用","")</f>
        <v/>
      </c>
      <c r="O56" s="3481"/>
    </row>
    <row r="57" spans="1:35" ht="12.75" hidden="1">
      <c r="A57" s="515" t="s">
        <v>292</v>
      </c>
      <c r="B57" s="3530" t="s">
        <v>308</v>
      </c>
      <c r="C57" s="3531"/>
      <c r="D57" s="519">
        <v>0</v>
      </c>
      <c r="E57" s="312" t="s">
        <v>293</v>
      </c>
      <c r="F57" s="487"/>
      <c r="G57" s="466"/>
      <c r="H57" s="2283"/>
      <c r="I57" s="2283"/>
      <c r="J57" s="3509">
        <f>IF(AND(J55="",J56=""),4,IF(项目基本情况!K6="上海银行",结果表!J56+1,结果表!J55+1))</f>
        <v>4</v>
      </c>
      <c r="K57" s="3497" t="s">
        <v>783</v>
      </c>
      <c r="L57" s="3276" t="s">
        <v>223</v>
      </c>
      <c r="M57" s="3277"/>
      <c r="N57" s="3278">
        <f ca="1">SUMIF(M52:M56,"&lt;9e307")</f>
        <v>182439</v>
      </c>
      <c r="O57" s="3279"/>
      <c r="P57" s="3266">
        <f ca="1">N57/M49</f>
        <v>0.5664998167963583</v>
      </c>
    </row>
    <row r="58" spans="1:35" ht="24.75" hidden="1">
      <c r="A58" s="515" t="s">
        <v>296</v>
      </c>
      <c r="B58" s="3530" t="s">
        <v>309</v>
      </c>
      <c r="C58" s="3545"/>
      <c r="D58" s="517">
        <f ca="1">IF(H58="转让取得",C81,C97)</f>
        <v>182278</v>
      </c>
      <c r="E58" s="299" t="s">
        <v>307</v>
      </c>
      <c r="F58" s="313" t="s">
        <v>171</v>
      </c>
      <c r="G58" s="466"/>
      <c r="H58" s="1431" t="s">
        <v>1131</v>
      </c>
      <c r="I58" s="2283"/>
      <c r="J58" s="3509"/>
      <c r="K58" s="3497"/>
      <c r="L58" s="3276" t="s">
        <v>224</v>
      </c>
      <c r="M58" s="3280"/>
      <c r="N58" s="3281" t="str">
        <f ca="1">NUMBERSTRING(INT(N57*10000),2)&amp;"元整"</f>
        <v>壹拾捌亿贰仟肆佰叁拾玖万元整</v>
      </c>
      <c r="O58" s="3282"/>
    </row>
    <row r="59" spans="1:35" ht="24.75" hidden="1" thickBot="1">
      <c r="A59" s="3501" t="s">
        <v>310</v>
      </c>
      <c r="B59" s="3502"/>
      <c r="C59" s="3502"/>
      <c r="D59" s="520" t="str">
        <f>IF(H59="非个人房产","——",IF(H59="个人住宅",0,ROUND(D45*I59,0)))</f>
        <v>——</v>
      </c>
      <c r="E59" s="521" t="str">
        <f>IF(H59="非个人房产","——","销售额×税（费）率")</f>
        <v>——</v>
      </c>
      <c r="F59" s="522" t="str">
        <f>IF(H59="非个人房产","——",IF(H59="个人住宅","免征",I59))</f>
        <v>——</v>
      </c>
      <c r="G59" s="1257" t="s">
        <v>170</v>
      </c>
      <c r="H59" s="1431" t="s">
        <v>1130</v>
      </c>
      <c r="I59" s="523">
        <v>0.01</v>
      </c>
      <c r="J59" s="3499">
        <f>J57+1</f>
        <v>5</v>
      </c>
      <c r="K59" s="3497" t="s">
        <v>172</v>
      </c>
      <c r="L59" s="1500" t="s">
        <v>223</v>
      </c>
      <c r="M59" s="3283"/>
      <c r="N59" s="3284">
        <f ca="1">M49-N57</f>
        <v>139607</v>
      </c>
      <c r="O59" s="3285"/>
    </row>
    <row r="60" spans="1:35" ht="12" hidden="1" customHeight="1">
      <c r="A60" s="1258"/>
      <c r="B60" s="1243"/>
      <c r="C60" s="1243"/>
      <c r="D60" s="1243"/>
      <c r="E60" s="229"/>
      <c r="F60" s="2283"/>
      <c r="G60" s="2283"/>
      <c r="H60" s="2284"/>
      <c r="I60" s="2278"/>
      <c r="J60" s="3500"/>
      <c r="K60" s="3497"/>
      <c r="L60" s="3276" t="s">
        <v>224</v>
      </c>
      <c r="M60" s="3280"/>
      <c r="N60" s="3281" t="str">
        <f ca="1">NUMBERSTRING(INT(N59*10000),2)&amp;"元整"</f>
        <v>壹拾叁亿玖仟陆佰零柒万元整</v>
      </c>
      <c r="O60" s="3282"/>
    </row>
    <row r="61" spans="1:35" ht="13.5" hidden="1" thickBot="1">
      <c r="A61" s="3565" t="s">
        <v>311</v>
      </c>
      <c r="B61" s="3565"/>
      <c r="C61" s="3565"/>
      <c r="D61" s="3565"/>
      <c r="E61" s="3565"/>
      <c r="F61" s="2283"/>
      <c r="G61" s="2283"/>
      <c r="H61" s="2284"/>
      <c r="I61" s="2278"/>
      <c r="J61" s="1501">
        <f>J59+1</f>
        <v>6</v>
      </c>
      <c r="K61" s="3497" t="s">
        <v>225</v>
      </c>
      <c r="L61" s="3497"/>
      <c r="M61" s="3286"/>
      <c r="N61" s="3287">
        <f ca="1">ROUND(N59*10000/'数据-汇总表'!E3,0)</f>
        <v>15092</v>
      </c>
      <c r="O61" s="3288"/>
    </row>
    <row r="62" spans="1:35" ht="12.75" hidden="1">
      <c r="A62" s="3518" t="s">
        <v>312</v>
      </c>
      <c r="B62" s="3519"/>
      <c r="C62" s="1918"/>
      <c r="D62" s="1918" t="s">
        <v>320</v>
      </c>
      <c r="E62" s="524" t="s">
        <v>321</v>
      </c>
      <c r="F62" s="2283"/>
      <c r="G62" s="2283"/>
      <c r="H62" s="2284"/>
      <c r="I62" s="2278"/>
    </row>
    <row r="63" spans="1:35" ht="12.75" hidden="1">
      <c r="A63" s="535" t="s">
        <v>1893</v>
      </c>
      <c r="B63" s="525" t="s">
        <v>313</v>
      </c>
      <c r="C63" s="526">
        <f ca="1">ROUND((C64+C65)/(1+'数据-取费表'!C42),0)</f>
        <v>306710</v>
      </c>
      <c r="D63" s="527"/>
      <c r="E63" s="528"/>
      <c r="F63" s="2283"/>
      <c r="G63" s="2283"/>
      <c r="H63" s="2284"/>
      <c r="I63" s="2278"/>
      <c r="J63" s="3479" t="s">
        <v>2985</v>
      </c>
      <c r="K63" s="3265" t="s">
        <v>2986</v>
      </c>
      <c r="L63" s="3263">
        <f ca="1">IF(M49&gt;10000,M49*0.5%,IF(AND(M49&gt;1000,M49&lt;=10000),M49*1%,IF(AND(M49&gt;100,M49&lt;=1000),M49*3%,IF(AND(M49&gt;10,M49&lt;=100),M49*5%,M49*8%))))</f>
        <v>1610.23</v>
      </c>
      <c r="M63" s="313">
        <f ca="1">ROUND(L63,1)</f>
        <v>1610.2</v>
      </c>
      <c r="Z63" s="1434"/>
      <c r="AI63" s="1244"/>
    </row>
    <row r="64" spans="1:35" ht="14.25" hidden="1" customHeight="1">
      <c r="A64" s="529" t="s">
        <v>1888</v>
      </c>
      <c r="B64" s="530" t="s">
        <v>314</v>
      </c>
      <c r="C64" s="531">
        <f ca="1">D45</f>
        <v>322046</v>
      </c>
      <c r="D64" s="532" t="s">
        <v>167</v>
      </c>
      <c r="E64" s="533"/>
      <c r="F64" s="2283"/>
      <c r="G64" s="2283"/>
      <c r="H64" s="2284"/>
      <c r="I64" s="2278"/>
      <c r="J64" s="3479"/>
      <c r="K64" s="3265" t="s">
        <v>2987</v>
      </c>
      <c r="L64" s="3263">
        <f ca="1">IF(M49&gt;2000,M49*0.5%,IF(AND(M49&gt;1000,M49&lt;=2000),M49*0.6%,IF(AND(M49&gt;500,M49&lt;=1000),M49*0.7%,IF(AND(M49&gt;200,M49&lt;=500),M49*0.8%,IF(AND(M49&gt;100,M49&lt;=200),M49*0.9%,IF(AND(M49&gt;50,M49&lt;=100),M49*1%,IF(AND(M49&gt;20,M49&lt;=50),M49*1.5%,IF(AND(M49&gt;10,M49&lt;=20),M49*2%,IF(AND(M49&gt;1,M49&lt;=10),M49*2.5%)))))))))</f>
        <v>1610.23</v>
      </c>
      <c r="M64" s="313">
        <f t="shared" ref="M64:M65" ca="1" si="1">ROUND(L64,1)</f>
        <v>1610.2</v>
      </c>
      <c r="N64" s="469" t="s">
        <v>2993</v>
      </c>
      <c r="Z64" s="1434"/>
      <c r="AI64" s="1244"/>
    </row>
    <row r="65" spans="1:35" ht="14.25" hidden="1" customHeight="1">
      <c r="A65" s="529" t="s">
        <v>1889</v>
      </c>
      <c r="B65" s="530" t="s">
        <v>315</v>
      </c>
      <c r="C65" s="534"/>
      <c r="D65" s="532"/>
      <c r="E65" s="533"/>
      <c r="F65" s="2283"/>
      <c r="G65" s="2283"/>
      <c r="H65" s="2284"/>
      <c r="I65" s="2278"/>
      <c r="J65" s="3479"/>
      <c r="K65" s="3265" t="s">
        <v>2988</v>
      </c>
      <c r="L65" s="3263">
        <f ca="1">IF(M49&gt;1000,M49*0.1%,IF(AND(M49&gt;500,M49&lt;=1000),M49*0.5%,IF(AND(M49&gt;50,M49&lt;=500),M49*1%,IF(AND(M49&gt;1,M49&lt;=50),M49*1.5%))))</f>
        <v>322.04599999999999</v>
      </c>
      <c r="M65" s="313">
        <f t="shared" ca="1" si="1"/>
        <v>322</v>
      </c>
      <c r="N65" s="469" t="s">
        <v>2994</v>
      </c>
      <c r="Z65" s="1434"/>
      <c r="AI65" s="1244"/>
    </row>
    <row r="66" spans="1:35" ht="14.25" hidden="1" customHeight="1">
      <c r="A66" s="535" t="s">
        <v>1890</v>
      </c>
      <c r="B66" s="536" t="s">
        <v>316</v>
      </c>
      <c r="C66" s="537"/>
      <c r="D66" s="538" t="s">
        <v>167</v>
      </c>
      <c r="E66" s="3317" t="s">
        <v>3032</v>
      </c>
      <c r="F66" s="2283"/>
      <c r="G66" s="2283"/>
      <c r="H66" s="2284"/>
      <c r="I66" s="2278"/>
      <c r="J66" s="3479"/>
      <c r="K66" s="3265" t="s">
        <v>2989</v>
      </c>
      <c r="L66" s="3263">
        <f ca="1">M49*0.5%</f>
        <v>1610.23</v>
      </c>
      <c r="M66" s="313">
        <f ca="1">IF(L66&gt;0.5,0.5,ROUND(L66,0))</f>
        <v>0.5</v>
      </c>
      <c r="N66" s="469" t="s">
        <v>2995</v>
      </c>
      <c r="Z66" s="1434"/>
      <c r="AI66" s="1244"/>
    </row>
    <row r="67" spans="1:35" ht="14.25" hidden="1" customHeight="1">
      <c r="A67" s="535" t="s">
        <v>1891</v>
      </c>
      <c r="B67" s="536" t="s">
        <v>317</v>
      </c>
      <c r="C67" s="539">
        <f ca="1">C63-C66</f>
        <v>306710</v>
      </c>
      <c r="D67" s="532" t="s">
        <v>167</v>
      </c>
      <c r="E67" s="533"/>
      <c r="F67" s="2283"/>
      <c r="G67" s="2283"/>
      <c r="H67" s="2284"/>
      <c r="I67" s="2278"/>
      <c r="J67" s="3479"/>
      <c r="K67" s="3265" t="s">
        <v>2990</v>
      </c>
      <c r="L67" s="3263">
        <f ca="1">IF(M49&gt;=10000,(8.25+(M49-10000)*0.01%),IF(AND(M49&gt;=8000,M49&lt;10000),(7.85+(M49-8000)*0.02%),IF(AND(M49&gt;=5000,M49&lt;8000),(6.65+(M49-5000)*0.04%),IF(AND(M49&gt;=2000,M49&lt;5000),(4.25+(PM49-2000)*0.08%),IF(AND(M49&gt;=1000,M49&lt;2000),(2.75+(M49-1000)*0.15%),IF(AND(M49&gt;=100,M49&lt;1000),(0.5+(M49-100)*0.25%),IF(AND(M49&gt;0,M49&lt;100),M49*0.5%)))))))</f>
        <v>39.454599999999999</v>
      </c>
      <c r="M67" s="313">
        <f ca="1">ROUND(L67*0.9,1)</f>
        <v>35.5</v>
      </c>
      <c r="Z67" s="1434"/>
      <c r="AI67" s="1244"/>
    </row>
    <row r="68" spans="1:35" ht="14.25" hidden="1" customHeight="1" thickBot="1">
      <c r="A68" s="540" t="s">
        <v>1892</v>
      </c>
      <c r="B68" s="541" t="s">
        <v>318</v>
      </c>
      <c r="C68" s="542">
        <f ca="1">IF(C67&lt;=0,0,ROUND(C67*D68,0))</f>
        <v>17176</v>
      </c>
      <c r="D68" s="543">
        <f>'数据-取费表'!B41</f>
        <v>5.6000000000000001E-2</v>
      </c>
      <c r="E68" s="544"/>
      <c r="F68" s="2283"/>
      <c r="G68" s="2283"/>
      <c r="H68" s="2284"/>
      <c r="I68" s="2278"/>
      <c r="J68" s="3479"/>
      <c r="K68" s="3265" t="s">
        <v>2991</v>
      </c>
      <c r="L68" s="3263">
        <f ca="1">IF(M49&gt;10000,M49*0.5%,IF(AND(M49&gt;5000,M49&lt;=10000),M49*1%,IF(AND(M49&gt;1000,M49&lt;=5000),M49*2%,IF(AND(M49&gt;200,M49&lt;=1000),M49*3%,M49*5%))))</f>
        <v>1610.23</v>
      </c>
      <c r="M68" s="313">
        <f ca="1">ROUND(L68,1)</f>
        <v>1610.2</v>
      </c>
      <c r="Z68" s="1434"/>
      <c r="AI68" s="1244"/>
    </row>
    <row r="69" spans="1:35" s="1245" customFormat="1" ht="16.5" hidden="1" customHeight="1">
      <c r="A69" s="1259"/>
      <c r="B69" s="1260"/>
      <c r="C69" s="1261"/>
      <c r="D69" s="1262"/>
      <c r="E69" s="1263"/>
      <c r="F69" s="229"/>
      <c r="G69" s="229"/>
      <c r="H69" s="241"/>
      <c r="I69" s="1243"/>
      <c r="J69" s="3479"/>
      <c r="K69" s="3265" t="s">
        <v>187</v>
      </c>
      <c r="L69" s="3264"/>
      <c r="M69" s="313">
        <f ca="1">ROUND(SUM(M63:M68),0)</f>
        <v>5189</v>
      </c>
      <c r="N69" s="3266">
        <f ca="1">M69/M49</f>
        <v>1.6112605031579338E-2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28" t="s">
        <v>319</v>
      </c>
      <c r="B70" s="3529"/>
      <c r="C70" s="3529"/>
      <c r="D70" s="3529"/>
      <c r="E70" s="3529"/>
      <c r="F70" s="3529"/>
      <c r="G70" s="3529"/>
      <c r="H70" s="3529"/>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518" t="s">
        <v>312</v>
      </c>
      <c r="B71" s="3519"/>
      <c r="C71" s="1918"/>
      <c r="D71" s="1918"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1893</v>
      </c>
      <c r="B72" s="536" t="s">
        <v>322</v>
      </c>
      <c r="C72" s="539">
        <f ca="1">ROUND(D45/(1+'数据-取费表'!C42),0)</f>
        <v>306710</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1890</v>
      </c>
      <c r="B73" s="505" t="s">
        <v>323</v>
      </c>
      <c r="C73" s="539">
        <f ca="1">C74+C78</f>
        <v>1840</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1894</v>
      </c>
      <c r="B74" s="530" t="s">
        <v>324</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1895</v>
      </c>
      <c r="B75" s="530" t="s">
        <v>325</v>
      </c>
      <c r="C75" s="550"/>
      <c r="D75" s="532" t="s">
        <v>167</v>
      </c>
      <c r="E75" s="551" t="s">
        <v>326</v>
      </c>
      <c r="F75" s="1427" t="s">
        <v>2409</v>
      </c>
      <c r="G75" s="551" t="s">
        <v>790</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1897</v>
      </c>
      <c r="B76" s="553" t="s">
        <v>327</v>
      </c>
      <c r="C76" s="532">
        <f>IF(F75="购房发票",ROUND(C75*H75*D76,0),0)</f>
        <v>0</v>
      </c>
      <c r="D76" s="554">
        <v>0.05</v>
      </c>
      <c r="E76" s="3525" t="s">
        <v>328</v>
      </c>
      <c r="F76" s="3524"/>
      <c r="G76" s="3524"/>
      <c r="H76" s="3527"/>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1898</v>
      </c>
      <c r="B77" s="530" t="s">
        <v>329</v>
      </c>
      <c r="C77" s="532">
        <f>ROUND(IF(G77="个人住宅",0,IF(G77="2016年5月1日前购买",C75*D77,C75*D77/(1+'数据-取费表'!C42))),0)</f>
        <v>0</v>
      </c>
      <c r="D77" s="555">
        <f>'数据-取费表'!B48+'数据-取费表'!B49</f>
        <v>3.0499999999999999E-2</v>
      </c>
      <c r="E77" s="303" t="s">
        <v>791</v>
      </c>
      <c r="F77" s="556"/>
      <c r="G77" s="1428" t="s">
        <v>2500</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1896</v>
      </c>
      <c r="B78" s="530" t="s">
        <v>330</v>
      </c>
      <c r="C78" s="557">
        <f ca="1">ROUND(D45*D78/(1+'数据-取费表'!C42),0)</f>
        <v>1840</v>
      </c>
      <c r="D78" s="558">
        <f>'数据-取费表'!B43</f>
        <v>6.000000000000001E-3</v>
      </c>
      <c r="E78" s="3520" t="s">
        <v>2501</v>
      </c>
      <c r="F78" s="3516"/>
      <c r="G78" s="3516"/>
      <c r="H78" s="3517"/>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1899</v>
      </c>
      <c r="B79" s="536" t="s">
        <v>331</v>
      </c>
      <c r="C79" s="539">
        <f ca="1">C72-C73</f>
        <v>304870</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1900</v>
      </c>
      <c r="B80" s="536" t="s">
        <v>332</v>
      </c>
      <c r="C80" s="559">
        <f ca="1">IF(C79&lt;=0,0,C79/C73)</f>
        <v>165.69021739130434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1901</v>
      </c>
      <c r="B81" s="541" t="s">
        <v>333</v>
      </c>
      <c r="C81" s="560">
        <f ca="1">ROUND(IF(C79&lt;=0,0,IF(C80&gt;=200%,C79*60%-C73*35%,IF(C80&gt;=100%,C79*50%-C73*15%,IF(C80&gt;=50%,C79*40%-C73*5%,IF(C80&lt;50%,C79*30%,0))))),0)</f>
        <v>182278</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528" t="s">
        <v>334</v>
      </c>
      <c r="B83" s="3529"/>
      <c r="C83" s="3529"/>
      <c r="D83" s="3529"/>
      <c r="E83" s="3529"/>
      <c r="F83" s="3529"/>
      <c r="G83" s="3529"/>
      <c r="H83" s="3529"/>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518" t="s">
        <v>312</v>
      </c>
      <c r="B84" s="3519"/>
      <c r="C84" s="1918"/>
      <c r="D84" s="1918"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1893</v>
      </c>
      <c r="B85" s="536" t="s">
        <v>322</v>
      </c>
      <c r="C85" s="539">
        <f ca="1">ROUND(D45/(1+'数据-取费表'!C42),0)</f>
        <v>306710</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1890</v>
      </c>
      <c r="B86" s="505" t="s">
        <v>323</v>
      </c>
      <c r="C86" s="539">
        <f ca="1">IF(H88="仅含出让金",C87+C90+C91+C92+C93+C94,C87+C91+C92+C93+C94)</f>
        <v>1840</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1894</v>
      </c>
      <c r="B87" s="530" t="s">
        <v>335</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1895</v>
      </c>
      <c r="B88" s="530" t="s">
        <v>336</v>
      </c>
      <c r="C88" s="568"/>
      <c r="D88" s="558"/>
      <c r="E88" s="569" t="s">
        <v>337</v>
      </c>
      <c r="F88" s="1917"/>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1897</v>
      </c>
      <c r="B89" s="530" t="s">
        <v>329</v>
      </c>
      <c r="C89" s="557">
        <f>ROUND(C88*D89,0)</f>
        <v>0</v>
      </c>
      <c r="D89" s="558">
        <f>'数据-取费表'!B48+'数据-取费表'!B49</f>
        <v>3.0499999999999999E-2</v>
      </c>
      <c r="E89" s="569" t="s">
        <v>339</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1896</v>
      </c>
      <c r="B90" s="530" t="s">
        <v>340</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1902</v>
      </c>
      <c r="B91" s="530" t="s">
        <v>341</v>
      </c>
      <c r="C91" s="557">
        <f>IF(H91="——",成本法!C33,I91)</f>
        <v>0</v>
      </c>
      <c r="D91" s="558"/>
      <c r="E91" s="3515" t="s">
        <v>792</v>
      </c>
      <c r="F91" s="3516"/>
      <c r="G91" s="3516"/>
      <c r="H91" s="1430" t="s">
        <v>2311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1903</v>
      </c>
      <c r="B92" s="530" t="s">
        <v>342</v>
      </c>
      <c r="C92" s="557">
        <f>ROUND((C87+C90+C91)*D92,0)</f>
        <v>0</v>
      </c>
      <c r="D92" s="558">
        <v>0.1</v>
      </c>
      <c r="E92" s="3515" t="s">
        <v>343</v>
      </c>
      <c r="F92" s="3516"/>
      <c r="G92" s="3516"/>
      <c r="H92" s="3517"/>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1904</v>
      </c>
      <c r="B93" s="530" t="s">
        <v>330</v>
      </c>
      <c r="C93" s="557">
        <f ca="1">ROUND(D45*D93/(1+'数据-取费表'!C42),0)</f>
        <v>1840</v>
      </c>
      <c r="D93" s="558">
        <f>'数据-取费表'!B43</f>
        <v>6.000000000000001E-3</v>
      </c>
      <c r="E93" s="3520" t="s">
        <v>2501</v>
      </c>
      <c r="F93" s="3516"/>
      <c r="G93" s="3516"/>
      <c r="H93" s="3517"/>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1905</v>
      </c>
      <c r="B94" s="530" t="s">
        <v>344</v>
      </c>
      <c r="C94" s="568">
        <f>ROUND((C87+C90+C91)*D94,0)</f>
        <v>0</v>
      </c>
      <c r="D94" s="558">
        <v>0.2</v>
      </c>
      <c r="E94" s="3567" t="s">
        <v>3047</v>
      </c>
      <c r="F94" s="3568"/>
      <c r="G94" s="3568"/>
      <c r="H94" s="3569"/>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1899</v>
      </c>
      <c r="B95" s="536" t="s">
        <v>331</v>
      </c>
      <c r="C95" s="539">
        <f ca="1">ROUND(C85-C86,0)</f>
        <v>304870</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1900</v>
      </c>
      <c r="B96" s="536" t="s">
        <v>332</v>
      </c>
      <c r="C96" s="559">
        <f ca="1">IF(C95&lt;=0,0,C95/C86)</f>
        <v>165.69021739130434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1901</v>
      </c>
      <c r="B97" s="541" t="s">
        <v>333</v>
      </c>
      <c r="C97" s="560">
        <f ca="1">ROUND(IF(C95&lt;=0,0,IF(C96&gt;=200%,C95*60%-C86*35%,IF(C96&gt;=100%,C95*50%-C86*15%,IF(C96&gt;=50%,C95*40%-C86*5%,IF(C96&lt;50%,C95*30%,0))))),0)</f>
        <v>182278</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63" t="s">
        <v>230</v>
      </c>
      <c r="B100" s="3464"/>
      <c r="C100" s="3464"/>
      <c r="D100" s="3498"/>
      <c r="E100" s="3464" t="s">
        <v>2898</v>
      </c>
      <c r="F100" s="3464"/>
      <c r="G100" s="3464"/>
      <c r="H100" s="3498"/>
      <c r="I100" s="2278"/>
    </row>
    <row r="101" spans="1:35" ht="18.75" customHeight="1">
      <c r="A101" s="3506" t="s">
        <v>208</v>
      </c>
      <c r="B101" s="3507"/>
      <c r="C101" s="1266" t="str">
        <f>C4</f>
        <v>成本法</v>
      </c>
      <c r="D101" s="1267" t="str">
        <f>D4</f>
        <v>收益法（汇总）</v>
      </c>
      <c r="E101" s="3475" t="s">
        <v>1907</v>
      </c>
      <c r="F101" s="3476"/>
      <c r="G101" s="1268" t="s">
        <v>210</v>
      </c>
      <c r="H101" s="1986">
        <f ca="1">H118</f>
        <v>322046</v>
      </c>
      <c r="I101" s="2278"/>
    </row>
    <row r="102" spans="1:35" ht="18.75" customHeight="1">
      <c r="A102" s="3508" t="s">
        <v>209</v>
      </c>
      <c r="B102" s="1268" t="s">
        <v>210</v>
      </c>
      <c r="C102" s="1235">
        <f ca="1">C19</f>
        <v>263637</v>
      </c>
      <c r="D102" s="1236">
        <f ca="1">D19</f>
        <v>353497</v>
      </c>
      <c r="E102" s="3475"/>
      <c r="F102" s="3476"/>
      <c r="G102" s="1268" t="s">
        <v>211</v>
      </c>
      <c r="H102" s="711">
        <f ca="1">I118</f>
        <v>34815</v>
      </c>
      <c r="I102" s="2278"/>
    </row>
    <row r="103" spans="1:35" ht="42.75" customHeight="1">
      <c r="A103" s="3508"/>
      <c r="B103" s="1268" t="s">
        <v>211</v>
      </c>
      <c r="C103" s="1237">
        <f ca="1">C20</f>
        <v>28501</v>
      </c>
      <c r="D103" s="1238">
        <f ca="1">D20</f>
        <v>38215</v>
      </c>
      <c r="E103" s="3469" t="s">
        <v>3008</v>
      </c>
      <c r="F103" s="3470"/>
      <c r="G103" s="1269" t="s">
        <v>213</v>
      </c>
      <c r="H103" s="1986">
        <f>IF(D36="正常操作",H104+H105+H106,H105+H106)</f>
        <v>0</v>
      </c>
      <c r="I103" s="2278"/>
    </row>
    <row r="104" spans="1:35" ht="18.75" customHeight="1">
      <c r="A104" s="3508" t="s">
        <v>212</v>
      </c>
      <c r="B104" s="1270" t="s">
        <v>210</v>
      </c>
      <c r="C104" s="1239">
        <f ca="1">H118</f>
        <v>322046</v>
      </c>
      <c r="D104" s="1240"/>
      <c r="E104" s="13" t="s">
        <v>1906</v>
      </c>
      <c r="F104" s="6"/>
      <c r="G104" s="1269" t="s">
        <v>213</v>
      </c>
      <c r="H104" s="1987">
        <f>IF(D36="同一抵押权人同一抵押物续贷",C36&amp;"（未扣减，详见特别提示）",C36)</f>
        <v>0</v>
      </c>
      <c r="I104" s="2278"/>
    </row>
    <row r="105" spans="1:35" ht="18.75" customHeight="1" thickBot="1">
      <c r="A105" s="3522"/>
      <c r="B105" s="1271" t="s">
        <v>211</v>
      </c>
      <c r="C105" s="1241">
        <f ca="1">I118</f>
        <v>34815</v>
      </c>
      <c r="D105" s="1242"/>
      <c r="E105" s="13" t="s">
        <v>1908</v>
      </c>
      <c r="F105" s="6"/>
      <c r="G105" s="1269" t="s">
        <v>213</v>
      </c>
      <c r="H105" s="1987">
        <f>C37</f>
        <v>0</v>
      </c>
      <c r="I105" s="2278"/>
    </row>
    <row r="106" spans="1:35" ht="18.75" customHeight="1">
      <c r="A106" s="1243" t="s">
        <v>2004</v>
      </c>
      <c r="B106" s="1243"/>
      <c r="C106" s="1243"/>
      <c r="D106" s="1243"/>
      <c r="E106" s="467" t="s">
        <v>1909</v>
      </c>
      <c r="F106" s="6"/>
      <c r="G106" s="1269" t="s">
        <v>213</v>
      </c>
      <c r="H106" s="1987">
        <f>C38</f>
        <v>0</v>
      </c>
      <c r="I106" s="2278"/>
    </row>
    <row r="107" spans="1:35" ht="18.75" customHeight="1">
      <c r="A107" s="2278"/>
      <c r="B107" s="2278"/>
      <c r="C107" s="2278"/>
      <c r="D107" s="2278"/>
      <c r="E107" s="3510" t="str">
        <f>IF(项目基本情况!E8="已注销","——","3.房地产抵押价值")</f>
        <v>3.房地产抵押价值</v>
      </c>
      <c r="F107" s="3476"/>
      <c r="G107" s="1268" t="s">
        <v>210</v>
      </c>
      <c r="H107" s="1986">
        <f ca="1">IF(E107="——","——",H101-H103)</f>
        <v>322046</v>
      </c>
      <c r="I107" s="2278"/>
    </row>
    <row r="108" spans="1:35" ht="18.75" customHeight="1" thickBot="1">
      <c r="A108" s="2278"/>
      <c r="B108" s="2278"/>
      <c r="C108" s="2278"/>
      <c r="D108" s="2278"/>
      <c r="E108" s="3510"/>
      <c r="F108" s="3476"/>
      <c r="G108" s="1268" t="s">
        <v>211</v>
      </c>
      <c r="H108" s="711">
        <f ca="1">ROUND(H107*10000/'数据-汇总表'!E3,0)</f>
        <v>34815</v>
      </c>
      <c r="I108" s="2278"/>
    </row>
    <row r="109" spans="1:35" ht="18.75" hidden="1" customHeight="1">
      <c r="A109" s="2278"/>
      <c r="B109" s="2278"/>
      <c r="C109" s="2278"/>
      <c r="D109" s="2278"/>
      <c r="E109" s="3510" t="str">
        <f>IF(项目基本情况!E8="已注销及未注销","4.抵押担保权已注销时的房地产抵押价值",IF(项目基本情况!E8="已注销","3.抵押担保权已注销时的房地产抵押价值","——"))</f>
        <v>——</v>
      </c>
      <c r="F109" s="3476"/>
      <c r="G109" s="1268" t="s">
        <v>210</v>
      </c>
      <c r="H109" s="685" t="str">
        <f>IF(E109="——","——",H101-H105-H106)</f>
        <v>——</v>
      </c>
      <c r="I109" s="2278"/>
    </row>
    <row r="110" spans="1:35" ht="18.75" hidden="1" customHeight="1" thickBot="1">
      <c r="A110" s="2278"/>
      <c r="B110" s="2278"/>
      <c r="C110" s="2278"/>
      <c r="D110" s="2278"/>
      <c r="E110" s="3510"/>
      <c r="F110" s="3476"/>
      <c r="G110" s="1268" t="s">
        <v>211</v>
      </c>
      <c r="H110" s="711" t="str">
        <f>IF(H109="——","——",ROUND(H109*10000/'数据-汇总表'!E3,0))</f>
        <v>——</v>
      </c>
      <c r="I110" s="2278"/>
    </row>
    <row r="111" spans="1:35" ht="18.75" hidden="1" customHeight="1">
      <c r="A111" s="2278"/>
      <c r="B111" s="2278"/>
      <c r="C111" s="2278"/>
      <c r="D111" s="2278"/>
      <c r="E111" s="3511" t="str">
        <f>IF(项目基本情况!E9="抵押净值",IF(OR(项目基本情况!E8="已注销",项目基本情况!E8="房地产抵押价值"),"4.抵押净值","5.抵押净值"),"——")</f>
        <v>——</v>
      </c>
      <c r="F111" s="3512"/>
      <c r="G111" s="1268" t="s">
        <v>210</v>
      </c>
      <c r="H111" s="1986" t="str">
        <f>IF(E111="——","——",N59)</f>
        <v>——</v>
      </c>
      <c r="I111" s="2278"/>
    </row>
    <row r="112" spans="1:35" ht="18.75" hidden="1" customHeight="1" thickBot="1">
      <c r="A112" s="2278"/>
      <c r="B112" s="2278"/>
      <c r="C112" s="2278"/>
      <c r="D112" s="2278"/>
      <c r="E112" s="3513"/>
      <c r="F112" s="3514"/>
      <c r="G112" s="1272" t="s">
        <v>211</v>
      </c>
      <c r="H112" s="1423" t="str">
        <f>IF(E111="——","——",N61)</f>
        <v>——</v>
      </c>
      <c r="I112" s="2278"/>
    </row>
    <row r="113" spans="1:11" ht="18.75" customHeight="1">
      <c r="A113" s="2278"/>
      <c r="B113" s="2278"/>
      <c r="C113" s="2278"/>
      <c r="D113" s="2278"/>
      <c r="E113" s="3523" t="s">
        <v>2004</v>
      </c>
      <c r="F113" s="3523"/>
      <c r="G113" s="3523"/>
      <c r="H113" s="3523"/>
      <c r="I113" s="2278"/>
    </row>
    <row r="114" spans="1:11" ht="3.75" customHeight="1">
      <c r="A114" s="1243"/>
      <c r="B114" s="1243"/>
      <c r="C114" s="1243"/>
      <c r="D114" s="1243"/>
      <c r="E114" s="1258"/>
      <c r="F114" s="1258"/>
      <c r="G114" s="1258"/>
      <c r="H114" s="1258"/>
      <c r="I114" s="1243"/>
    </row>
    <row r="115" spans="1:11" ht="18.75" customHeight="1">
      <c r="A115" s="3536" t="s">
        <v>226</v>
      </c>
      <c r="B115" s="3537"/>
      <c r="C115" s="3537"/>
      <c r="D115" s="3537"/>
      <c r="E115" s="3537"/>
      <c r="F115" s="3537"/>
      <c r="G115" s="3537"/>
      <c r="H115" s="3537"/>
      <c r="I115" s="3538"/>
    </row>
    <row r="116" spans="1:11" ht="27" customHeight="1">
      <c r="A116" s="3443" t="s">
        <v>5</v>
      </c>
      <c r="B116" s="3485" t="s">
        <v>3053</v>
      </c>
      <c r="C116" s="3485" t="s">
        <v>3118</v>
      </c>
      <c r="D116" s="3494" t="s">
        <v>206</v>
      </c>
      <c r="E116" s="3495"/>
      <c r="F116" s="3532" t="s">
        <v>3119</v>
      </c>
      <c r="G116" s="3532"/>
      <c r="H116" s="3443" t="s">
        <v>6</v>
      </c>
      <c r="I116" s="3443"/>
    </row>
    <row r="117" spans="1:11" ht="18.75" customHeight="1">
      <c r="A117" s="3443"/>
      <c r="B117" s="3486"/>
      <c r="C117" s="3486"/>
      <c r="D117" s="1915" t="s">
        <v>7</v>
      </c>
      <c r="E117" s="1915" t="s">
        <v>784</v>
      </c>
      <c r="F117" s="1915" t="s">
        <v>7</v>
      </c>
      <c r="G117" s="1915" t="s">
        <v>8</v>
      </c>
      <c r="H117" s="1915" t="s">
        <v>7</v>
      </c>
      <c r="I117" s="1915" t="s">
        <v>8</v>
      </c>
    </row>
    <row r="118" spans="1:11" ht="24.75" customHeight="1">
      <c r="A118" s="2033" t="str">
        <f>项目基本情况!S2</f>
        <v>北京市朝阳区望京街9号商业楼281套房地产</v>
      </c>
      <c r="B118" s="1920">
        <f>M18</f>
        <v>92501.329999999987</v>
      </c>
      <c r="C118" s="1920">
        <f>M19</f>
        <v>31622.17</v>
      </c>
      <c r="D118" s="1920">
        <f ca="1">ROUND(IF(D32="总价",C34,E118*B118/10000),0)</f>
        <v>261823</v>
      </c>
      <c r="E118" s="1920">
        <f ca="1">ROUND(IF(C33="自定义",IF(D32="楼面单价",C34,D118*10000/B118),I118-G118),0)</f>
        <v>28304</v>
      </c>
      <c r="F118" s="1920">
        <f ca="1">ROUND(IF(D32="总价",C35,G118*B118/10000),0)</f>
        <v>60223</v>
      </c>
      <c r="G118" s="1920">
        <f ca="1">ROUND(IF(D32="楼面单价",C35,F118*10000/B118),0)</f>
        <v>6511</v>
      </c>
      <c r="H118" s="1920">
        <f ca="1">ROUND(IF(D32="总价",C32,I118*B118/10000),0)</f>
        <v>322046</v>
      </c>
      <c r="I118" s="1920">
        <f ca="1">ROUND(IF(D32="楼面单价",C32,H118*10000/B118),0)</f>
        <v>34815</v>
      </c>
    </row>
    <row r="119" spans="1:11" ht="31.5" customHeight="1">
      <c r="A119" s="3443" t="s">
        <v>9</v>
      </c>
      <c r="B119" s="3443"/>
      <c r="C119" s="3443"/>
      <c r="D119" s="3487" t="str">
        <f ca="1">NUMBERSTRING(INT(D118*10000),2)&amp;"元整"</f>
        <v>贰拾陆亿壹仟捌佰贰拾叁万元整</v>
      </c>
      <c r="E119" s="3488"/>
      <c r="F119" s="3487" t="str">
        <f ca="1">NUMBERSTRING(INT(F118*10000),2)&amp;"元整"</f>
        <v>陆亿零贰佰贰拾叁万元整</v>
      </c>
      <c r="G119" s="3488"/>
      <c r="H119" s="3487" t="str">
        <f ca="1">NUMBERSTRING(INT(H118*10000),2)&amp;"元整"</f>
        <v>叁拾贰亿贰仟零肆拾陆万元整</v>
      </c>
      <c r="I119" s="3488"/>
    </row>
    <row r="120" spans="1:11" ht="18.75" customHeight="1">
      <c r="A120" s="3489" t="str">
        <f>IF(项目基本情况!B9="房地产市场价值","",MID(E103,3,LEN(E103)-2))</f>
        <v>估价师知悉的法定优先受偿款</v>
      </c>
      <c r="B120" s="3490"/>
      <c r="C120" s="3491"/>
      <c r="D120" s="3482">
        <f>H103</f>
        <v>0</v>
      </c>
      <c r="E120" s="3483"/>
      <c r="F120" s="3483"/>
      <c r="G120" s="3483"/>
      <c r="H120" s="3483"/>
      <c r="I120" s="3484"/>
      <c r="K120" s="1434" t="str">
        <f>IF(D120=0,"故，本次评估不存在"&amp;A120,"故，本次评估"&amp;A120&amp;"为人民币"&amp;D120&amp;"万元整。")</f>
        <v>故，本次评估不存在估价师知悉的法定优先受偿款</v>
      </c>
    </row>
    <row r="121" spans="1:11" ht="18.75" customHeight="1">
      <c r="A121" s="3533" t="s">
        <v>9</v>
      </c>
      <c r="B121" s="3534"/>
      <c r="C121" s="3535"/>
      <c r="D121" s="3487" t="str">
        <f>IF(D120=0,"零元整",NUMBERSTRING(INT(D120*10000),2)&amp;"元整")</f>
        <v>零元整</v>
      </c>
      <c r="E121" s="3492"/>
      <c r="F121" s="3492"/>
      <c r="G121" s="3492"/>
      <c r="H121" s="3492"/>
      <c r="I121" s="3488"/>
    </row>
    <row r="122" spans="1:11" ht="18.75" customHeight="1">
      <c r="A122" s="3496" t="str">
        <f>IF(项目基本情况!B9="房地产市场价值","",MID(E107,3,LEN(E107)-2))</f>
        <v>房地产抵押价值</v>
      </c>
      <c r="B122" s="3496"/>
      <c r="C122" s="3496"/>
      <c r="D122" s="3482">
        <f ca="1">H107</f>
        <v>322046</v>
      </c>
      <c r="E122" s="3483"/>
      <c r="F122" s="3483"/>
      <c r="G122" s="3483"/>
      <c r="H122" s="3483"/>
      <c r="I122" s="3484"/>
    </row>
    <row r="123" spans="1:11" ht="18.75" customHeight="1">
      <c r="A123" s="3443" t="s">
        <v>9</v>
      </c>
      <c r="B123" s="3443"/>
      <c r="C123" s="3443"/>
      <c r="D123" s="3487" t="str">
        <f ca="1">NUMBERSTRING(INT(D122*10000),2)&amp;"元整"</f>
        <v>叁拾贰亿贰仟零肆拾陆万元整</v>
      </c>
      <c r="E123" s="3492"/>
      <c r="F123" s="3492"/>
      <c r="G123" s="3492"/>
      <c r="H123" s="3492"/>
      <c r="I123" s="3488"/>
    </row>
    <row r="124" spans="1:11" ht="18.75" hidden="1" customHeight="1">
      <c r="A124" s="3496" t="str">
        <f>IF(项目基本情况!B9="房地产市场价值","",MID(E109,3,LEN(E109)-2))</f>
        <v/>
      </c>
      <c r="B124" s="3496"/>
      <c r="C124" s="3496"/>
      <c r="D124" s="3482" t="str">
        <f>H109</f>
        <v>——</v>
      </c>
      <c r="E124" s="3483"/>
      <c r="F124" s="3483"/>
      <c r="G124" s="3483"/>
      <c r="H124" s="3483"/>
      <c r="I124" s="3484"/>
    </row>
    <row r="125" spans="1:11" ht="18.75" hidden="1" customHeight="1">
      <c r="A125" s="3443" t="s">
        <v>9</v>
      </c>
      <c r="B125" s="3443"/>
      <c r="C125" s="3443"/>
      <c r="D125" s="3487" t="e">
        <f>NUMBERSTRING(INT(D124*10000),2)&amp;"元整"</f>
        <v>#VALUE!</v>
      </c>
      <c r="E125" s="3492"/>
      <c r="F125" s="3492"/>
      <c r="G125" s="3492"/>
      <c r="H125" s="3492"/>
      <c r="I125" s="3488"/>
    </row>
    <row r="126" spans="1:11" ht="18.75" hidden="1" customHeight="1">
      <c r="A126" s="3496" t="str">
        <f>IF(项目基本情况!B9="房地产市场价值","",MID(E111,3,LEN(E111)-2))</f>
        <v/>
      </c>
      <c r="B126" s="3496"/>
      <c r="C126" s="3496"/>
      <c r="D126" s="3482" t="str">
        <f>H111</f>
        <v>——</v>
      </c>
      <c r="E126" s="3483"/>
      <c r="F126" s="3483"/>
      <c r="G126" s="3483"/>
      <c r="H126" s="3483"/>
      <c r="I126" s="3484"/>
    </row>
    <row r="127" spans="1:11" ht="18.75" hidden="1" customHeight="1">
      <c r="A127" s="3443" t="s">
        <v>9</v>
      </c>
      <c r="B127" s="3443"/>
      <c r="C127" s="3443"/>
      <c r="D127" s="3487" t="e">
        <f>NUMBERSTRING(INT(D126*10000),2)&amp;"元整"</f>
        <v>#VALUE!</v>
      </c>
      <c r="E127" s="3492"/>
      <c r="F127" s="3492"/>
      <c r="G127" s="3492"/>
      <c r="H127" s="3492"/>
      <c r="I127" s="3488"/>
    </row>
    <row r="128" spans="1:11" ht="21.75" customHeight="1">
      <c r="A128" s="3493" t="s">
        <v>2003</v>
      </c>
      <c r="B128" s="3493"/>
      <c r="C128" s="3493"/>
      <c r="D128" s="3493"/>
      <c r="E128" s="3493"/>
      <c r="F128" s="3493"/>
      <c r="G128" s="3493"/>
      <c r="H128" s="3493"/>
      <c r="I128" s="3493"/>
    </row>
    <row r="129" spans="1:35" ht="21.75" customHeight="1">
      <c r="A129" s="2028" t="s">
        <v>785</v>
      </c>
      <c r="B129" s="2029"/>
      <c r="C129" s="468" t="s">
        <v>150</v>
      </c>
      <c r="D129" s="2030"/>
      <c r="E129" s="2030"/>
      <c r="F129" s="2030"/>
      <c r="G129" s="2030"/>
      <c r="H129" s="2031"/>
      <c r="I129" s="2032"/>
    </row>
    <row r="130" spans="1:35" ht="21.75" hidden="1" customHeight="1">
      <c r="A130" s="1436">
        <v>1</v>
      </c>
      <c r="B130" s="1437"/>
      <c r="C130" s="1437"/>
      <c r="D130" s="1438"/>
      <c r="E130" s="1438"/>
      <c r="F130" s="1438"/>
      <c r="G130" s="1438"/>
      <c r="H130" s="1439"/>
      <c r="I130" s="1440"/>
    </row>
    <row r="131" spans="1:35" ht="21.75" hidden="1" customHeight="1">
      <c r="A131" s="1436">
        <v>2</v>
      </c>
      <c r="B131" s="1437"/>
      <c r="C131" s="1437"/>
      <c r="D131" s="1438"/>
      <c r="E131" s="1438"/>
      <c r="F131" s="1438"/>
      <c r="G131" s="1438"/>
      <c r="H131" s="1439"/>
      <c r="I131" s="1440"/>
    </row>
    <row r="132" spans="1:35" ht="21.75" hidden="1" customHeight="1">
      <c r="A132" s="1436">
        <v>3</v>
      </c>
      <c r="B132" s="1437"/>
      <c r="C132" s="1437"/>
      <c r="D132" s="1438"/>
      <c r="E132" s="1438"/>
      <c r="F132" s="1438"/>
      <c r="G132" s="1438"/>
      <c r="H132" s="1439"/>
      <c r="I132" s="1440"/>
    </row>
    <row r="133" spans="1:35" ht="21.75" hidden="1"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786</v>
      </c>
      <c r="G135" s="1448" t="s">
        <v>3120</v>
      </c>
      <c r="H135" s="1448"/>
      <c r="I135" s="1449" t="s">
        <v>3121</v>
      </c>
    </row>
    <row r="136" spans="1:35" ht="21.75" customHeight="1">
      <c r="A136" s="1446"/>
      <c r="B136" s="1450" t="s">
        <v>787</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788</v>
      </c>
    </row>
    <row r="139" spans="1:35" ht="21.75" customHeight="1">
      <c r="A139" s="1446"/>
      <c r="B139" s="1450" t="s">
        <v>789</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788</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8" priority="25" stopIfTrue="1" operator="equal">
      <formula>25</formula>
    </cfRule>
  </conditionalFormatting>
  <conditionalFormatting sqref="C8:C9">
    <cfRule type="cellIs" dxfId="177" priority="23" stopIfTrue="1" operator="equal">
      <formula>15</formula>
    </cfRule>
  </conditionalFormatting>
  <conditionalFormatting sqref="C14:C16">
    <cfRule type="cellIs" dxfId="176" priority="17" stopIfTrue="1" operator="equal">
      <formula>30</formula>
    </cfRule>
  </conditionalFormatting>
  <conditionalFormatting sqref="C10:C13">
    <cfRule type="cellIs" dxfId="175" priority="12" stopIfTrue="1" operator="equal">
      <formula>15</formula>
    </cfRule>
  </conditionalFormatting>
  <conditionalFormatting sqref="C90">
    <cfRule type="expression" dxfId="174" priority="7" stopIfTrue="1">
      <formula>$H$88&lt;&gt;"仅含出让金"</formula>
    </cfRule>
  </conditionalFormatting>
  <conditionalFormatting sqref="C91">
    <cfRule type="expression" dxfId="173" priority="6" stopIfTrue="1">
      <formula>$H$91="由企业提供"</formula>
    </cfRule>
  </conditionalFormatting>
  <conditionalFormatting sqref="E36">
    <cfRule type="expression" dxfId="172" priority="5" stopIfTrue="1">
      <formula>$D$36="同一抵押权人同一抵押物续贷"</formula>
    </cfRule>
  </conditionalFormatting>
  <conditionalFormatting sqref="D5:D7">
    <cfRule type="cellIs" dxfId="171" priority="4" stopIfTrue="1" operator="equal">
      <formula>25</formula>
    </cfRule>
  </conditionalFormatting>
  <conditionalFormatting sqref="D8:D9">
    <cfRule type="cellIs" dxfId="170" priority="3" stopIfTrue="1" operator="equal">
      <formula>15</formula>
    </cfRule>
  </conditionalFormatting>
  <conditionalFormatting sqref="D14:D16">
    <cfRule type="cellIs" dxfId="169" priority="2" stopIfTrue="1" operator="equal">
      <formula>30</formula>
    </cfRule>
  </conditionalFormatting>
  <conditionalFormatting sqref="D10:D13">
    <cfRule type="cellIs" dxfId="168"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31" sqref="K31"/>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47482.44</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54282</v>
      </c>
      <c r="C2" s="1472" t="s">
        <v>1134</v>
      </c>
      <c r="D2" s="1629" t="s">
        <v>1794</v>
      </c>
      <c r="E2" s="1783" t="s">
        <v>3039</v>
      </c>
      <c r="F2" s="1629" t="s">
        <v>1795</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11432</v>
      </c>
      <c r="C3" s="1472" t="s">
        <v>1798</v>
      </c>
      <c r="D3" s="1629" t="s">
        <v>1137</v>
      </c>
      <c r="E3" s="1784" t="s">
        <v>3082</v>
      </c>
      <c r="F3" s="1785" t="s">
        <v>3019</v>
      </c>
      <c r="G3" s="1631">
        <f>IF(F3="宗地容积率",'数据-汇总表'!I4,IF(F3="估价对象容积率",'数据-汇总表'!I6,'数据-汇总表'!I7))</f>
        <v>1.69</v>
      </c>
      <c r="H3" s="1632" t="s">
        <v>1138</v>
      </c>
      <c r="I3" s="1786">
        <v>1</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083"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1805</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1833</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1779">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1.8629</v>
      </c>
      <c r="D21" s="1758"/>
      <c r="E21" s="1758"/>
      <c r="F21" s="1758"/>
      <c r="G21" s="1758"/>
      <c r="H21" s="1758"/>
      <c r="I21" s="1758"/>
      <c r="J21" s="1759"/>
      <c r="K21" s="2390"/>
      <c r="N21" s="3023" t="s">
        <v>2782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1780" t="s">
        <v>1842</v>
      </c>
      <c r="D22" s="1780">
        <f>IF(E22=G22,F22,IF(G3&lt;=10,ROUND(F22+(H22-F22)*(G3-E22)/(G22-E22),4),"——"))</f>
        <v>1.1559999999999999</v>
      </c>
      <c r="E22" s="1631">
        <f>ROUNDDOWN(G3,1)</f>
        <v>1.6</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1780" t="s">
        <v>1159</v>
      </c>
      <c r="J22" s="1760" t="str">
        <f>IF(G3&gt;10,D113,"——")</f>
        <v>——</v>
      </c>
      <c r="K22" s="2390"/>
      <c r="N22" s="3023" t="s">
        <v>2783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1.8629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2784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54282</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1853</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33269</v>
      </c>
      <c r="D29" s="3377">
        <f>'数据-基础表'!I18+'数据-基础表'!I21</f>
        <v>8351.19</v>
      </c>
      <c r="E29" s="1782">
        <f ca="1">ROUND(C29*D29/10000,0)</f>
        <v>27784</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8317</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1853</v>
      </c>
      <c r="E32" s="168" t="s">
        <v>1854</v>
      </c>
      <c r="F32" s="1739" t="s">
        <v>1841</v>
      </c>
      <c r="G32" s="1700" t="s">
        <v>1837</v>
      </c>
      <c r="H32" s="1700" t="s">
        <v>1853</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f>'数据-基础表'!M5</f>
        <v>14021.740000000002</v>
      </c>
      <c r="E33" s="532">
        <f ca="1">ROUND(C33*D33/10000,0)</f>
        <v>17529</v>
      </c>
      <c r="F33" s="532">
        <f>SUMIF(修正!A45:A56,G2,修正!B45:B56)</f>
        <v>0.7</v>
      </c>
      <c r="G33" s="532">
        <f t="shared" ref="G33:G39" ca="1" si="6">ROUND(IF(E2="工业",C33*$M$39,C33*$M$38),0)</f>
        <v>3125</v>
      </c>
      <c r="H33" s="532">
        <f>D33</f>
        <v>14021.740000000002</v>
      </c>
      <c r="I33" s="532">
        <f ca="1">ROUND(G33*H33/10000,0)</f>
        <v>4382</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f>'数据-基础表'!K5</f>
        <v>25109.51</v>
      </c>
      <c r="E39" s="561">
        <f t="shared" ca="1" si="7"/>
        <v>8969</v>
      </c>
      <c r="F39" s="1745">
        <f>SUMIF(修正!A45:A56,G2,修正!H45:H56)</f>
        <v>0.2</v>
      </c>
      <c r="G39" s="561" t="e">
        <f t="shared" si="6"/>
        <v>#DIV/0!</v>
      </c>
      <c r="H39" s="561">
        <f t="shared" si="8"/>
        <v>25109.51</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1500" t="s">
        <v>1779</v>
      </c>
      <c r="D47" s="1501" t="s">
        <v>1850</v>
      </c>
      <c r="E47" s="1502" t="s">
        <v>1852</v>
      </c>
      <c r="F47" s="2605" t="s">
        <v>2491</v>
      </c>
      <c r="G47" s="1501" t="s">
        <v>1848</v>
      </c>
      <c r="H47" s="2606" t="s">
        <v>2492</v>
      </c>
      <c r="I47" s="1501"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1500" t="s">
        <v>1779</v>
      </c>
      <c r="D58" s="1501" t="s">
        <v>1850</v>
      </c>
      <c r="E58" s="1502" t="s">
        <v>1852</v>
      </c>
      <c r="F58" s="2605" t="s">
        <v>2289</v>
      </c>
      <c r="G58" s="1501" t="s">
        <v>1848</v>
      </c>
      <c r="H58" s="2606" t="s">
        <v>2492</v>
      </c>
      <c r="I58" s="1501"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1500" t="s">
        <v>1779</v>
      </c>
      <c r="D69" s="1501" t="s">
        <v>1850</v>
      </c>
      <c r="E69" s="1502" t="s">
        <v>1852</v>
      </c>
      <c r="F69" s="2605" t="s">
        <v>2289</v>
      </c>
      <c r="G69" s="1501" t="s">
        <v>1848</v>
      </c>
      <c r="H69" s="2606" t="s">
        <v>2492</v>
      </c>
      <c r="I69" s="1501"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1500" t="s">
        <v>1779</v>
      </c>
      <c r="D80" s="1501" t="s">
        <v>1850</v>
      </c>
      <c r="E80" s="1502" t="s">
        <v>1852</v>
      </c>
      <c r="F80" s="2605" t="s">
        <v>2289</v>
      </c>
      <c r="G80" s="1501" t="s">
        <v>1848</v>
      </c>
      <c r="H80" s="2606" t="s">
        <v>2492</v>
      </c>
      <c r="I80" s="1501"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2609"/>
      <c r="L90" s="2609"/>
      <c r="M90" s="2609"/>
      <c r="N90" s="2609"/>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2608" t="s">
        <v>165</v>
      </c>
      <c r="D92" s="2608" t="s">
        <v>166</v>
      </c>
      <c r="E92" s="2608" t="s">
        <v>161</v>
      </c>
      <c r="F92" s="2608" t="s">
        <v>162</v>
      </c>
      <c r="G92" s="2608" t="s">
        <v>163</v>
      </c>
      <c r="H92" s="2608" t="s">
        <v>164</v>
      </c>
      <c r="I92" s="2608" t="s">
        <v>1175</v>
      </c>
      <c r="J92" s="2608" t="s">
        <v>1176</v>
      </c>
      <c r="K92" s="2608" t="s">
        <v>1177</v>
      </c>
      <c r="L92" s="2608" t="s">
        <v>1178</v>
      </c>
      <c r="M92" s="2608" t="s">
        <v>1179</v>
      </c>
      <c r="N92" s="2608"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577"/>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577"/>
      <c r="B109" s="3579"/>
      <c r="C109" s="1593">
        <f>(-0.163*(C108^2)-0.59*C108+7617)*(10^(-4))/C101</f>
        <v>0.45066550295857993</v>
      </c>
      <c r="D109" s="1593">
        <f>(-0.163*(D108^2)-0.59*D108+7617)*(10^(-4))/D101</f>
        <v>0.45066550295857993</v>
      </c>
      <c r="E109" s="1593">
        <f>(-0.161*(E108^2)-7.509*E108+6533)*(10^(-4))/E101</f>
        <v>0.38611420118343198</v>
      </c>
      <c r="F109" s="1593">
        <f>(-0.161*(F108^2)-7.509*F108+6533)*(10^(-4))/F101</f>
        <v>0.38611420118343198</v>
      </c>
      <c r="G109" s="1593">
        <f>(-0.161*(G108^2)-7.509*G108+6533)*(10^(-4))/G101</f>
        <v>0.38611420118343198</v>
      </c>
      <c r="H109" s="1593">
        <f>(-0.161*(H108^2)-7.509*H108+6533)*(10^(-4))/H101</f>
        <v>0.38611420118343198</v>
      </c>
      <c r="I109" s="1593">
        <f>(-0.161*(I108^2)-7.509*I108+6533)*(10^(-4))/I101</f>
        <v>0.38611420118343198</v>
      </c>
      <c r="J109" s="1593">
        <f>(-0.214*(J108^2)-21.991*J108+4665)*(10^(-4))/J101</f>
        <v>0.27472159763313608</v>
      </c>
      <c r="K109" s="1593">
        <f>(-0.214*(K108^2)-21.991*K108+4665)*(10^(-4))/K101</f>
        <v>0.27472159763313608</v>
      </c>
      <c r="L109" s="1593">
        <f>(-0.214*(L108^2)-21.991*L108+4665)*(10^(-4))/L101</f>
        <v>0.27472159763313608</v>
      </c>
      <c r="M109" s="1593">
        <f>(-0.214*(M108^2)-21.991*M108+4665)*(10^(-4))/M101</f>
        <v>0.27472159763313608</v>
      </c>
      <c r="N109" s="1593">
        <f>(-0.214*(N108^2)-21.991*N108+4665)*(10^(-4))/N101</f>
        <v>0.27472159763313608</v>
      </c>
    </row>
    <row r="110" spans="1:14">
      <c r="A110" s="3573" t="s">
        <v>1766</v>
      </c>
      <c r="B110" s="3573"/>
      <c r="C110" s="3573"/>
      <c r="D110" s="3573"/>
      <c r="E110" s="3573"/>
      <c r="F110" s="3573"/>
      <c r="G110" s="3573"/>
      <c r="H110" s="3573"/>
      <c r="I110" s="3573"/>
      <c r="J110" s="3573"/>
      <c r="K110" s="2607"/>
      <c r="L110" s="2607"/>
      <c r="M110" s="2607"/>
      <c r="N110" s="2607"/>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11262.99</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26897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23881</v>
      </c>
      <c r="C3" s="1472" t="s">
        <v>1798</v>
      </c>
      <c r="D3" s="1629" t="s">
        <v>1137</v>
      </c>
      <c r="E3" s="1784" t="s">
        <v>3082</v>
      </c>
      <c r="F3" s="1785" t="s">
        <v>3019</v>
      </c>
      <c r="G3" s="1631">
        <f>IF(F3="宗地容积率",'数据-汇总表'!I4,IF(F3="估价对象容积率",'数据-汇总表'!I6,'数据-汇总表'!I7))</f>
        <v>1.69</v>
      </c>
      <c r="H3" s="1632" t="s">
        <v>1138</v>
      </c>
      <c r="I3" s="1786">
        <v>2</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1.3371999999999999</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1.3371999999999999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26897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23881</v>
      </c>
      <c r="D29" s="3377">
        <f>'数据-基础表'!I16+'数据-基础表'!I20</f>
        <v>11262.99</v>
      </c>
      <c r="E29" s="1782">
        <f ca="1">ROUND(C29*D29/10000,0)</f>
        <v>26897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5970</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577"/>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577"/>
      <c r="B109" s="3579"/>
      <c r="C109" s="1593">
        <f>(-0.163*(C108^2)-0.59*C108+7617)*(10^(-4))/C101</f>
        <v>0.45060165680473374</v>
      </c>
      <c r="D109" s="1593">
        <f>(-0.163*(D108^2)-0.59*D108+7617)*(10^(-4))/D101</f>
        <v>0.45060165680473374</v>
      </c>
      <c r="E109" s="1593">
        <f>(-0.161*(E108^2)-7.509*E108+6533)*(10^(-4))/E101</f>
        <v>0.38564130177514794</v>
      </c>
      <c r="F109" s="1593">
        <f>(-0.161*(F108^2)-7.509*F108+6533)*(10^(-4))/F101</f>
        <v>0.38564130177514794</v>
      </c>
      <c r="G109" s="1593">
        <f>(-0.161*(G108^2)-7.509*G108+6533)*(10^(-4))/G101</f>
        <v>0.38564130177514794</v>
      </c>
      <c r="H109" s="1593">
        <f>(-0.161*(H108^2)-7.509*H108+6533)*(10^(-4))/H101</f>
        <v>0.38564130177514794</v>
      </c>
      <c r="I109" s="1593">
        <f>(-0.161*(I108^2)-7.509*I108+6533)*(10^(-4))/I101</f>
        <v>0.38564130177514794</v>
      </c>
      <c r="J109" s="1593">
        <f>(-0.214*(J108^2)-21.991*J108+4665)*(10^(-4))/J101</f>
        <v>0.27338236686390538</v>
      </c>
      <c r="K109" s="1593">
        <f>(-0.214*(K108^2)-21.991*K108+4665)*(10^(-4))/K101</f>
        <v>0.27338236686390538</v>
      </c>
      <c r="L109" s="1593">
        <f>(-0.214*(L108^2)-21.991*L108+4665)*(10^(-4))/L101</f>
        <v>0.27338236686390538</v>
      </c>
      <c r="M109" s="1593">
        <f>(-0.214*(M108^2)-21.991*M108+4665)*(10^(-4))/M101</f>
        <v>0.27338236686390538</v>
      </c>
      <c r="N109" s="1593">
        <f>(-0.214*(N108^2)-21.991*N108+4665)*(10^(-4))/N101</f>
        <v>0.27338236686390538</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15605.82</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30066</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19266</v>
      </c>
      <c r="C3" s="1472" t="s">
        <v>1798</v>
      </c>
      <c r="D3" s="1629" t="s">
        <v>1137</v>
      </c>
      <c r="E3" s="1784" t="s">
        <v>3082</v>
      </c>
      <c r="F3" s="1785" t="s">
        <v>3019</v>
      </c>
      <c r="G3" s="1631">
        <f>IF(F3="宗地容积率",'数据-汇总表'!I4,IF(F3="估价对象容积率",'数据-汇总表'!I6,'数据-汇总表'!I7))</f>
        <v>1.69</v>
      </c>
      <c r="H3" s="1632" t="s">
        <v>1138</v>
      </c>
      <c r="I3" s="1786">
        <v>3</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1.0788</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1.0788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30066</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19266</v>
      </c>
      <c r="D29" s="3377">
        <f>'数据-基础表'!I13+'数据-基础表'!I15+'数据-基础表'!I26+'数据-基础表'!I17</f>
        <v>15605.82</v>
      </c>
      <c r="E29" s="1782">
        <f ca="1">ROUND(C29*D29/10000,0)</f>
        <v>30066</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4817</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577"/>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577"/>
      <c r="B109" s="3579"/>
      <c r="C109" s="1593">
        <f>(-0.163*(C108^2)-0.59*C108+7617)*(10^(-4))/C101</f>
        <v>0.45051852071005921</v>
      </c>
      <c r="D109" s="1593">
        <f>(-0.163*(D108^2)-0.59*D108+7617)*(10^(-4))/D101</f>
        <v>0.45051852071005921</v>
      </c>
      <c r="E109" s="1593">
        <f>(-0.161*(E108^2)-7.509*E108+6533)*(10^(-4))/E101</f>
        <v>0.3851493491124261</v>
      </c>
      <c r="F109" s="1593">
        <f>(-0.161*(F108^2)-7.509*F108+6533)*(10^(-4))/F101</f>
        <v>0.3851493491124261</v>
      </c>
      <c r="G109" s="1593">
        <f>(-0.161*(G108^2)-7.509*G108+6533)*(10^(-4))/G101</f>
        <v>0.3851493491124261</v>
      </c>
      <c r="H109" s="1593">
        <f>(-0.161*(H108^2)-7.509*H108+6533)*(10^(-4))/H101</f>
        <v>0.3851493491124261</v>
      </c>
      <c r="I109" s="1593">
        <f>(-0.161*(I108^2)-7.509*I108+6533)*(10^(-4))/I101</f>
        <v>0.3851493491124261</v>
      </c>
      <c r="J109" s="1593">
        <f>(-0.214*(J108^2)-21.991*J108+4665)*(10^(-4))/J101</f>
        <v>0.27201781065088759</v>
      </c>
      <c r="K109" s="1593">
        <f>(-0.214*(K108^2)-21.991*K108+4665)*(10^(-4))/K101</f>
        <v>0.27201781065088759</v>
      </c>
      <c r="L109" s="1593">
        <f>(-0.214*(L108^2)-21.991*L108+4665)*(10^(-4))/L101</f>
        <v>0.27201781065088759</v>
      </c>
      <c r="M109" s="1593">
        <f>(-0.214*(M108^2)-21.991*M108+4665)*(10^(-4))/M101</f>
        <v>0.27201781065088759</v>
      </c>
      <c r="N109" s="1593">
        <f>(-0.214*(N108^2)-21.991*N108+4665)*(10^(-4))/N101</f>
        <v>0.27201781065088759</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16467.25</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25457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15459</v>
      </c>
      <c r="C3" s="1472" t="s">
        <v>1798</v>
      </c>
      <c r="D3" s="1629" t="s">
        <v>1137</v>
      </c>
      <c r="E3" s="1784" t="s">
        <v>3082</v>
      </c>
      <c r="F3" s="1785" t="s">
        <v>3019</v>
      </c>
      <c r="G3" s="1631">
        <f>IF(F3="宗地容积率",'数据-汇总表'!I4,IF(F3="估价对象容积率",'数据-汇总表'!I6,'数据-汇总表'!I7))</f>
        <v>1.69</v>
      </c>
      <c r="H3" s="1632" t="s">
        <v>1138</v>
      </c>
      <c r="I3" s="1786">
        <v>4</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0.86560000000000004</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0.86560000000000004</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25457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15459</v>
      </c>
      <c r="D29" s="3377">
        <f>'数据-基础表'!I14+'数据-基础表'!I24+'数据-基础表'!I27</f>
        <v>16467.25</v>
      </c>
      <c r="E29" s="1782">
        <f ca="1">ROUND(C29*D29/10000,0)</f>
        <v>25457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3865</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577"/>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577"/>
      <c r="B109" s="3579"/>
      <c r="C109" s="1593">
        <f>(-0.163*(C108^2)-0.59*C108+7617)*(10^(-4))/C101</f>
        <v>0.45041609467455629</v>
      </c>
      <c r="D109" s="1593">
        <f>(-0.163*(D108^2)-0.59*D108+7617)*(10^(-4))/D101</f>
        <v>0.45041609467455629</v>
      </c>
      <c r="E109" s="1593">
        <f>(-0.161*(E108^2)-7.509*E108+6533)*(10^(-4))/E101</f>
        <v>0.3846383431952663</v>
      </c>
      <c r="F109" s="1593">
        <f>(-0.161*(F108^2)-7.509*F108+6533)*(10^(-4))/F101</f>
        <v>0.3846383431952663</v>
      </c>
      <c r="G109" s="1593">
        <f>(-0.161*(G108^2)-7.509*G108+6533)*(10^(-4))/G101</f>
        <v>0.3846383431952663</v>
      </c>
      <c r="H109" s="1593">
        <f>(-0.161*(H108^2)-7.509*H108+6533)*(10^(-4))/H101</f>
        <v>0.3846383431952663</v>
      </c>
      <c r="I109" s="1593">
        <f>(-0.161*(I108^2)-7.509*I108+6533)*(10^(-4))/I101</f>
        <v>0.3846383431952663</v>
      </c>
      <c r="J109" s="1593">
        <f>(-0.214*(J108^2)-21.991*J108+4665)*(10^(-4))/J101</f>
        <v>0.27062792899408289</v>
      </c>
      <c r="K109" s="1593">
        <f>(-0.214*(K108^2)-21.991*K108+4665)*(10^(-4))/K101</f>
        <v>0.27062792899408289</v>
      </c>
      <c r="L109" s="1593">
        <f>(-0.214*(L108^2)-21.991*L108+4665)*(10^(-4))/L101</f>
        <v>0.27062792899408289</v>
      </c>
      <c r="M109" s="1593">
        <f>(-0.214*(M108^2)-21.991*M108+4665)*(10^(-4))/M101</f>
        <v>0.27062792899408289</v>
      </c>
      <c r="N109" s="1593">
        <f>(-0.214*(N108^2)-21.991*N108+4665)*(10^(-4))/N101</f>
        <v>0.27062792899408289</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931.88</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1227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13167</v>
      </c>
      <c r="C3" s="1472" t="s">
        <v>1798</v>
      </c>
      <c r="D3" s="1629" t="s">
        <v>1137</v>
      </c>
      <c r="E3" s="1784" t="s">
        <v>3082</v>
      </c>
      <c r="F3" s="1785" t="s">
        <v>3019</v>
      </c>
      <c r="G3" s="1631">
        <f>IF(F3="宗地容积率",'数据-汇总表'!I4,IF(F3="估价对象容积率",'数据-汇总表'!I6,'数据-汇总表'!I7))</f>
        <v>1.69</v>
      </c>
      <c r="H3" s="1632" t="s">
        <v>1138</v>
      </c>
      <c r="I3" s="1786">
        <v>5</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0.73709999999999998</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0.73709999999999998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1227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13164</v>
      </c>
      <c r="D29" s="3377">
        <f>'数据-基础表'!I22</f>
        <v>931.88</v>
      </c>
      <c r="E29" s="1782">
        <f ca="1">ROUND(C29*D29/10000,0)</f>
        <v>1227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3291</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577"/>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577"/>
      <c r="B109" s="3579"/>
      <c r="C109" s="1593">
        <f>(-0.163*(C108^2)-0.59*C108+7617)*(10^(-4))/C101</f>
        <v>0.45029437869822492</v>
      </c>
      <c r="D109" s="1593">
        <f>(-0.163*(D108^2)-0.59*D108+7617)*(10^(-4))/D101</f>
        <v>0.45029437869822492</v>
      </c>
      <c r="E109" s="1593">
        <f>(-0.161*(E108^2)-7.509*E108+6533)*(10^(-4))/E101</f>
        <v>0.38410828402366864</v>
      </c>
      <c r="F109" s="1593">
        <f>(-0.161*(F108^2)-7.509*F108+6533)*(10^(-4))/F101</f>
        <v>0.38410828402366864</v>
      </c>
      <c r="G109" s="1593">
        <f>(-0.161*(G108^2)-7.509*G108+6533)*(10^(-4))/G101</f>
        <v>0.38410828402366864</v>
      </c>
      <c r="H109" s="1593">
        <f>(-0.161*(H108^2)-7.509*H108+6533)*(10^(-4))/H101</f>
        <v>0.38410828402366864</v>
      </c>
      <c r="I109" s="1593">
        <f>(-0.161*(I108^2)-7.509*I108+6533)*(10^(-4))/I101</f>
        <v>0.38410828402366864</v>
      </c>
      <c r="J109" s="1593">
        <f>(-0.214*(J108^2)-21.991*J108+4665)*(10^(-4))/J101</f>
        <v>0.2692127218934911</v>
      </c>
      <c r="K109" s="1593">
        <f>(-0.214*(K108^2)-21.991*K108+4665)*(10^(-4))/K101</f>
        <v>0.2692127218934911</v>
      </c>
      <c r="L109" s="1593">
        <f>(-0.214*(L108^2)-21.991*L108+4665)*(10^(-4))/L101</f>
        <v>0.2692127218934911</v>
      </c>
      <c r="M109" s="1593">
        <f>(-0.214*(M108^2)-21.991*M108+4665)*(10^(-4))/M101</f>
        <v>0.2692127218934911</v>
      </c>
      <c r="N109" s="1593">
        <f>(-0.214*(N108^2)-21.991*N108+4665)*(10^(-4))/N101</f>
        <v>0.2692127218934911</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0</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0</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t="e">
        <f ca="1">ROUND(B2*10000/D1,0)</f>
        <v>#DIV/0!</v>
      </c>
      <c r="C3" s="1472" t="s">
        <v>1798</v>
      </c>
      <c r="D3" s="1629" t="s">
        <v>1137</v>
      </c>
      <c r="E3" s="1784" t="s">
        <v>3082</v>
      </c>
      <c r="F3" s="1785" t="s">
        <v>3019</v>
      </c>
      <c r="G3" s="1631">
        <f>IF(F3="宗地容积率",'数据-汇总表'!I4,IF(F3="估价对象容积率",'数据-汇总表'!I6,'数据-汇总表'!I7))</f>
        <v>1.69</v>
      </c>
      <c r="H3" s="1632" t="s">
        <v>1138</v>
      </c>
      <c r="I3" s="1786">
        <v>6</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0.6482</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0.6482</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11576</v>
      </c>
      <c r="D29" s="3377">
        <v>0</v>
      </c>
      <c r="E29" s="1782">
        <f ca="1">ROUND(C29*D29/10000,0)</f>
        <v>0</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2894</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577"/>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577"/>
      <c r="B109" s="3579"/>
      <c r="C109" s="1593">
        <f>(-0.163*(C108^2)-0.59*C108+7617)*(10^(-4))/C101</f>
        <v>0.4501533727810651</v>
      </c>
      <c r="D109" s="1593">
        <f>(-0.163*(D108^2)-0.59*D108+7617)*(10^(-4))/D101</f>
        <v>0.4501533727810651</v>
      </c>
      <c r="E109" s="1593">
        <f>(-0.161*(E108^2)-7.509*E108+6533)*(10^(-4))/E101</f>
        <v>0.38355917159763314</v>
      </c>
      <c r="F109" s="1593">
        <f>(-0.161*(F108^2)-7.509*F108+6533)*(10^(-4))/F101</f>
        <v>0.38355917159763314</v>
      </c>
      <c r="G109" s="1593">
        <f>(-0.161*(G108^2)-7.509*G108+6533)*(10^(-4))/G101</f>
        <v>0.38355917159763314</v>
      </c>
      <c r="H109" s="1593">
        <f>(-0.161*(H108^2)-7.509*H108+6533)*(10^(-4))/H101</f>
        <v>0.38355917159763314</v>
      </c>
      <c r="I109" s="1593">
        <f>(-0.161*(I108^2)-7.509*I108+6533)*(10^(-4))/I101</f>
        <v>0.38355917159763314</v>
      </c>
      <c r="J109" s="1593">
        <f>(-0.214*(J108^2)-21.991*J108+4665)*(10^(-4))/J101</f>
        <v>0.26777218934911245</v>
      </c>
      <c r="K109" s="1593">
        <f>(-0.214*(K108^2)-21.991*K108+4665)*(10^(-4))/K101</f>
        <v>0.26777218934911245</v>
      </c>
      <c r="L109" s="1593">
        <f>(-0.214*(L108^2)-21.991*L108+4665)*(10^(-4))/L101</f>
        <v>0.26777218934911245</v>
      </c>
      <c r="M109" s="1593">
        <f>(-0.214*(M108^2)-21.991*M108+4665)*(10^(-4))/M101</f>
        <v>0.26777218934911245</v>
      </c>
      <c r="N109" s="1593">
        <f>(-0.214*(N108^2)-21.991*N108+4665)*(10^(-4))/N101</f>
        <v>0.26777218934911245</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750.95</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868</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11559</v>
      </c>
      <c r="C3" s="1472" t="s">
        <v>1798</v>
      </c>
      <c r="D3" s="1629" t="s">
        <v>1137</v>
      </c>
      <c r="E3" s="1784" t="s">
        <v>3082</v>
      </c>
      <c r="F3" s="1785" t="s">
        <v>3019</v>
      </c>
      <c r="G3" s="1631">
        <f>IF(F3="宗地容积率",'数据-汇总表'!I4,IF(F3="估价对象容积率",'数据-汇总表'!I6,'数据-汇总表'!I7))</f>
        <v>1.69</v>
      </c>
      <c r="H3" s="1632" t="s">
        <v>1138</v>
      </c>
      <c r="I3" s="1786">
        <v>7</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1"/>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2892</v>
      </c>
      <c r="X8" s="3584"/>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1"/>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0"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90"/>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0.64729999999999999</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0.64729999999999999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868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11560</v>
      </c>
      <c r="D29" s="3377">
        <f>'数据-基础表'!I23</f>
        <v>750.95</v>
      </c>
      <c r="E29" s="1782">
        <f ca="1">ROUND(C29*D29/10000,0)</f>
        <v>868</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2890</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1758</v>
      </c>
      <c r="B90" s="3572"/>
      <c r="C90" s="3572"/>
      <c r="D90" s="3572"/>
      <c r="E90" s="3572"/>
      <c r="F90" s="3572"/>
      <c r="G90" s="3572"/>
      <c r="H90" s="3572"/>
      <c r="I90" s="3572"/>
      <c r="J90" s="3572"/>
      <c r="K90" s="3363"/>
      <c r="L90" s="3363"/>
      <c r="M90" s="3363"/>
      <c r="N90" s="3363"/>
    </row>
    <row r="91" spans="1:37">
      <c r="A91" s="3574" t="s">
        <v>68</v>
      </c>
      <c r="B91" s="3574" t="s">
        <v>1759</v>
      </c>
      <c r="C91" s="1587" t="s">
        <v>1760</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75"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1762</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577"/>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575"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76"/>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76"/>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76"/>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76"/>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76"/>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76"/>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76"/>
      <c r="B108" s="3578" t="s">
        <v>1765</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577"/>
      <c r="B109" s="3579"/>
      <c r="C109" s="1593">
        <f>(-0.163*(C108^2)-0.59*C108+7617)*(10^(-4))/C101</f>
        <v>0.44999307692307694</v>
      </c>
      <c r="D109" s="1593">
        <f>(-0.163*(D108^2)-0.59*D108+7617)*(10^(-4))/D101</f>
        <v>0.44999307692307694</v>
      </c>
      <c r="E109" s="1593">
        <f>(-0.161*(E108^2)-7.509*E108+6533)*(10^(-4))/E101</f>
        <v>0.38299100591715979</v>
      </c>
      <c r="F109" s="1593">
        <f>(-0.161*(F108^2)-7.509*F108+6533)*(10^(-4))/F101</f>
        <v>0.38299100591715979</v>
      </c>
      <c r="G109" s="1593">
        <f>(-0.161*(G108^2)-7.509*G108+6533)*(10^(-4))/G101</f>
        <v>0.38299100591715979</v>
      </c>
      <c r="H109" s="1593">
        <f>(-0.161*(H108^2)-7.509*H108+6533)*(10^(-4))/H101</f>
        <v>0.38299100591715979</v>
      </c>
      <c r="I109" s="1593">
        <f>(-0.161*(I108^2)-7.509*I108+6533)*(10^(-4))/I101</f>
        <v>0.38299100591715979</v>
      </c>
      <c r="J109" s="1593">
        <f>(-0.214*(J108^2)-21.991*J108+4665)*(10^(-4))/J101</f>
        <v>0.26630633136094678</v>
      </c>
      <c r="K109" s="1593">
        <f>(-0.214*(K108^2)-21.991*K108+4665)*(10^(-4))/K101</f>
        <v>0.26630633136094678</v>
      </c>
      <c r="L109" s="1593">
        <f>(-0.214*(L108^2)-21.991*L108+4665)*(10^(-4))/L101</f>
        <v>0.26630633136094678</v>
      </c>
      <c r="M109" s="1593">
        <f>(-0.214*(M108^2)-21.991*M108+4665)*(10^(-4))/M101</f>
        <v>0.26630633136094678</v>
      </c>
      <c r="N109" s="1593">
        <f>(-0.214*(N108^2)-21.991*N108+4665)*(10^(-4))/N101</f>
        <v>0.26630633136094678</v>
      </c>
    </row>
    <row r="110" spans="1:14">
      <c r="A110" s="3573" t="s">
        <v>1766</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4" sqref="E24"/>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3055</v>
      </c>
    </row>
    <row r="2" spans="1:5" ht="14.25">
      <c r="A2" s="3344" t="s">
        <v>210</v>
      </c>
      <c r="B2" s="3341">
        <f ca="1">SUMIF(B6:B13,"&lt;&gt;#ref!",B6:B13)</f>
        <v>138797</v>
      </c>
      <c r="C2" s="3344" t="s">
        <v>2667</v>
      </c>
      <c r="D2" s="3344" t="s">
        <v>3051</v>
      </c>
      <c r="E2" s="3341">
        <f ca="1">SUM(E6:E13)</f>
        <v>92501.33</v>
      </c>
    </row>
    <row r="3" spans="1:5" ht="14.25">
      <c r="A3" s="3344" t="s">
        <v>8</v>
      </c>
      <c r="B3" s="3341">
        <f ca="1">ROUND(B2*10000/E2,0)</f>
        <v>15005</v>
      </c>
      <c r="C3" s="3344" t="s">
        <v>2668</v>
      </c>
      <c r="D3" s="3342"/>
      <c r="E3" s="3342"/>
    </row>
    <row r="4" spans="1:5" ht="14.25">
      <c r="A4" s="3345"/>
      <c r="B4" s="3342"/>
      <c r="C4" s="3342"/>
      <c r="D4" s="3342"/>
      <c r="E4" s="3342"/>
    </row>
    <row r="5" spans="1:5" ht="28.5">
      <c r="A5" s="3346" t="s">
        <v>3054</v>
      </c>
      <c r="B5" s="3344" t="s">
        <v>3052</v>
      </c>
      <c r="C5" s="3341"/>
      <c r="D5" s="3342"/>
      <c r="E5" s="3344" t="s">
        <v>3053</v>
      </c>
    </row>
    <row r="6" spans="1:5" ht="14.25">
      <c r="A6" s="3347" t="s">
        <v>3087</v>
      </c>
      <c r="B6" s="3343">
        <f ca="1">SUMIF(INDIRECT("'"&amp;A6&amp;"'"&amp;"!A:A"),"总价",INDIRECT("'"&amp;A6&amp;"'"&amp;"!B:B"))</f>
        <v>54282</v>
      </c>
      <c r="C6" s="3344" t="s">
        <v>2667</v>
      </c>
      <c r="D6" s="3342"/>
      <c r="E6" s="2790">
        <f ca="1">SUMIF(INDIRECT("'"&amp;A6&amp;"'"&amp;"!C:C"),"建筑面积",INDIRECT("'"&amp;A6&amp;"'"&amp;"!D:D"))</f>
        <v>47482.44</v>
      </c>
    </row>
    <row r="7" spans="1:5" ht="14.25">
      <c r="A7" s="3347" t="s">
        <v>3089</v>
      </c>
      <c r="B7" s="3343">
        <f ca="1">SUMIF(INDIRECT("'"&amp;A7&amp;"'"&amp;"!A:A"),"总价",INDIRECT("'"&amp;A7&amp;"'"&amp;"!B:B"))</f>
        <v>26897</v>
      </c>
      <c r="C7" s="3344" t="s">
        <v>2667</v>
      </c>
      <c r="D7" s="3342"/>
      <c r="E7" s="2790">
        <f t="shared" ref="E7:E13" ca="1" si="0">SUMIF(INDIRECT("'"&amp;A7&amp;"'"&amp;"!C:C"),"建筑面积",INDIRECT("'"&amp;A7&amp;"'"&amp;"!D:D"))</f>
        <v>11262.99</v>
      </c>
    </row>
    <row r="8" spans="1:5" ht="14.25">
      <c r="A8" s="3347" t="s">
        <v>3091</v>
      </c>
      <c r="B8" s="3343">
        <f t="shared" ref="B8:B13" ca="1" si="1">SUMIF(INDIRECT("'"&amp;A8&amp;"'"&amp;"!A:A"),"总价",INDIRECT("'"&amp;A8&amp;"'"&amp;"!B:B"))</f>
        <v>30066</v>
      </c>
      <c r="C8" s="3344" t="s">
        <v>2667</v>
      </c>
      <c r="D8" s="3342"/>
      <c r="E8" s="2790">
        <f t="shared" ca="1" si="0"/>
        <v>15605.82</v>
      </c>
    </row>
    <row r="9" spans="1:5" ht="14.25">
      <c r="A9" s="3347" t="s">
        <v>3093</v>
      </c>
      <c r="B9" s="3343">
        <f t="shared" ca="1" si="1"/>
        <v>25457</v>
      </c>
      <c r="C9" s="3344" t="s">
        <v>2667</v>
      </c>
      <c r="D9" s="3342"/>
      <c r="E9" s="2790">
        <f t="shared" ca="1" si="0"/>
        <v>16467.25</v>
      </c>
    </row>
    <row r="10" spans="1:5" ht="14.25">
      <c r="A10" s="3347" t="s">
        <v>3095</v>
      </c>
      <c r="B10" s="3343">
        <f t="shared" ca="1" si="1"/>
        <v>1227</v>
      </c>
      <c r="C10" s="3344" t="s">
        <v>2667</v>
      </c>
      <c r="D10" s="3342"/>
      <c r="E10" s="2790">
        <f t="shared" ca="1" si="0"/>
        <v>931.88</v>
      </c>
    </row>
    <row r="11" spans="1:5" ht="14.25">
      <c r="A11" s="3347" t="s">
        <v>3097</v>
      </c>
      <c r="B11" s="3343">
        <f t="shared" ca="1" si="1"/>
        <v>0</v>
      </c>
      <c r="C11" s="3344" t="s">
        <v>2667</v>
      </c>
      <c r="D11" s="3342"/>
      <c r="E11" s="2790">
        <f t="shared" ca="1" si="0"/>
        <v>0</v>
      </c>
    </row>
    <row r="12" spans="1:5" ht="14.25">
      <c r="A12" s="3347" t="s">
        <v>3099</v>
      </c>
      <c r="B12" s="3343">
        <f t="shared" ca="1" si="1"/>
        <v>868</v>
      </c>
      <c r="C12" s="3344" t="s">
        <v>2667</v>
      </c>
      <c r="D12" s="3342"/>
      <c r="E12" s="2790">
        <f t="shared" ca="1" si="0"/>
        <v>750.95</v>
      </c>
    </row>
    <row r="13" spans="1:5" ht="14.25">
      <c r="A13" s="3347" t="s">
        <v>3097</v>
      </c>
      <c r="B13" s="3343">
        <f t="shared" ca="1" si="1"/>
        <v>0</v>
      </c>
      <c r="C13" s="3344" t="s">
        <v>2667</v>
      </c>
      <c r="D13" s="3342"/>
      <c r="E13" s="2790">
        <f t="shared" ca="1" si="0"/>
        <v>0</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G57" sqref="A1:G5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813</v>
      </c>
      <c r="B1" s="2753"/>
      <c r="C1" s="574"/>
      <c r="D1" s="574"/>
      <c r="E1" s="574"/>
      <c r="F1" s="574"/>
      <c r="G1" s="2754">
        <f>MATCH(B1,'数据-取费表'!A6:A16,0)+5</f>
        <v>8</v>
      </c>
    </row>
    <row r="2" spans="1:9" s="576" customFormat="1" ht="18" customHeight="1">
      <c r="A2" s="577" t="s">
        <v>446</v>
      </c>
      <c r="B2" s="578">
        <f ca="1">IF(D2="——",C52,C52-E2)</f>
        <v>263637</v>
      </c>
      <c r="C2" s="85" t="s">
        <v>863</v>
      </c>
      <c r="D2" s="2871" t="s">
        <v>531</v>
      </c>
      <c r="E2" s="2869" t="e">
        <f ca="1">SUMIF(INDIRECT("'"&amp;G2&amp;"'"&amp;"!A:A"),"承租人权益价值",INDIRECT("'"&amp;G2&amp;"'"&amp;"!c:c"))</f>
        <v>#REF!</v>
      </c>
      <c r="F2" s="2867" t="s">
        <v>863</v>
      </c>
      <c r="G2" s="2870"/>
    </row>
    <row r="3" spans="1:9" s="576" customFormat="1" ht="18" customHeight="1" thickBot="1">
      <c r="A3" s="579" t="s">
        <v>447</v>
      </c>
      <c r="B3" s="580">
        <f ca="1">ROUND(B2*10000/(IF(B1="",'数据-汇总表'!E3,INDIRECT("'数据-取费表'!k"&amp;$G$1))),0)</f>
        <v>28501</v>
      </c>
      <c r="C3" s="85" t="s">
        <v>864</v>
      </c>
      <c r="D3" s="575"/>
      <c r="E3" s="575"/>
      <c r="F3" s="575"/>
      <c r="G3" s="575"/>
    </row>
    <row r="4" spans="1:9" s="584" customFormat="1" ht="15.75">
      <c r="A4" s="581" t="s">
        <v>816</v>
      </c>
      <c r="B4" s="582"/>
      <c r="C4" s="582"/>
      <c r="D4" s="582"/>
      <c r="E4" s="582"/>
      <c r="F4" s="582"/>
      <c r="G4" s="583"/>
    </row>
    <row r="5" spans="1:9" s="590" customFormat="1" ht="13.5" customHeight="1">
      <c r="A5" s="631" t="s">
        <v>2502</v>
      </c>
      <c r="B5" s="586" t="s">
        <v>817</v>
      </c>
      <c r="C5" s="587">
        <f ca="1">C6+C7+C8</f>
        <v>144880</v>
      </c>
      <c r="D5" s="587" t="s">
        <v>818</v>
      </c>
      <c r="E5" s="588" t="s">
        <v>819</v>
      </c>
      <c r="F5" s="588" t="s">
        <v>820</v>
      </c>
      <c r="G5" s="589"/>
    </row>
    <row r="6" spans="1:9" s="590" customFormat="1" ht="13.5" customHeight="1">
      <c r="A6" s="1804" t="s">
        <v>1919</v>
      </c>
      <c r="B6" s="591" t="s">
        <v>821</v>
      </c>
      <c r="C6" s="592">
        <f ca="1">'基准地价（汇总）'!B2</f>
        <v>138797</v>
      </c>
      <c r="D6" s="593"/>
      <c r="E6" s="594"/>
      <c r="F6" s="594"/>
      <c r="G6" s="595"/>
    </row>
    <row r="7" spans="1:9" s="590" customFormat="1" ht="13.5" customHeight="1">
      <c r="A7" s="1804" t="s">
        <v>1920</v>
      </c>
      <c r="B7" s="591" t="s">
        <v>347</v>
      </c>
      <c r="C7" s="596">
        <f ca="1">ROUND(C6*F7,0)</f>
        <v>4233</v>
      </c>
      <c r="D7" s="596"/>
      <c r="E7" s="594"/>
      <c r="F7" s="597">
        <f>'数据-取费表'!B48+'数据-取费表'!B49</f>
        <v>3.0499999999999999E-2</v>
      </c>
      <c r="G7" s="595"/>
    </row>
    <row r="8" spans="1:9" s="599" customFormat="1">
      <c r="A8" s="1804" t="s">
        <v>1921</v>
      </c>
      <c r="B8" s="591" t="s">
        <v>822</v>
      </c>
      <c r="C8" s="596">
        <f>IF(G8="已包含在土地购买价格中","0",IF(B1="",'数据-取费表'!B29,IF(G9="全部缴纳",C9+C10,H9)))</f>
        <v>1850</v>
      </c>
      <c r="D8" s="598"/>
      <c r="E8" s="596"/>
      <c r="F8" s="597"/>
      <c r="G8" s="84" t="s">
        <v>3122</v>
      </c>
    </row>
    <row r="9" spans="1:9" s="590" customFormat="1" ht="13.5" customHeight="1">
      <c r="A9" s="1805" t="s">
        <v>1928</v>
      </c>
      <c r="B9" s="600" t="s">
        <v>823</v>
      </c>
      <c r="C9" s="601">
        <f ca="1">ROUND(D9*E9/10000,0)</f>
        <v>0</v>
      </c>
      <c r="D9" s="1909">
        <f ca="1">IF(B1="",'数据-汇总表'!E5,IF(INDIRECT("'数据-取费表'!c"&amp;$G$1)="住宅",INDIRECT("'数据-取费表'!k"&amp;$G$1),0))</f>
        <v>0</v>
      </c>
      <c r="E9" s="601">
        <f>'数据-取费表'!B27</f>
        <v>160</v>
      </c>
      <c r="F9" s="597"/>
      <c r="G9" s="2801" t="s">
        <v>3101</v>
      </c>
      <c r="H9" s="2802"/>
      <c r="I9" s="2803" t="s">
        <v>2684</v>
      </c>
    </row>
    <row r="10" spans="1:9" s="590" customFormat="1" ht="13.5" customHeight="1">
      <c r="A10" s="1805" t="s">
        <v>1929</v>
      </c>
      <c r="B10" s="600" t="s">
        <v>824</v>
      </c>
      <c r="C10" s="601">
        <f ca="1">ROUND(D10*E10/10000,0)</f>
        <v>1850</v>
      </c>
      <c r="D10" s="1909">
        <f ca="1">IF(B1="",'数据-汇总表'!E6,IF(INDIRECT("'数据-取费表'!c"&amp;$G$1)="住宅",INDIRECT("'数据-取费表'!s"&amp;$G$1),INDIRECT("'数据-取费表'!k"&amp;$G$1)+INDIRECT("'数据-取费表'!s"&amp;$G$1)))</f>
        <v>92501.329999999987</v>
      </c>
      <c r="E10" s="601">
        <f>'数据-取费表'!B28</f>
        <v>200</v>
      </c>
      <c r="F10" s="597"/>
      <c r="G10" s="602"/>
    </row>
    <row r="11" spans="1:9" s="590" customFormat="1" ht="13.5" hidden="1" customHeight="1">
      <c r="A11" s="603" t="s">
        <v>42</v>
      </c>
      <c r="B11" s="591" t="s">
        <v>825</v>
      </c>
      <c r="C11" s="587"/>
      <c r="D11" s="1911"/>
      <c r="E11" s="594"/>
      <c r="F11" s="594"/>
      <c r="G11" s="595"/>
    </row>
    <row r="12" spans="1:9" s="590" customFormat="1" ht="13.5" hidden="1" customHeight="1">
      <c r="A12" s="603" t="s">
        <v>43</v>
      </c>
      <c r="B12" s="591" t="s">
        <v>826</v>
      </c>
      <c r="C12" s="587">
        <v>0</v>
      </c>
      <c r="D12" s="1911"/>
      <c r="E12" s="604"/>
      <c r="F12" s="597">
        <v>3.0499999999999999E-2</v>
      </c>
      <c r="G12" s="595"/>
    </row>
    <row r="13" spans="1:9" s="590" customFormat="1" ht="13.5" hidden="1" customHeight="1">
      <c r="A13" s="603" t="s">
        <v>44</v>
      </c>
      <c r="B13" s="591" t="s">
        <v>827</v>
      </c>
      <c r="C13" s="587"/>
      <c r="D13" s="1911"/>
      <c r="E13" s="594"/>
      <c r="F13" s="594"/>
      <c r="G13" s="595"/>
    </row>
    <row r="14" spans="1:9" s="590" customFormat="1" ht="13.5" hidden="1" customHeight="1">
      <c r="A14" s="603" t="s">
        <v>45</v>
      </c>
      <c r="B14" s="591" t="s">
        <v>822</v>
      </c>
      <c r="C14" s="587"/>
      <c r="D14" s="1911"/>
      <c r="E14" s="594"/>
      <c r="F14" s="594"/>
      <c r="G14" s="595" t="s">
        <v>828</v>
      </c>
    </row>
    <row r="15" spans="1:9" s="590" customFormat="1" ht="13.5" hidden="1" customHeight="1">
      <c r="A15" s="603" t="s">
        <v>46</v>
      </c>
      <c r="B15" s="591" t="s">
        <v>829</v>
      </c>
      <c r="C15" s="596"/>
      <c r="D15" s="1911"/>
      <c r="E15" s="594"/>
      <c r="F15" s="594"/>
      <c r="G15" s="595" t="s">
        <v>830</v>
      </c>
    </row>
    <row r="16" spans="1:9"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2503</v>
      </c>
      <c r="B19" s="586" t="s">
        <v>841</v>
      </c>
      <c r="C19" s="587" t="str">
        <f>IF(G19="已包含在土地取得成本中","0",ROUND(D19*E19/10000,0))</f>
        <v>0</v>
      </c>
      <c r="D19" s="1913">
        <f ca="1">D9+D10</f>
        <v>92501.329999999987</v>
      </c>
      <c r="E19" s="587">
        <f>'数据-取费表'!B31</f>
        <v>200</v>
      </c>
      <c r="F19" s="607"/>
      <c r="G19" s="84" t="s">
        <v>3102</v>
      </c>
    </row>
    <row r="20" spans="1:7" s="590" customFormat="1" ht="13.5" customHeight="1">
      <c r="A20" s="1803" t="s">
        <v>2505</v>
      </c>
      <c r="B20" s="586" t="s">
        <v>834</v>
      </c>
      <c r="C20" s="608">
        <f ca="1">ROUND((C5+C19)*F20,0)</f>
        <v>4346</v>
      </c>
      <c r="D20" s="608"/>
      <c r="E20" s="608"/>
      <c r="F20" s="609">
        <f>'数据-取费表'!B37</f>
        <v>0.03</v>
      </c>
      <c r="G20" s="2621" t="s">
        <v>2516</v>
      </c>
    </row>
    <row r="21" spans="1:7" s="590" customFormat="1" ht="13.5" customHeight="1">
      <c r="A21" s="1803" t="s">
        <v>2507</v>
      </c>
      <c r="B21" s="586" t="s">
        <v>835</v>
      </c>
      <c r="C21" s="611">
        <f>F21</f>
        <v>0.03</v>
      </c>
      <c r="D21" s="612" t="s">
        <v>856</v>
      </c>
      <c r="E21" s="608"/>
      <c r="F21" s="609">
        <f>'数据-取费表'!B38</f>
        <v>0.03</v>
      </c>
      <c r="G21" s="610" t="s">
        <v>836</v>
      </c>
    </row>
    <row r="22" spans="1:7" s="590" customFormat="1" ht="13.5" customHeight="1">
      <c r="A22" s="1803" t="s">
        <v>1914</v>
      </c>
      <c r="B22" s="586" t="s">
        <v>837</v>
      </c>
      <c r="C22" s="2700">
        <f ca="1">ROUND(SUM(C23:C25),0)</f>
        <v>14296</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1919</v>
      </c>
      <c r="B23" s="591" t="s">
        <v>2509</v>
      </c>
      <c r="C23" s="2701">
        <f ca="1">ROUND(IF('数据-取费表'!B22&lt;=1,C5*F22*'数据-取费表'!B23,C5*(POWER((1+F22),'数据-取费表'!B23)-1)),0)</f>
        <v>14090</v>
      </c>
      <c r="D23" s="614"/>
      <c r="E23" s="614"/>
      <c r="F23" s="615"/>
      <c r="G23" s="616" t="s">
        <v>838</v>
      </c>
    </row>
    <row r="24" spans="1:7" s="590" customFormat="1" ht="13.5" customHeight="1">
      <c r="A24" s="1806" t="s">
        <v>1920</v>
      </c>
      <c r="B24" s="591" t="s">
        <v>2504</v>
      </c>
      <c r="C24" s="2701">
        <f ca="1">ROUND(IF('数据-取费表'!B22&lt;=1,C19*F22*('数据-取费表'!B19/2+'数据-取费表'!B21),C19*(POWER((1+F22),('数据-取费表'!B19/2+'数据-取费表'!B21))-1)),0)</f>
        <v>0</v>
      </c>
      <c r="D24" s="614"/>
      <c r="E24" s="614"/>
      <c r="F24" s="615"/>
      <c r="G24" s="616" t="s">
        <v>839</v>
      </c>
    </row>
    <row r="25" spans="1:7" s="590" customFormat="1" ht="24">
      <c r="A25" s="1806" t="s">
        <v>1921</v>
      </c>
      <c r="B25" s="591" t="s">
        <v>2506</v>
      </c>
      <c r="C25" s="2701">
        <f ca="1">ROUND(IF('数据-取费表'!B22&lt;=1,C20*F22*'数据-取费表'!B23/2,C20*(POWER((1+F22),'数据-取费表'!B23/2)-1)),0)</f>
        <v>206</v>
      </c>
      <c r="D25" s="614"/>
      <c r="E25" s="617"/>
      <c r="F25" s="615"/>
      <c r="G25" s="618" t="s">
        <v>840</v>
      </c>
    </row>
    <row r="26" spans="1:7" s="590" customFormat="1">
      <c r="A26" s="1806" t="s">
        <v>1923</v>
      </c>
      <c r="B26" s="591" t="s">
        <v>2508</v>
      </c>
      <c r="C26" s="614">
        <f ca="1">ROUND(IF('数据-取费表'!B22&lt;=1,F21*F22*'数据-取费表'!B23/2,F21*(POWER((1+F22),'数据-取费表'!B23/2)-1)),4)</f>
        <v>1.4E-3</v>
      </c>
      <c r="D26" s="614"/>
      <c r="E26" s="617"/>
      <c r="F26" s="615"/>
      <c r="G26" s="619"/>
    </row>
    <row r="27" spans="1:7" s="590" customFormat="1" ht="24.75">
      <c r="A27" s="1803" t="s">
        <v>1915</v>
      </c>
      <c r="B27" s="620" t="s">
        <v>842</v>
      </c>
      <c r="C27" s="621">
        <f ca="1">C28</f>
        <v>31337</v>
      </c>
      <c r="D27" s="611">
        <f ca="1">C29</f>
        <v>6.3E-3</v>
      </c>
      <c r="E27" s="612" t="s">
        <v>856</v>
      </c>
      <c r="F27" s="622">
        <f ca="1">IF(B1="",'数据-取费表'!Q16,INDIRECT("'数据-取费表'!q"&amp;$G$1))</f>
        <v>0.21</v>
      </c>
      <c r="G27" s="623" t="s">
        <v>2517</v>
      </c>
    </row>
    <row r="28" spans="1:7" s="590" customFormat="1" ht="13.5" customHeight="1">
      <c r="A28" s="1806" t="s">
        <v>1919</v>
      </c>
      <c r="B28" s="624" t="s">
        <v>2510</v>
      </c>
      <c r="C28" s="625">
        <f ca="1">ROUND((C5+C19+C20)*F27*'数据-取费表'!B21/'数据-取费表'!B20,0)</f>
        <v>31337</v>
      </c>
      <c r="D28" s="611"/>
      <c r="E28" s="612"/>
      <c r="F28" s="622"/>
      <c r="G28" s="623"/>
    </row>
    <row r="29" spans="1:7" s="590" customFormat="1" ht="13.5" customHeight="1">
      <c r="A29" s="1806" t="s">
        <v>1920</v>
      </c>
      <c r="B29" s="624" t="s">
        <v>2511</v>
      </c>
      <c r="C29" s="614">
        <f ca="1">ROUND(C21*F27*'数据-取费表'!B21/'数据-取费表'!B20,4)</f>
        <v>6.3E-3</v>
      </c>
      <c r="D29" s="611"/>
      <c r="E29" s="612"/>
      <c r="F29" s="622"/>
      <c r="G29" s="623"/>
    </row>
    <row r="30" spans="1:7" s="590" customFormat="1" ht="13.5" customHeight="1">
      <c r="A30" s="1803" t="s">
        <v>1916</v>
      </c>
      <c r="B30" s="586" t="s">
        <v>348</v>
      </c>
      <c r="C30" s="611">
        <f>ROUND(F30/(1+'数据-取费表'!C42),4)</f>
        <v>5.33E-2</v>
      </c>
      <c r="D30" s="612" t="s">
        <v>2935</v>
      </c>
      <c r="E30" s="617"/>
      <c r="F30" s="613">
        <f>'数据-取费表'!B41</f>
        <v>5.6000000000000001E-2</v>
      </c>
      <c r="G30" s="2621" t="s">
        <v>2936</v>
      </c>
    </row>
    <row r="31" spans="1:7" ht="16.5" customHeight="1">
      <c r="A31" s="585">
        <v>1</v>
      </c>
      <c r="B31" s="586" t="s">
        <v>858</v>
      </c>
      <c r="C31" s="587">
        <f ca="1">ROUND((C5+C19+C20+C22+C27)/(1-C21-D22-D27-C30),0)</f>
        <v>214366</v>
      </c>
      <c r="D31" s="606"/>
      <c r="E31" s="587"/>
      <c r="F31" s="626"/>
      <c r="G31" s="610" t="s">
        <v>2518</v>
      </c>
    </row>
    <row r="32" spans="1:7" s="584" customFormat="1" ht="15.75">
      <c r="A32" s="628" t="s">
        <v>844</v>
      </c>
      <c r="B32" s="629"/>
      <c r="C32" s="629"/>
      <c r="D32" s="629"/>
      <c r="E32" s="629"/>
      <c r="F32" s="629"/>
      <c r="G32" s="630"/>
    </row>
    <row r="33" spans="1:7" s="590" customFormat="1" ht="13.5" customHeight="1">
      <c r="A33" s="631" t="s">
        <v>1910</v>
      </c>
      <c r="B33" s="586" t="s">
        <v>845</v>
      </c>
      <c r="C33" s="632">
        <f ca="1">SUM(C34:C38)</f>
        <v>42170</v>
      </c>
      <c r="D33" s="608"/>
      <c r="E33" s="588"/>
      <c r="F33" s="617"/>
      <c r="G33" s="610"/>
    </row>
    <row r="34" spans="1:7" s="634" customFormat="1" ht="13.5" customHeight="1">
      <c r="A34" s="1806" t="s">
        <v>1919</v>
      </c>
      <c r="B34" s="591" t="s">
        <v>349</v>
      </c>
      <c r="C34" s="596">
        <f ca="1">IF(B1="",IF(F34=100%,'数据-取费表'!M16,'数据-取费表'!O16),IF(F34=100%,INDIRECT("'数据-取费表'!m"&amp;$G$1)+INDIRECT("'数据-取费表'!t"&amp;$G$1),INDIRECT("'数据-取费表'!o"&amp;$G$1)+INDIRECT("'数据-取费表'!aq"&amp;$G$1)))</f>
        <v>37859</v>
      </c>
      <c r="D34" s="593"/>
      <c r="E34" s="596"/>
      <c r="F34" s="633">
        <f ca="1">IF('数据-取费表'!B24=0,1,IF(B1="",'数据-取费表'!N16,INDIRECT("'数据-取费表'!n"&amp;$G$1)))</f>
        <v>1</v>
      </c>
      <c r="G34" s="595" t="s">
        <v>846</v>
      </c>
    </row>
    <row r="35" spans="1:7" ht="13.5" customHeight="1">
      <c r="A35" s="1806" t="s">
        <v>1924</v>
      </c>
      <c r="B35" s="591" t="s">
        <v>350</v>
      </c>
      <c r="C35" s="596">
        <f ca="1">ROUND(C34*F35,0)</f>
        <v>1893</v>
      </c>
      <c r="D35" s="596"/>
      <c r="E35" s="596"/>
      <c r="F35" s="635">
        <f>'数据-取费表'!B33</f>
        <v>0.05</v>
      </c>
      <c r="G35" s="595" t="s">
        <v>847</v>
      </c>
    </row>
    <row r="36" spans="1:7" ht="24">
      <c r="A36" s="1806" t="s">
        <v>1925</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1926</v>
      </c>
      <c r="B37" s="591" t="s">
        <v>848</v>
      </c>
      <c r="C37" s="625">
        <f ca="1">ROUND(E37*D37*F34/10000,0)</f>
        <v>1850</v>
      </c>
      <c r="D37" s="593">
        <f ca="1">D19</f>
        <v>92501.329999999987</v>
      </c>
      <c r="E37" s="625">
        <f>'数据-取费表'!B35</f>
        <v>200</v>
      </c>
      <c r="F37" s="635"/>
      <c r="G37" s="637" t="s">
        <v>849</v>
      </c>
    </row>
    <row r="38" spans="1:7" ht="13.5" customHeight="1">
      <c r="A38" s="1806" t="s">
        <v>1927</v>
      </c>
      <c r="B38" s="591" t="s">
        <v>353</v>
      </c>
      <c r="C38" s="596">
        <f ca="1">ROUND(C34*F38,0)</f>
        <v>568</v>
      </c>
      <c r="D38" s="596"/>
      <c r="E38" s="596"/>
      <c r="F38" s="635">
        <f>'数据-取费表'!B36</f>
        <v>1.4999999999999999E-2</v>
      </c>
      <c r="G38" s="595" t="s">
        <v>847</v>
      </c>
    </row>
    <row r="39" spans="1:7" s="590" customFormat="1" ht="13.5" customHeight="1">
      <c r="A39" s="1803" t="s">
        <v>1911</v>
      </c>
      <c r="B39" s="586" t="s">
        <v>834</v>
      </c>
      <c r="C39" s="608">
        <f ca="1">ROUND(C33*F20,0)</f>
        <v>1265</v>
      </c>
      <c r="D39" s="608"/>
      <c r="E39" s="608"/>
      <c r="F39" s="609"/>
      <c r="G39" s="2621" t="s">
        <v>2519</v>
      </c>
    </row>
    <row r="40" spans="1:7" s="590" customFormat="1" ht="13.5" customHeight="1">
      <c r="A40" s="1803" t="s">
        <v>1912</v>
      </c>
      <c r="B40" s="586" t="s">
        <v>835</v>
      </c>
      <c r="C40" s="3235">
        <f>F21</f>
        <v>0.03</v>
      </c>
      <c r="D40" s="612" t="s">
        <v>859</v>
      </c>
      <c r="E40" s="608"/>
      <c r="F40" s="609"/>
      <c r="G40" s="610" t="s">
        <v>850</v>
      </c>
    </row>
    <row r="41" spans="1:7" s="590" customFormat="1" ht="13.5" customHeight="1">
      <c r="A41" s="1803" t="s">
        <v>1913</v>
      </c>
      <c r="B41" s="586" t="s">
        <v>837</v>
      </c>
      <c r="C41" s="608">
        <f ca="1">ROUND(SUM(C42:C43),0)</f>
        <v>2063</v>
      </c>
      <c r="D41" s="611">
        <f ca="1">C44</f>
        <v>1.4E-3</v>
      </c>
      <c r="E41" s="612" t="s">
        <v>859</v>
      </c>
      <c r="F41" s="613"/>
      <c r="G41" s="2621" t="str">
        <f>IF('数据-取费表'!B22&lt;=1,"单利计息","复利计息")</f>
        <v>复利计息</v>
      </c>
    </row>
    <row r="42" spans="1:7" ht="13.5" customHeight="1">
      <c r="A42" s="1806" t="s">
        <v>1919</v>
      </c>
      <c r="B42" s="591" t="s">
        <v>2509</v>
      </c>
      <c r="C42" s="614">
        <f ca="1">ROUND(IF('数据-取费表'!B22&lt;=1,C33*F22*'数据-取费表'!B21/2,C33*(POWER((1+F22),'数据-取费表'!B21/2)-1)),0)</f>
        <v>2003</v>
      </c>
      <c r="D42" s="614"/>
      <c r="E42" s="614"/>
      <c r="F42" s="615"/>
      <c r="G42" s="3592" t="s">
        <v>851</v>
      </c>
    </row>
    <row r="43" spans="1:7" ht="13.5" customHeight="1">
      <c r="A43" s="1806" t="s">
        <v>1920</v>
      </c>
      <c r="B43" s="591" t="s">
        <v>2512</v>
      </c>
      <c r="C43" s="614">
        <f ca="1">ROUND(IF('数据-取费表'!B22&lt;=1,C39*F22*'数据-取费表'!B21/2,C39*(POWER((1+F22),'数据-取费表'!B21/2)-1)),0)</f>
        <v>60</v>
      </c>
      <c r="D43" s="614"/>
      <c r="E43" s="614"/>
      <c r="F43" s="615"/>
      <c r="G43" s="3593"/>
    </row>
    <row r="44" spans="1:7" ht="13.5" customHeight="1">
      <c r="A44" s="1806" t="s">
        <v>1921</v>
      </c>
      <c r="B44" s="591" t="s">
        <v>2514</v>
      </c>
      <c r="C44" s="614">
        <f ca="1">ROUND(IF('数据-取费表'!B22&lt;=1,C40*F22*'数据-取费表'!B21/2,C40*(POWER((1+F22),'数据-取费表'!B21/2)-1)),4)</f>
        <v>1.4E-3</v>
      </c>
      <c r="D44" s="614"/>
      <c r="E44" s="614"/>
      <c r="F44" s="615"/>
      <c r="G44" s="3594"/>
    </row>
    <row r="45" spans="1:7" s="590" customFormat="1" ht="13.5" customHeight="1">
      <c r="A45" s="1803" t="s">
        <v>1914</v>
      </c>
      <c r="B45" s="620" t="s">
        <v>842</v>
      </c>
      <c r="C45" s="621">
        <f ca="1">C46</f>
        <v>9121</v>
      </c>
      <c r="D45" s="611">
        <f ca="1">C47</f>
        <v>6.3E-3</v>
      </c>
      <c r="E45" s="612" t="s">
        <v>859</v>
      </c>
      <c r="F45" s="622"/>
      <c r="G45" s="623" t="s">
        <v>2520</v>
      </c>
    </row>
    <row r="46" spans="1:7" s="590" customFormat="1" ht="13.5" customHeight="1">
      <c r="A46" s="1806" t="s">
        <v>1919</v>
      </c>
      <c r="B46" s="624" t="s">
        <v>2513</v>
      </c>
      <c r="C46" s="625">
        <f ca="1">ROUND((C33+C39)*F27,0)</f>
        <v>9121</v>
      </c>
      <c r="D46" s="639"/>
      <c r="E46" s="612"/>
      <c r="F46" s="622"/>
      <c r="G46" s="623"/>
    </row>
    <row r="47" spans="1:7" s="590" customFormat="1" ht="13.5" customHeight="1">
      <c r="A47" s="1806" t="s">
        <v>1920</v>
      </c>
      <c r="B47" s="624" t="s">
        <v>2515</v>
      </c>
      <c r="C47" s="614">
        <f ca="1">ROUND(C40*F27,4)</f>
        <v>6.3E-3</v>
      </c>
      <c r="D47" s="639"/>
      <c r="E47" s="612"/>
      <c r="F47" s="622"/>
      <c r="G47" s="623"/>
    </row>
    <row r="48" spans="1:7" s="590" customFormat="1" ht="13.5" customHeight="1">
      <c r="A48" s="1803" t="s">
        <v>1915</v>
      </c>
      <c r="B48" s="586" t="s">
        <v>852</v>
      </c>
      <c r="C48" s="3235">
        <f>ROUND(F30/(1+'数据-取费表'!C42),4)</f>
        <v>5.33E-2</v>
      </c>
      <c r="D48" s="612" t="s">
        <v>2937</v>
      </c>
      <c r="E48" s="608"/>
      <c r="F48" s="613"/>
      <c r="G48" s="2621" t="s">
        <v>2938</v>
      </c>
    </row>
    <row r="49" spans="1:7" ht="16.5" customHeight="1">
      <c r="A49" s="1803" t="s">
        <v>1916</v>
      </c>
      <c r="B49" s="586" t="s">
        <v>861</v>
      </c>
      <c r="C49" s="608">
        <f ca="1">ROUND((C33+C39+C41+C45)/(1-C40-D41-D45-C48),0)</f>
        <v>60087</v>
      </c>
      <c r="D49" s="608"/>
      <c r="E49" s="608"/>
      <c r="F49" s="640"/>
      <c r="G49" s="610" t="s">
        <v>2521</v>
      </c>
    </row>
    <row r="50" spans="1:7" s="634" customFormat="1" ht="24">
      <c r="A50" s="1803" t="s">
        <v>1917</v>
      </c>
      <c r="B50" s="586" t="s">
        <v>854</v>
      </c>
      <c r="C50" s="608"/>
      <c r="D50" s="608"/>
      <c r="E50" s="608"/>
      <c r="F50" s="640">
        <f>IF('数据-取费表'!B24=0,'数据-取费表'!N16,1)</f>
        <v>0.82</v>
      </c>
      <c r="G50" s="623" t="s">
        <v>855</v>
      </c>
    </row>
    <row r="51" spans="1:7" ht="16.5" customHeight="1">
      <c r="A51" s="1803" t="s">
        <v>1918</v>
      </c>
      <c r="B51" s="586" t="s">
        <v>862</v>
      </c>
      <c r="C51" s="608">
        <f ca="1">ROUND(C49*F50,0)</f>
        <v>49271</v>
      </c>
      <c r="D51" s="608"/>
      <c r="E51" s="608"/>
      <c r="F51" s="640"/>
      <c r="G51" s="610" t="s">
        <v>354</v>
      </c>
    </row>
    <row r="52" spans="1:7" s="584" customFormat="1" ht="16.5" thickBot="1">
      <c r="A52" s="641" t="s">
        <v>355</v>
      </c>
      <c r="B52" s="642"/>
      <c r="C52" s="643">
        <f ca="1">C31+C51</f>
        <v>263637</v>
      </c>
      <c r="D52" s="642"/>
      <c r="E52" s="642"/>
      <c r="F52" s="642"/>
      <c r="G52" s="644"/>
    </row>
    <row r="55" spans="1:7" ht="15">
      <c r="B55" s="646" t="s">
        <v>356</v>
      </c>
      <c r="C55" s="647"/>
    </row>
    <row r="56" spans="1:7">
      <c r="B56" s="2873" t="s">
        <v>2696</v>
      </c>
      <c r="C56" s="651">
        <f ca="1">1-C57</f>
        <v>0.81299999999999994</v>
      </c>
    </row>
    <row r="57" spans="1:7">
      <c r="B57" s="2873" t="s">
        <v>2695</v>
      </c>
      <c r="C57" s="650">
        <f ca="1">ROUND(C51/C52,3)</f>
        <v>0.187</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813</v>
      </c>
      <c r="B1" s="2753"/>
      <c r="C1" s="2758" t="s">
        <v>2626</v>
      </c>
      <c r="D1" s="574"/>
      <c r="E1" s="574"/>
      <c r="F1" s="574"/>
      <c r="G1" s="2754">
        <f>MATCH(B1,'数据-取费表'!A6:A16,0)+5</f>
        <v>8</v>
      </c>
      <c r="H1" s="2585" t="str">
        <f>IF(ISERROR(FIND("住宅",B1)),"非住宅","住宅")</f>
        <v>非住宅</v>
      </c>
    </row>
    <row r="2" spans="1:8" s="576" customFormat="1" ht="18" customHeight="1">
      <c r="A2" s="577" t="s">
        <v>345</v>
      </c>
      <c r="B2" s="578">
        <f ca="1">ROUND(IF(D2="——",C52/10000,C52/10000-E2),0)</f>
        <v>54747</v>
      </c>
      <c r="C2" s="85" t="s">
        <v>863</v>
      </c>
      <c r="D2" s="2871" t="s">
        <v>531</v>
      </c>
      <c r="E2" s="2869" t="e">
        <f ca="1">SUMIF(INDIRECT("'"&amp;G2&amp;"'"&amp;"!A:A"),"承租人权益价值",INDIRECT("'"&amp;G2&amp;"'"&amp;"!c:c"))</f>
        <v>#REF!</v>
      </c>
      <c r="F2" s="2867" t="s">
        <v>863</v>
      </c>
      <c r="G2" s="2870"/>
    </row>
    <row r="3" spans="1:8" s="576" customFormat="1" ht="18" customHeight="1" thickBot="1">
      <c r="A3" s="579" t="s">
        <v>346</v>
      </c>
      <c r="B3" s="580">
        <f ca="1">ROUND(B2*10000/(IF(B1="",'数据-汇总表'!E3,INDIRECT("'数据-取费表'!k"&amp;$G$1))),0)</f>
        <v>5919</v>
      </c>
      <c r="C3" s="85" t="s">
        <v>864</v>
      </c>
      <c r="D3" s="575"/>
      <c r="E3" s="575"/>
      <c r="F3" s="575"/>
      <c r="G3" s="575"/>
    </row>
    <row r="4" spans="1:8" s="584" customFormat="1" ht="15.75">
      <c r="A4" s="581" t="s">
        <v>816</v>
      </c>
      <c r="B4" s="582"/>
      <c r="C4" s="582"/>
      <c r="D4" s="582"/>
      <c r="E4" s="582"/>
      <c r="F4" s="582"/>
      <c r="G4" s="583"/>
    </row>
    <row r="5" spans="1:8" s="590" customFormat="1" ht="13.5" customHeight="1">
      <c r="A5" s="631" t="s">
        <v>1910</v>
      </c>
      <c r="B5" s="586" t="s">
        <v>817</v>
      </c>
      <c r="C5" s="587">
        <f ca="1">C6+C7+C8</f>
        <v>18500266</v>
      </c>
      <c r="D5" s="587" t="s">
        <v>818</v>
      </c>
      <c r="E5" s="588" t="s">
        <v>819</v>
      </c>
      <c r="F5" s="588" t="s">
        <v>820</v>
      </c>
      <c r="G5" s="589"/>
    </row>
    <row r="6" spans="1:8" s="590" customFormat="1" ht="13.5" customHeight="1">
      <c r="A6" s="1804" t="s">
        <v>1919</v>
      </c>
      <c r="B6" s="591" t="s">
        <v>821</v>
      </c>
      <c r="C6" s="592"/>
      <c r="D6" s="593"/>
      <c r="E6" s="594"/>
      <c r="F6" s="594"/>
      <c r="G6" s="595"/>
    </row>
    <row r="7" spans="1:8" s="590" customFormat="1" ht="13.5" customHeight="1">
      <c r="A7" s="1804" t="s">
        <v>1920</v>
      </c>
      <c r="B7" s="591" t="s">
        <v>347</v>
      </c>
      <c r="C7" s="596">
        <f>ROUND(C6*F7,0)</f>
        <v>0</v>
      </c>
      <c r="D7" s="596"/>
      <c r="E7" s="594"/>
      <c r="F7" s="597">
        <f>'数据-取费表'!B48+'数据-取费表'!B49</f>
        <v>3.0499999999999999E-2</v>
      </c>
      <c r="G7" s="595"/>
    </row>
    <row r="8" spans="1:8" s="599" customFormat="1">
      <c r="A8" s="1804" t="s">
        <v>1921</v>
      </c>
      <c r="B8" s="591" t="s">
        <v>822</v>
      </c>
      <c r="C8" s="596">
        <f ca="1">IF(G8="已包含在土地购买价格中",0,C9+C10)</f>
        <v>18500266</v>
      </c>
      <c r="D8" s="598"/>
      <c r="E8" s="596"/>
      <c r="F8" s="597"/>
      <c r="G8" s="84"/>
    </row>
    <row r="9" spans="1:8" s="590" customFormat="1" ht="13.5" customHeight="1">
      <c r="A9" s="1805" t="s">
        <v>1928</v>
      </c>
      <c r="B9" s="600" t="s">
        <v>823</v>
      </c>
      <c r="C9" s="601">
        <f ca="1">ROUND(D9*E9,0)</f>
        <v>0</v>
      </c>
      <c r="D9" s="1909">
        <f ca="1">IF(B1="",'数据-汇总表'!E5,IF(INDIRECT("'数据-取费表'!c"&amp;$G$1)="住宅",INDIRECT("'数据-取费表'!k"&amp;$G$1),0))</f>
        <v>0</v>
      </c>
      <c r="E9" s="601">
        <f>'数据-取费表'!B27</f>
        <v>160</v>
      </c>
      <c r="F9" s="597"/>
      <c r="G9" s="602"/>
    </row>
    <row r="10" spans="1:8" s="590" customFormat="1" ht="13.5" customHeight="1">
      <c r="A10" s="1805" t="s">
        <v>1929</v>
      </c>
      <c r="B10" s="600" t="s">
        <v>824</v>
      </c>
      <c r="C10" s="601">
        <f ca="1">ROUND(D10*E10,0)</f>
        <v>18500266</v>
      </c>
      <c r="D10" s="1909">
        <f ca="1">IF(B1="",'数据-汇总表'!E6,IF(INDIRECT("'数据-取费表'!c"&amp;$G$1)="住宅",INDIRECT("'数据-取费表'!s"&amp;$G$1),INDIRECT("'数据-取费表'!k"&amp;$G$1)+INDIRECT("'数据-取费表'!s"&amp;$G$1)))</f>
        <v>92501.329999999987</v>
      </c>
      <c r="E10" s="601">
        <f>'数据-取费表'!B28</f>
        <v>200</v>
      </c>
      <c r="F10" s="597"/>
      <c r="G10" s="602"/>
    </row>
    <row r="11" spans="1:8" s="590" customFormat="1" ht="13.5" hidden="1" customHeight="1">
      <c r="A11" s="603" t="s">
        <v>42</v>
      </c>
      <c r="B11" s="591" t="s">
        <v>825</v>
      </c>
      <c r="C11" s="587"/>
      <c r="D11" s="1911"/>
      <c r="E11" s="594"/>
      <c r="F11" s="594"/>
      <c r="G11" s="595"/>
    </row>
    <row r="12" spans="1:8" s="590" customFormat="1" ht="13.5" hidden="1" customHeight="1">
      <c r="A12" s="603" t="s">
        <v>43</v>
      </c>
      <c r="B12" s="591" t="s">
        <v>826</v>
      </c>
      <c r="C12" s="587">
        <v>0</v>
      </c>
      <c r="D12" s="1911"/>
      <c r="E12" s="604"/>
      <c r="F12" s="597">
        <v>3.0499999999999999E-2</v>
      </c>
      <c r="G12" s="595"/>
    </row>
    <row r="13" spans="1:8" s="590" customFormat="1" ht="13.5" hidden="1" customHeight="1">
      <c r="A13" s="603" t="s">
        <v>44</v>
      </c>
      <c r="B13" s="591" t="s">
        <v>827</v>
      </c>
      <c r="C13" s="587"/>
      <c r="D13" s="1911"/>
      <c r="E13" s="594"/>
      <c r="F13" s="594"/>
      <c r="G13" s="595"/>
    </row>
    <row r="14" spans="1:8" s="590" customFormat="1" ht="13.5" hidden="1" customHeight="1">
      <c r="A14" s="603" t="s">
        <v>45</v>
      </c>
      <c r="B14" s="591" t="s">
        <v>822</v>
      </c>
      <c r="C14" s="587"/>
      <c r="D14" s="1911"/>
      <c r="E14" s="594"/>
      <c r="F14" s="594"/>
      <c r="G14" s="595" t="s">
        <v>828</v>
      </c>
    </row>
    <row r="15" spans="1:8" s="590" customFormat="1" ht="13.5" hidden="1" customHeight="1">
      <c r="A15" s="603" t="s">
        <v>46</v>
      </c>
      <c r="B15" s="591" t="s">
        <v>829</v>
      </c>
      <c r="C15" s="596"/>
      <c r="D15" s="1911"/>
      <c r="E15" s="594"/>
      <c r="F15" s="594"/>
      <c r="G15" s="595" t="s">
        <v>830</v>
      </c>
    </row>
    <row r="16" spans="1:8"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1911</v>
      </c>
      <c r="B19" s="586" t="s">
        <v>841</v>
      </c>
      <c r="C19" s="587">
        <f ca="1">IF(G19="已包含在土地取得成本中","0",ROUND(D19*E19,0))</f>
        <v>18500266</v>
      </c>
      <c r="D19" s="1913">
        <f ca="1">D9+D10</f>
        <v>92501.329999999987</v>
      </c>
      <c r="E19" s="587">
        <f>'数据-取费表'!B31</f>
        <v>200</v>
      </c>
      <c r="F19" s="607"/>
      <c r="G19" s="84"/>
    </row>
    <row r="20" spans="1:7" s="590" customFormat="1" ht="13.5" customHeight="1">
      <c r="A20" s="1803" t="s">
        <v>1912</v>
      </c>
      <c r="B20" s="586" t="s">
        <v>834</v>
      </c>
      <c r="C20" s="608">
        <f ca="1">ROUND((C5+C19)*F20,0)</f>
        <v>1110016</v>
      </c>
      <c r="D20" s="608"/>
      <c r="E20" s="608"/>
      <c r="F20" s="609">
        <f>'数据-取费表'!B37</f>
        <v>0.03</v>
      </c>
      <c r="G20" s="2621" t="s">
        <v>2516</v>
      </c>
    </row>
    <row r="21" spans="1:7" s="590" customFormat="1" ht="13.5" customHeight="1">
      <c r="A21" s="1803" t="s">
        <v>1913</v>
      </c>
      <c r="B21" s="586" t="s">
        <v>835</v>
      </c>
      <c r="C21" s="611">
        <f>F21</f>
        <v>0.03</v>
      </c>
      <c r="D21" s="612" t="s">
        <v>856</v>
      </c>
      <c r="E21" s="608"/>
      <c r="F21" s="609">
        <f>'数据-取费表'!B38</f>
        <v>0.03</v>
      </c>
      <c r="G21" s="610" t="s">
        <v>836</v>
      </c>
    </row>
    <row r="22" spans="1:7" s="590" customFormat="1" ht="13.5" customHeight="1">
      <c r="A22" s="1803" t="s">
        <v>1914</v>
      </c>
      <c r="B22" s="586" t="s">
        <v>837</v>
      </c>
      <c r="C22" s="2755">
        <f ca="1">ROUND(SUM(C23:C25),0)</f>
        <v>3651258</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1919</v>
      </c>
      <c r="B23" s="591" t="s">
        <v>2509</v>
      </c>
      <c r="C23" s="2756">
        <f ca="1">ROUND(IF('数据-取费表'!B22&lt;=1,C5*F22*'数据-取费表'!B22,C5*(POWER((1+F22),'数据-取费表'!B22)-1)),0)</f>
        <v>1799266</v>
      </c>
      <c r="D23" s="614"/>
      <c r="E23" s="614"/>
      <c r="F23" s="615"/>
      <c r="G23" s="616" t="s">
        <v>838</v>
      </c>
    </row>
    <row r="24" spans="1:7" s="590" customFormat="1" ht="13.5" customHeight="1">
      <c r="A24" s="1806" t="s">
        <v>1920</v>
      </c>
      <c r="B24" s="591" t="s">
        <v>2504</v>
      </c>
      <c r="C24" s="2756">
        <f ca="1">ROUND(IF('数据-取费表'!B22&lt;=1,C19*F22*('数据-取费表'!B19/2+'数据-取费表'!B20),C19*(POWER((1+F22),('数据-取费表'!B19/2+'数据-取费表'!B20))-1)),0)</f>
        <v>1799266</v>
      </c>
      <c r="D24" s="614"/>
      <c r="E24" s="614"/>
      <c r="F24" s="615"/>
      <c r="G24" s="616" t="s">
        <v>839</v>
      </c>
    </row>
    <row r="25" spans="1:7" s="590" customFormat="1" ht="24">
      <c r="A25" s="1806" t="s">
        <v>1921</v>
      </c>
      <c r="B25" s="591" t="s">
        <v>2506</v>
      </c>
      <c r="C25" s="2756">
        <f ca="1">ROUND(IF('数据-取费表'!B22&lt;=1,C20*F22*'数据-取费表'!B22/2,C20*(POWER((1+F22),'数据-取费表'!B22/2)-1)),0)</f>
        <v>52726</v>
      </c>
      <c r="D25" s="614"/>
      <c r="E25" s="617"/>
      <c r="F25" s="615"/>
      <c r="G25" s="618" t="s">
        <v>840</v>
      </c>
    </row>
    <row r="26" spans="1:7" s="590" customFormat="1">
      <c r="A26" s="1806" t="s">
        <v>1923</v>
      </c>
      <c r="B26" s="591" t="s">
        <v>2508</v>
      </c>
      <c r="C26" s="614">
        <f ca="1">ROUND(IF('数据-取费表'!B22&lt;=1,F21*F22*'数据-取费表'!B22/2,F21*(POWER((1+F22),'数据-取费表'!B22/2)-1)),4)</f>
        <v>1.4E-3</v>
      </c>
      <c r="D26" s="614"/>
      <c r="E26" s="617"/>
      <c r="F26" s="615"/>
      <c r="G26" s="619"/>
    </row>
    <row r="27" spans="1:7" s="590" customFormat="1" ht="24.75">
      <c r="A27" s="1803" t="s">
        <v>1915</v>
      </c>
      <c r="B27" s="620" t="s">
        <v>842</v>
      </c>
      <c r="C27" s="621">
        <f ca="1">C28</f>
        <v>8003215</v>
      </c>
      <c r="D27" s="611">
        <f ca="1">C29</f>
        <v>6.3E-3</v>
      </c>
      <c r="E27" s="612" t="s">
        <v>856</v>
      </c>
      <c r="F27" s="622">
        <f ca="1">IF(B1="",'数据-取费表'!Q16,INDIRECT("'数据-取费表'!q"&amp;$G$1))</f>
        <v>0.21</v>
      </c>
      <c r="G27" s="623" t="s">
        <v>2517</v>
      </c>
    </row>
    <row r="28" spans="1:7" s="590" customFormat="1" ht="13.5" customHeight="1">
      <c r="A28" s="1806" t="s">
        <v>1919</v>
      </c>
      <c r="B28" s="624" t="s">
        <v>2510</v>
      </c>
      <c r="C28" s="625">
        <f ca="1">ROUND((C5+C19+C20)*F27,0)</f>
        <v>8003215</v>
      </c>
      <c r="D28" s="611"/>
      <c r="E28" s="612"/>
      <c r="F28" s="622"/>
      <c r="G28" s="623"/>
    </row>
    <row r="29" spans="1:7" s="590" customFormat="1" ht="13.5" customHeight="1">
      <c r="A29" s="1806" t="s">
        <v>1920</v>
      </c>
      <c r="B29" s="624" t="s">
        <v>2511</v>
      </c>
      <c r="C29" s="614">
        <f ca="1">ROUND(C21*F27,4)</f>
        <v>6.3E-3</v>
      </c>
      <c r="D29" s="611"/>
      <c r="E29" s="612"/>
      <c r="F29" s="622"/>
      <c r="G29" s="623"/>
    </row>
    <row r="30" spans="1:7" s="590" customFormat="1" ht="13.5" customHeight="1">
      <c r="A30" s="1803" t="s">
        <v>1916</v>
      </c>
      <c r="B30" s="586" t="s">
        <v>348</v>
      </c>
      <c r="C30" s="611">
        <f>ROUND(F30/(1+'数据-取费表'!C42),4)</f>
        <v>5.33E-2</v>
      </c>
      <c r="D30" s="612" t="s">
        <v>2939</v>
      </c>
      <c r="E30" s="617"/>
      <c r="F30" s="613">
        <f>'数据-取费表'!B41</f>
        <v>5.6000000000000001E-2</v>
      </c>
      <c r="G30" s="2621" t="s">
        <v>2940</v>
      </c>
    </row>
    <row r="31" spans="1:7" ht="16.5" customHeight="1">
      <c r="A31" s="585">
        <v>1</v>
      </c>
      <c r="B31" s="586" t="s">
        <v>858</v>
      </c>
      <c r="C31" s="587">
        <f ca="1">ROUND((C5+C19+C20+C22+C27)/(1-C21-D22-D27-C30),0)</f>
        <v>54746998</v>
      </c>
      <c r="D31" s="606"/>
      <c r="E31" s="587"/>
      <c r="F31" s="626"/>
      <c r="G31" s="610" t="s">
        <v>2518</v>
      </c>
    </row>
    <row r="32" spans="1:7" s="584" customFormat="1" ht="15.75">
      <c r="A32" s="628" t="s">
        <v>2621</v>
      </c>
      <c r="B32" s="629"/>
      <c r="C32" s="629"/>
      <c r="D32" s="629"/>
      <c r="E32" s="629"/>
      <c r="F32" s="629"/>
      <c r="G32" s="630"/>
    </row>
    <row r="33" spans="1:7" s="590" customFormat="1" ht="13.5" customHeight="1">
      <c r="A33" s="631" t="s">
        <v>1910</v>
      </c>
      <c r="B33" s="2757" t="s">
        <v>2622</v>
      </c>
      <c r="C33" s="632">
        <f ca="1">SUM(C34:C38)</f>
        <v>421700448</v>
      </c>
      <c r="D33" s="608"/>
      <c r="E33" s="588"/>
      <c r="F33" s="617"/>
      <c r="G33" s="610"/>
    </row>
    <row r="34" spans="1:7" s="634" customFormat="1" ht="13.5" customHeight="1">
      <c r="A34" s="1806" t="s">
        <v>1919</v>
      </c>
      <c r="B34" s="591" t="s">
        <v>349</v>
      </c>
      <c r="C34" s="596">
        <f ca="1">ROUND(IF(B1="",SUMPRODUCT('数据-取费表'!K6:K14,'数据-取费表'!L6:L14),INDIRECT("'数据-取费表'!l"&amp;$G$1)*INDIRECT("'数据-取费表'!k"&amp;$G$1)+'数据-取费表'!L14*INDIRECT("'数据-取费表'!S"&amp;$G$1)),0)</f>
        <v>378591720</v>
      </c>
      <c r="D34" s="593"/>
      <c r="E34" s="596"/>
      <c r="F34" s="633"/>
      <c r="G34" s="595"/>
    </row>
    <row r="35" spans="1:7" ht="13.5" customHeight="1">
      <c r="A35" s="1806" t="s">
        <v>1924</v>
      </c>
      <c r="B35" s="591" t="s">
        <v>350</v>
      </c>
      <c r="C35" s="596">
        <f ca="1">ROUND(C34*F35,0)</f>
        <v>18929586</v>
      </c>
      <c r="D35" s="596"/>
      <c r="E35" s="596"/>
      <c r="F35" s="635">
        <f>'数据-取费表'!B33</f>
        <v>0.05</v>
      </c>
      <c r="G35" s="595" t="s">
        <v>847</v>
      </c>
    </row>
    <row r="36" spans="1:7" ht="24">
      <c r="A36" s="1806" t="s">
        <v>1925</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1926</v>
      </c>
      <c r="B37" s="591" t="s">
        <v>848</v>
      </c>
      <c r="C37" s="625">
        <f ca="1">ROUND(E37*D37,0)</f>
        <v>18500266</v>
      </c>
      <c r="D37" s="593">
        <f ca="1">D19</f>
        <v>92501.329999999987</v>
      </c>
      <c r="E37" s="625">
        <f>'数据-取费表'!B35</f>
        <v>200</v>
      </c>
      <c r="F37" s="635"/>
      <c r="G37" s="637"/>
    </row>
    <row r="38" spans="1:7" ht="13.5" customHeight="1">
      <c r="A38" s="1806" t="s">
        <v>1927</v>
      </c>
      <c r="B38" s="591" t="s">
        <v>353</v>
      </c>
      <c r="C38" s="596">
        <f ca="1">ROUND(C34*F38,0)</f>
        <v>5678876</v>
      </c>
      <c r="D38" s="596"/>
      <c r="E38" s="596"/>
      <c r="F38" s="635">
        <f>'数据-取费表'!B36</f>
        <v>1.4999999999999999E-2</v>
      </c>
      <c r="G38" s="595" t="s">
        <v>847</v>
      </c>
    </row>
    <row r="39" spans="1:7" s="590" customFormat="1" ht="13.5" customHeight="1">
      <c r="A39" s="1803" t="s">
        <v>1911</v>
      </c>
      <c r="B39" s="586" t="s">
        <v>834</v>
      </c>
      <c r="C39" s="608">
        <f ca="1">ROUND(C33*F20,0)</f>
        <v>12651013</v>
      </c>
      <c r="D39" s="608"/>
      <c r="E39" s="608"/>
      <c r="F39" s="609"/>
      <c r="G39" s="2621" t="s">
        <v>2519</v>
      </c>
    </row>
    <row r="40" spans="1:7" s="590" customFormat="1" ht="13.5" customHeight="1">
      <c r="A40" s="1803" t="s">
        <v>1912</v>
      </c>
      <c r="B40" s="586" t="s">
        <v>835</v>
      </c>
      <c r="C40" s="3235">
        <f>F21</f>
        <v>0.03</v>
      </c>
      <c r="D40" s="612" t="s">
        <v>859</v>
      </c>
      <c r="E40" s="608"/>
      <c r="F40" s="609"/>
      <c r="G40" s="610" t="s">
        <v>850</v>
      </c>
    </row>
    <row r="41" spans="1:7" s="590" customFormat="1" ht="13.5" customHeight="1">
      <c r="A41" s="1803" t="s">
        <v>1913</v>
      </c>
      <c r="B41" s="586" t="s">
        <v>837</v>
      </c>
      <c r="C41" s="608">
        <f ca="1">ROUND(SUM(C42:C43),0)</f>
        <v>20631694</v>
      </c>
      <c r="D41" s="611">
        <f ca="1">C44</f>
        <v>1.4E-3</v>
      </c>
      <c r="E41" s="612" t="s">
        <v>859</v>
      </c>
      <c r="F41" s="613"/>
      <c r="G41" s="2621" t="str">
        <f>IF('数据-取费表'!B22&lt;=1,"单利计息","复利计息")</f>
        <v>复利计息</v>
      </c>
    </row>
    <row r="42" spans="1:7" ht="13.5" customHeight="1">
      <c r="A42" s="1806" t="s">
        <v>1919</v>
      </c>
      <c r="B42" s="591" t="s">
        <v>2509</v>
      </c>
      <c r="C42" s="614">
        <f ca="1">ROUND(IF('数据-取费表'!B22&lt;=1,C33*F22*'数据-取费表'!B20/2,C33*(POWER((1+F22),'数据-取费表'!B20/2)-1)),0)</f>
        <v>20030771</v>
      </c>
      <c r="D42" s="614"/>
      <c r="E42" s="614"/>
      <c r="F42" s="615"/>
      <c r="G42" s="3595" t="s">
        <v>2625</v>
      </c>
    </row>
    <row r="43" spans="1:7" ht="13.5" customHeight="1">
      <c r="A43" s="1806" t="s">
        <v>1920</v>
      </c>
      <c r="B43" s="591" t="s">
        <v>2504</v>
      </c>
      <c r="C43" s="614">
        <f ca="1">ROUND(IF('数据-取费表'!B22&lt;=1,C39*F22*'数据-取费表'!B20/2,C39*(POWER((1+F22),'数据-取费表'!B20/2)-1)),0)</f>
        <v>600923</v>
      </c>
      <c r="D43" s="614"/>
      <c r="E43" s="614"/>
      <c r="F43" s="615"/>
      <c r="G43" s="3593"/>
    </row>
    <row r="44" spans="1:7" ht="13.5" customHeight="1">
      <c r="A44" s="1806" t="s">
        <v>1921</v>
      </c>
      <c r="B44" s="591" t="s">
        <v>2506</v>
      </c>
      <c r="C44" s="614">
        <f ca="1">ROUND(IF('数据-取费表'!B22&lt;=1,C40*F22*'数据-取费表'!B20/2,C40*(POWER((1+F22),'数据-取费表'!B20/2)-1)),4)</f>
        <v>1.4E-3</v>
      </c>
      <c r="D44" s="614"/>
      <c r="E44" s="614"/>
      <c r="F44" s="615"/>
      <c r="G44" s="3594"/>
    </row>
    <row r="45" spans="1:7" s="590" customFormat="1" ht="13.5" customHeight="1">
      <c r="A45" s="1803" t="s">
        <v>1914</v>
      </c>
      <c r="B45" s="620" t="s">
        <v>842</v>
      </c>
      <c r="C45" s="621">
        <f ca="1">C46</f>
        <v>91213807</v>
      </c>
      <c r="D45" s="611">
        <f ca="1">C47</f>
        <v>6.3E-3</v>
      </c>
      <c r="E45" s="612" t="s">
        <v>859</v>
      </c>
      <c r="F45" s="622"/>
      <c r="G45" s="623" t="s">
        <v>2520</v>
      </c>
    </row>
    <row r="46" spans="1:7" s="590" customFormat="1" ht="13.5" customHeight="1">
      <c r="A46" s="1806" t="s">
        <v>1919</v>
      </c>
      <c r="B46" s="624" t="s">
        <v>2513</v>
      </c>
      <c r="C46" s="625">
        <f ca="1">ROUND((C33+C39)*F27,0)</f>
        <v>91213807</v>
      </c>
      <c r="D46" s="639"/>
      <c r="E46" s="612"/>
      <c r="F46" s="622"/>
      <c r="G46" s="623"/>
    </row>
    <row r="47" spans="1:7" s="590" customFormat="1" ht="13.5" customHeight="1">
      <c r="A47" s="1806" t="s">
        <v>1920</v>
      </c>
      <c r="B47" s="624" t="s">
        <v>2515</v>
      </c>
      <c r="C47" s="614">
        <f ca="1">ROUND(C40*F27,4)</f>
        <v>6.3E-3</v>
      </c>
      <c r="D47" s="639"/>
      <c r="E47" s="612"/>
      <c r="F47" s="622"/>
      <c r="G47" s="623"/>
    </row>
    <row r="48" spans="1:7" s="590" customFormat="1" ht="13.5" customHeight="1">
      <c r="A48" s="1803" t="s">
        <v>1915</v>
      </c>
      <c r="B48" s="586" t="s">
        <v>852</v>
      </c>
      <c r="C48" s="638">
        <f>ROUND(F30/(1+'数据-取费表'!C42),4)</f>
        <v>5.33E-2</v>
      </c>
      <c r="D48" s="612" t="s">
        <v>2937</v>
      </c>
      <c r="E48" s="608"/>
      <c r="F48" s="613"/>
      <c r="G48" s="2621" t="s">
        <v>2938</v>
      </c>
    </row>
    <row r="49" spans="1:7" ht="16.5" customHeight="1">
      <c r="A49" s="1803" t="s">
        <v>1916</v>
      </c>
      <c r="B49" s="586" t="s">
        <v>2623</v>
      </c>
      <c r="C49" s="608">
        <f ca="1">ROUND((C33+C39+C41+C45)/(1-C40-D41-D45-C48),0)</f>
        <v>600876746</v>
      </c>
      <c r="D49" s="608"/>
      <c r="E49" s="608"/>
      <c r="F49" s="640"/>
      <c r="G49" s="610" t="s">
        <v>2521</v>
      </c>
    </row>
    <row r="50" spans="1:7" s="634" customFormat="1">
      <c r="A50" s="1803" t="s">
        <v>1917</v>
      </c>
      <c r="B50" s="586" t="s">
        <v>854</v>
      </c>
      <c r="C50" s="608"/>
      <c r="D50" s="608"/>
      <c r="E50" s="608"/>
      <c r="F50" s="640">
        <f>IF('数据-取费表'!B24=0,'数据-取费表'!N16,1)</f>
        <v>0.82</v>
      </c>
      <c r="G50" s="623"/>
    </row>
    <row r="51" spans="1:7" ht="16.5" customHeight="1">
      <c r="A51" s="1803" t="s">
        <v>1918</v>
      </c>
      <c r="B51" s="586" t="s">
        <v>2624</v>
      </c>
      <c r="C51" s="608">
        <f ca="1">ROUND(C49*F50,0)</f>
        <v>492718932</v>
      </c>
      <c r="D51" s="608"/>
      <c r="E51" s="608"/>
      <c r="F51" s="640"/>
      <c r="G51" s="610" t="s">
        <v>354</v>
      </c>
    </row>
    <row r="52" spans="1:7" s="584" customFormat="1" ht="16.5" thickBot="1">
      <c r="A52" s="641" t="s">
        <v>355</v>
      </c>
      <c r="B52" s="642"/>
      <c r="C52" s="643">
        <f ca="1">C31+C51</f>
        <v>547465930</v>
      </c>
      <c r="D52" s="642"/>
      <c r="E52" s="642"/>
      <c r="F52" s="642"/>
      <c r="G52" s="644"/>
    </row>
    <row r="55" spans="1:7" ht="15">
      <c r="B55" s="646" t="s">
        <v>356</v>
      </c>
      <c r="C55" s="647"/>
    </row>
    <row r="56" spans="1:7">
      <c r="B56" s="2873" t="s">
        <v>2696</v>
      </c>
      <c r="C56" s="651">
        <f ca="1">1-C57</f>
        <v>9.9999999999999978E-2</v>
      </c>
    </row>
    <row r="57" spans="1:7">
      <c r="B57" s="2873" t="s">
        <v>2695</v>
      </c>
      <c r="C57" s="650">
        <f ca="1">ROUND(C51/C52,3)</f>
        <v>0.9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865</v>
      </c>
      <c r="B1" s="3051"/>
      <c r="C1" s="3052"/>
      <c r="D1" s="3050"/>
      <c r="E1" s="652"/>
      <c r="F1" s="652"/>
      <c r="G1" s="3051"/>
      <c r="H1" s="652"/>
      <c r="I1" s="652"/>
      <c r="J1" s="652"/>
      <c r="K1" s="652">
        <f>MATCH(C1,'数据-取费表'!A6:A16,0)+5</f>
        <v>8</v>
      </c>
    </row>
    <row r="2" spans="1:33" ht="18" customHeight="1">
      <c r="A2" s="577" t="s">
        <v>814</v>
      </c>
      <c r="B2" s="580">
        <f ca="1">C32</f>
        <v>0</v>
      </c>
      <c r="C2" s="88" t="s">
        <v>1097</v>
      </c>
      <c r="D2" s="652"/>
      <c r="E2" s="652"/>
      <c r="F2" s="652"/>
      <c r="G2" s="652"/>
      <c r="H2" s="652"/>
      <c r="I2" s="652"/>
      <c r="J2" s="652"/>
      <c r="K2" s="652"/>
    </row>
    <row r="3" spans="1:33" ht="18" customHeight="1" thickBot="1">
      <c r="A3" s="579" t="s">
        <v>815</v>
      </c>
      <c r="B3" s="580">
        <f ca="1">ROUND(B2*10000/IF(C1="",'数据-汇总表'!E3,INDIRECT("'数据-取费表'!K"&amp;$K$1)),0)</f>
        <v>0</v>
      </c>
      <c r="C3" s="88" t="s">
        <v>864</v>
      </c>
      <c r="D3" s="652"/>
      <c r="E3" s="652"/>
      <c r="F3" s="652"/>
      <c r="G3" s="652"/>
      <c r="H3" s="652"/>
      <c r="I3" s="652"/>
      <c r="J3" s="652"/>
      <c r="K3" s="652"/>
    </row>
    <row r="4" spans="1:33" s="1811" customFormat="1" ht="16.5" customHeight="1">
      <c r="A4" s="1808" t="s">
        <v>866</v>
      </c>
      <c r="B4" s="1809"/>
      <c r="C4" s="1852">
        <f>SUM(C8:K8)</f>
        <v>0</v>
      </c>
      <c r="D4" s="1809"/>
      <c r="E4" s="1809"/>
      <c r="F4" s="1809"/>
      <c r="G4" s="1809"/>
      <c r="H4" s="1809"/>
      <c r="I4" s="1809"/>
      <c r="J4" s="1809"/>
      <c r="K4" s="1810"/>
    </row>
    <row r="5" spans="1:33" s="1815" customFormat="1" ht="24">
      <c r="A5" s="1812" t="s">
        <v>867</v>
      </c>
      <c r="B5" s="1813" t="s">
        <v>868</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1930</v>
      </c>
      <c r="B6" s="471" t="s">
        <v>869</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1911</v>
      </c>
      <c r="B7" s="471" t="s">
        <v>870</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1912</v>
      </c>
      <c r="B8" s="509" t="s">
        <v>871</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872</v>
      </c>
      <c r="B9" s="1809"/>
      <c r="C9" s="1809"/>
      <c r="D9" s="1809"/>
      <c r="E9" s="1809"/>
      <c r="F9" s="1809"/>
      <c r="G9" s="1809"/>
      <c r="H9" s="1809"/>
      <c r="I9" s="1809"/>
      <c r="J9" s="1809"/>
      <c r="K9" s="1810"/>
    </row>
    <row r="10" spans="1:33" s="1826" customFormat="1" ht="13.5" customHeight="1">
      <c r="A10" s="1812" t="s">
        <v>867</v>
      </c>
      <c r="B10" s="295" t="s">
        <v>868</v>
      </c>
      <c r="C10" s="1822" t="s">
        <v>873</v>
      </c>
      <c r="D10" s="1823" t="s">
        <v>874</v>
      </c>
      <c r="E10" s="1823" t="s">
        <v>875</v>
      </c>
      <c r="F10" s="1823" t="s">
        <v>876</v>
      </c>
      <c r="G10" s="295"/>
      <c r="H10" s="1824"/>
      <c r="I10" s="1824"/>
      <c r="J10" s="1824"/>
      <c r="K10" s="1825"/>
    </row>
    <row r="11" spans="1:33" s="1831" customFormat="1" ht="13.5" customHeight="1">
      <c r="A11" s="1827" t="s">
        <v>2943</v>
      </c>
      <c r="B11" s="1828" t="s">
        <v>877</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2944</v>
      </c>
      <c r="B12" s="1828" t="s">
        <v>878</v>
      </c>
      <c r="C12" s="313">
        <f ca="1">ROUND(C11*F12,0)</f>
        <v>0</v>
      </c>
      <c r="D12" s="1829"/>
      <c r="E12" s="715"/>
      <c r="F12" s="1832">
        <f>'数据-取费表'!B33</f>
        <v>0.05</v>
      </c>
      <c r="G12" s="295" t="s">
        <v>879</v>
      </c>
      <c r="H12" s="1824"/>
      <c r="I12" s="1824"/>
      <c r="J12" s="1824"/>
      <c r="K12" s="1825"/>
    </row>
    <row r="13" spans="1:33" s="1831" customFormat="1" ht="13.5" customHeight="1">
      <c r="A13" s="1827" t="s">
        <v>2945</v>
      </c>
      <c r="B13" s="1828" t="s">
        <v>880</v>
      </c>
      <c r="C13" s="313">
        <f ca="1">ROUND(IF(C1="",SUMIF('数据-取费表'!C:C,"住宅",'数据-取费表'!P:P)*F13,IF(INDIRECT("'数据-取费表'!c"&amp;$K$1)="住宅",INDIRECT("'数据-取费表'!P"&amp;$K$1)*F13,0)),0)</f>
        <v>0</v>
      </c>
      <c r="D13" s="1910"/>
      <c r="E13" s="715"/>
      <c r="F13" s="1832">
        <f>'数据-取费表'!B34</f>
        <v>0</v>
      </c>
      <c r="G13" s="295" t="s">
        <v>881</v>
      </c>
      <c r="H13" s="1824"/>
      <c r="I13" s="1824"/>
      <c r="J13" s="1824"/>
      <c r="K13" s="1825"/>
    </row>
    <row r="14" spans="1:33" s="1833" customFormat="1" ht="13.5" customHeight="1">
      <c r="A14" s="1827" t="s">
        <v>2946</v>
      </c>
      <c r="B14" s="1828" t="s">
        <v>882</v>
      </c>
      <c r="C14" s="313">
        <f ca="1">ROUND(D14*E14*F11/10000,0)</f>
        <v>0</v>
      </c>
      <c r="D14" s="1910">
        <f ca="1">IF(C1="",'数据-汇总表'!E3,INDIRECT("'数据-取费表'!K"&amp;$K$1)+INDIRECT("'数据-取费表'!S"&amp;$K$1))</f>
        <v>92501.329999999987</v>
      </c>
      <c r="E14" s="313">
        <f>'数据-取费表'!B35</f>
        <v>200</v>
      </c>
      <c r="F14" s="1832"/>
      <c r="G14" s="295" t="s">
        <v>883</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2947</v>
      </c>
      <c r="B15" s="1828" t="s">
        <v>889</v>
      </c>
      <c r="C15" s="1839">
        <f ca="1">ROUND(C11*F15,0)</f>
        <v>0</v>
      </c>
      <c r="D15" s="1834"/>
      <c r="E15" s="1839"/>
      <c r="F15" s="1840">
        <f>'数据-取费表'!B36</f>
        <v>1.4999999999999999E-2</v>
      </c>
      <c r="G15" s="471" t="s">
        <v>890</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1931</v>
      </c>
      <c r="B16" s="3236" t="s">
        <v>2948</v>
      </c>
      <c r="C16" s="1839">
        <f ca="1">SUM(C11:C15)</f>
        <v>0</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1932</v>
      </c>
      <c r="B17" s="1828" t="s">
        <v>884</v>
      </c>
      <c r="C17" s="313">
        <f ca="1">ROUND(D17*E17/10000,0)</f>
        <v>0</v>
      </c>
      <c r="D17" s="1910">
        <f ca="1">D14</f>
        <v>92501.329999999987</v>
      </c>
      <c r="E17" s="313">
        <f>'数据-取费表'!B32</f>
        <v>0</v>
      </c>
      <c r="F17" s="1834"/>
      <c r="G17" s="471" t="s">
        <v>885</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2949</v>
      </c>
      <c r="B18" s="1828" t="s">
        <v>886</v>
      </c>
      <c r="C18" s="313">
        <f ca="1">C19+C20-IF(C1="",'数据-取费表'!B29,IF(G18="已全部缴纳",C19+C20,H18))</f>
        <v>0</v>
      </c>
      <c r="D18" s="1910"/>
      <c r="E18" s="313"/>
      <c r="F18" s="1832"/>
      <c r="G18" s="3047"/>
      <c r="H18" s="3045"/>
      <c r="I18" s="3046" t="s">
        <v>2794</v>
      </c>
      <c r="J18" s="1835"/>
      <c r="K18" s="1836"/>
    </row>
    <row r="19" spans="1:33" s="1831" customFormat="1" ht="13.5" customHeight="1">
      <c r="A19" s="1827" t="s">
        <v>1933</v>
      </c>
      <c r="B19" s="1828" t="s">
        <v>887</v>
      </c>
      <c r="C19" s="313">
        <f ca="1">ROUND(D19*E19/10000,0)</f>
        <v>0</v>
      </c>
      <c r="D19" s="1910">
        <f ca="1">IF(C1="",'数据-汇总表'!E5,IF(INDIRECT("'数据-取费表'!c"&amp;$K$1)="住宅",INDIRECT("'数据-取费表'!k"&amp;$K$1),0))</f>
        <v>0</v>
      </c>
      <c r="E19" s="313">
        <f>'数据-取费表'!B27</f>
        <v>160</v>
      </c>
      <c r="F19" s="1832"/>
      <c r="G19" s="303"/>
      <c r="H19" s="3049"/>
      <c r="I19" s="1837"/>
      <c r="J19" s="1837"/>
      <c r="K19" s="1838"/>
    </row>
    <row r="20" spans="1:33" s="1831" customFormat="1" ht="13.5" customHeight="1">
      <c r="A20" s="1827" t="s">
        <v>1934</v>
      </c>
      <c r="B20" s="1828" t="s">
        <v>888</v>
      </c>
      <c r="C20" s="313">
        <f ca="1">ROUND(D20*E20/10000,0)</f>
        <v>1850</v>
      </c>
      <c r="D20" s="1910">
        <f ca="1">IF(C1="",'数据-汇总表'!E6,IF(INDIRECT("'数据-取费表'!c"&amp;$K$1)="住宅",INDIRECT("'数据-取费表'!s"&amp;$K$1),INDIRECT("'数据-取费表'!k"&amp;$K$1)+INDIRECT("'数据-取费表'!s"&amp;$K$1)))</f>
        <v>92501.329999999987</v>
      </c>
      <c r="E20" s="313">
        <f>'数据-取费表'!B28</f>
        <v>200</v>
      </c>
      <c r="F20" s="1832"/>
      <c r="G20" s="303"/>
      <c r="H20" s="1837"/>
      <c r="I20" s="1837"/>
      <c r="J20" s="1837"/>
      <c r="K20" s="1838"/>
    </row>
    <row r="21" spans="1:33" s="1831" customFormat="1" ht="13.5" customHeight="1">
      <c r="A21" s="1816" t="s">
        <v>1930</v>
      </c>
      <c r="B21" s="1841" t="s">
        <v>891</v>
      </c>
      <c r="C21" s="1842">
        <f ca="1">C16+C17+C18</f>
        <v>0</v>
      </c>
      <c r="D21" s="1843"/>
      <c r="E21" s="657"/>
      <c r="F21" s="657"/>
      <c r="G21" s="471" t="s">
        <v>2522</v>
      </c>
      <c r="H21" s="1835"/>
      <c r="I21" s="1835"/>
      <c r="J21" s="1835"/>
      <c r="K21" s="1836"/>
    </row>
    <row r="22" spans="1:33" s="1831" customFormat="1" ht="13.5" customHeight="1">
      <c r="A22" s="1821" t="s">
        <v>1911</v>
      </c>
      <c r="B22" s="1841" t="s">
        <v>892</v>
      </c>
      <c r="C22" s="1842">
        <f ca="1">ROUND(C21*F22,0)</f>
        <v>0</v>
      </c>
      <c r="D22" s="657"/>
      <c r="E22" s="657"/>
      <c r="F22" s="1844">
        <f>'数据-取费表'!B37</f>
        <v>0.03</v>
      </c>
      <c r="G22" s="295" t="s">
        <v>893</v>
      </c>
      <c r="H22" s="1824"/>
      <c r="I22" s="1824"/>
      <c r="J22" s="1824"/>
      <c r="K22" s="1825"/>
    </row>
    <row r="23" spans="1:33" s="1831" customFormat="1" ht="13.5" customHeight="1">
      <c r="A23" s="1821" t="s">
        <v>1912</v>
      </c>
      <c r="B23" s="1841" t="s">
        <v>894</v>
      </c>
      <c r="C23" s="1842">
        <f ca="1">ROUND(C4*F23*F11,0)</f>
        <v>0</v>
      </c>
      <c r="D23" s="657"/>
      <c r="E23" s="657"/>
      <c r="F23" s="1844">
        <f>'数据-取费表'!B38</f>
        <v>0.03</v>
      </c>
      <c r="G23" s="295" t="s">
        <v>895</v>
      </c>
      <c r="H23" s="1824"/>
      <c r="I23" s="1824"/>
      <c r="J23" s="1824"/>
      <c r="K23" s="1825"/>
    </row>
    <row r="24" spans="1:33" s="1831" customFormat="1" ht="13.5" customHeight="1">
      <c r="A24" s="1821" t="s">
        <v>1913</v>
      </c>
      <c r="B24" s="1841" t="s">
        <v>896</v>
      </c>
      <c r="C24" s="656">
        <f>ROUND(F24/(1+'数据-取费表'!C42),4)</f>
        <v>2.9000000000000001E-2</v>
      </c>
      <c r="D24" s="657" t="s">
        <v>50</v>
      </c>
      <c r="E24" s="657"/>
      <c r="F24" s="1844">
        <f>'数据-取费表'!B48+'数据-取费表'!B49</f>
        <v>3.0499999999999999E-2</v>
      </c>
      <c r="G24" s="2023" t="s">
        <v>2941</v>
      </c>
      <c r="H24" s="1846"/>
      <c r="I24" s="1846"/>
      <c r="J24" s="1846"/>
      <c r="K24" s="1847"/>
    </row>
    <row r="25" spans="1:33" s="1831" customFormat="1" ht="13.5" customHeight="1">
      <c r="A25" s="1821" t="s">
        <v>1914</v>
      </c>
      <c r="B25" s="1843" t="s">
        <v>897</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1931</v>
      </c>
      <c r="B26" s="1848" t="s">
        <v>898</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1932</v>
      </c>
      <c r="B27" s="1848" t="s">
        <v>2612</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1915</v>
      </c>
      <c r="B28" s="3237" t="s">
        <v>2950</v>
      </c>
      <c r="C28" s="663">
        <f ca="1">C30</f>
        <v>0</v>
      </c>
      <c r="D28" s="656">
        <f ca="1">C29</f>
        <v>0</v>
      </c>
      <c r="E28" s="658" t="s">
        <v>50</v>
      </c>
      <c r="F28" s="664">
        <f ca="1">IF(C1="",'数据-取费表'!Q16,INDIRECT("'数据-取费表'!q"&amp;$K$1))</f>
        <v>0.21</v>
      </c>
      <c r="G28" s="1845"/>
      <c r="H28" s="1846"/>
      <c r="I28" s="1846"/>
      <c r="J28" s="1846"/>
      <c r="K28" s="1847"/>
    </row>
    <row r="29" spans="1:33" s="667" customFormat="1" ht="13.5" customHeight="1">
      <c r="A29" s="1827" t="s">
        <v>1931</v>
      </c>
      <c r="B29" s="1850" t="s">
        <v>899</v>
      </c>
      <c r="C29" s="660">
        <f ca="1">ROUND((1+C24)*F28*'数据-取费表'!B24/'数据-取费表'!B20,4)</f>
        <v>0</v>
      </c>
      <c r="D29" s="660"/>
      <c r="E29" s="661"/>
      <c r="F29" s="666"/>
      <c r="G29" s="471" t="s">
        <v>900</v>
      </c>
      <c r="H29" s="1835"/>
      <c r="I29" s="1835"/>
      <c r="J29" s="1835"/>
      <c r="K29" s="1836"/>
    </row>
    <row r="30" spans="1:33" s="667" customFormat="1" ht="13.5" customHeight="1">
      <c r="A30" s="1827" t="s">
        <v>1932</v>
      </c>
      <c r="B30" s="2710" t="s">
        <v>2613</v>
      </c>
      <c r="C30" s="668">
        <f ca="1">ROUND((C21+C22+C23)*F28,0)</f>
        <v>0</v>
      </c>
      <c r="D30" s="660"/>
      <c r="E30" s="661"/>
      <c r="F30" s="666"/>
      <c r="G30" s="471"/>
      <c r="H30" s="1835"/>
      <c r="I30" s="1835"/>
      <c r="J30" s="1835"/>
      <c r="K30" s="1836"/>
    </row>
    <row r="31" spans="1:33" s="1831" customFormat="1" ht="13.5" customHeight="1" thickBot="1">
      <c r="A31" s="1862" t="s">
        <v>1916</v>
      </c>
      <c r="B31" s="1863" t="s">
        <v>901</v>
      </c>
      <c r="C31" s="1864">
        <f>ROUND(C4*F31/(1+'数据-取费表'!C42),0)</f>
        <v>0</v>
      </c>
      <c r="D31" s="1865"/>
      <c r="E31" s="1866"/>
      <c r="F31" s="1867">
        <f>'数据-取费表'!B41</f>
        <v>5.6000000000000001E-2</v>
      </c>
      <c r="G31" s="1868" t="s">
        <v>902</v>
      </c>
      <c r="H31" s="1869"/>
      <c r="I31" s="1869"/>
      <c r="J31" s="1869"/>
      <c r="K31" s="1870"/>
    </row>
    <row r="32" spans="1:33" s="1826" customFormat="1" ht="13.5" customHeight="1" thickBot="1">
      <c r="A32" s="1857" t="s">
        <v>2942</v>
      </c>
      <c r="B32" s="1858"/>
      <c r="C32" s="1859">
        <f ca="1">ROUND((C4-C21-C22-C23-C25-C28-C31)/(1+C24+D25+D28),0)</f>
        <v>0</v>
      </c>
      <c r="D32" s="1858"/>
      <c r="E32" s="1858"/>
      <c r="F32" s="1858"/>
      <c r="G32" s="1860" t="s">
        <v>903</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3" sqref="A1:F13"/>
    </sheetView>
  </sheetViews>
  <sheetFormatPr defaultRowHeight="13.5"/>
  <cols>
    <col min="1" max="1" width="23.625" customWidth="1"/>
    <col min="2" max="2" width="12" customWidth="1"/>
    <col min="4" max="4" width="14.125" customWidth="1"/>
    <col min="6" max="6" width="12.875" customWidth="1"/>
  </cols>
  <sheetData>
    <row r="1" spans="1:6" ht="20.25">
      <c r="A1" s="2784" t="s">
        <v>2669</v>
      </c>
      <c r="B1" s="2785"/>
      <c r="C1" s="2785"/>
      <c r="D1" s="2785"/>
      <c r="E1" s="2786"/>
    </row>
    <row r="2" spans="1:6" ht="14.25">
      <c r="A2" s="2787" t="s">
        <v>2670</v>
      </c>
      <c r="B2" s="2781">
        <f ca="1">SUMIF(B6:B13,"&lt;&gt;#ref!",B6:B13)</f>
        <v>353497</v>
      </c>
      <c r="C2" s="2782" t="s">
        <v>2667</v>
      </c>
      <c r="D2" s="2783" t="s">
        <v>2672</v>
      </c>
      <c r="E2" s="2791">
        <f>SUM(E6:E13)</f>
        <v>92501.329999999987</v>
      </c>
    </row>
    <row r="3" spans="1:6" ht="14.25">
      <c r="A3" s="2787" t="s">
        <v>2671</v>
      </c>
      <c r="B3" s="2781">
        <f ca="1">ROUND(B2*10000/E2,0)</f>
        <v>38215</v>
      </c>
      <c r="C3" s="2782" t="s">
        <v>2668</v>
      </c>
      <c r="D3" s="2788"/>
      <c r="E3" s="2792"/>
    </row>
    <row r="4" spans="1:6" ht="14.25">
      <c r="A4" s="2793"/>
      <c r="B4" s="2788"/>
      <c r="C4" s="2788"/>
      <c r="D4" s="2788"/>
      <c r="E4" s="2792"/>
    </row>
    <row r="5" spans="1:6">
      <c r="A5" s="2797" t="s">
        <v>2674</v>
      </c>
      <c r="B5" s="3596" t="s">
        <v>2676</v>
      </c>
      <c r="C5" s="3596"/>
      <c r="D5" s="2796"/>
      <c r="E5" s="3338" t="s">
        <v>2675</v>
      </c>
      <c r="F5" s="3339" t="s">
        <v>3049</v>
      </c>
    </row>
    <row r="6" spans="1:6">
      <c r="A6" s="2794" t="str">
        <f>'数据-取费表'!AN6</f>
        <v>收益法-商业</v>
      </c>
      <c r="B6" s="2790">
        <f ca="1">IF(F6="是",'数据-取费表'!AO6,0)</f>
        <v>327868</v>
      </c>
      <c r="C6" s="2782" t="s">
        <v>2667</v>
      </c>
      <c r="D6" s="2788"/>
      <c r="E6" s="1543">
        <f>IF(OR(A6=0,F6="否"),0,'数据-取费表'!K6+'数据-取费表'!S6)</f>
        <v>67391.819999999992</v>
      </c>
      <c r="F6" s="3340" t="s">
        <v>3050</v>
      </c>
    </row>
    <row r="7" spans="1:6">
      <c r="A7" s="2794" t="str">
        <f>'数据-取费表'!AN7</f>
        <v>收益法-车库</v>
      </c>
      <c r="B7" s="2790">
        <f ca="1">IF(F7="是",'数据-取费表'!AO7,0)</f>
        <v>25629</v>
      </c>
      <c r="C7" s="2782" t="s">
        <v>2667</v>
      </c>
      <c r="D7" s="2788"/>
      <c r="E7" s="1543">
        <f>IF(OR(A7=0,F7="否"),0,'数据-取费表'!K7+'数据-取费表'!S7)</f>
        <v>25109.51</v>
      </c>
      <c r="F7" s="3340" t="s">
        <v>3050</v>
      </c>
    </row>
    <row r="8" spans="1:6">
      <c r="A8" s="2794">
        <f>'数据-取费表'!AN8</f>
        <v>0</v>
      </c>
      <c r="B8" s="2790" t="e">
        <f ca="1">IF(F8="是",'数据-取费表'!AO8,0)</f>
        <v>#REF!</v>
      </c>
      <c r="C8" s="2782" t="s">
        <v>2667</v>
      </c>
      <c r="D8" s="2788"/>
      <c r="E8" s="1543">
        <f>IF(OR(A8=0,F8="否"),0,'数据-取费表'!K8+'数据-取费表'!S8)</f>
        <v>0</v>
      </c>
      <c r="F8" s="3340" t="s">
        <v>3050</v>
      </c>
    </row>
    <row r="9" spans="1:6">
      <c r="A9" s="2794">
        <f>'数据-取费表'!AN9</f>
        <v>0</v>
      </c>
      <c r="B9" s="2790" t="e">
        <f ca="1">IF(F9="是",'数据-取费表'!AO9,0)</f>
        <v>#REF!</v>
      </c>
      <c r="C9" s="2782" t="s">
        <v>2667</v>
      </c>
      <c r="D9" s="2788"/>
      <c r="E9" s="1543">
        <f>IF(OR(A9=0,F9="否"),0,'数据-取费表'!K9+'数据-取费表'!S9)</f>
        <v>0</v>
      </c>
      <c r="F9" s="3340" t="s">
        <v>3050</v>
      </c>
    </row>
    <row r="10" spans="1:6">
      <c r="A10" s="2794">
        <f>'数据-取费表'!AN10</f>
        <v>0</v>
      </c>
      <c r="B10" s="2790" t="e">
        <f ca="1">IF(F10="是",'数据-取费表'!AO10,0)</f>
        <v>#REF!</v>
      </c>
      <c r="C10" s="2782" t="s">
        <v>2667</v>
      </c>
      <c r="D10" s="2788"/>
      <c r="E10" s="1543">
        <f>IF(OR(A10=0,F10="否"),0,'数据-取费表'!K10+'数据-取费表'!S10)</f>
        <v>0</v>
      </c>
      <c r="F10" s="3340" t="s">
        <v>3050</v>
      </c>
    </row>
    <row r="11" spans="1:6">
      <c r="A11" s="2794">
        <f>'数据-取费表'!AN11</f>
        <v>0</v>
      </c>
      <c r="B11" s="2790" t="e">
        <f ca="1">IF(F11="是",'数据-取费表'!AO11,0)</f>
        <v>#REF!</v>
      </c>
      <c r="C11" s="2782" t="s">
        <v>2667</v>
      </c>
      <c r="D11" s="2788"/>
      <c r="E11" s="1543">
        <f>IF(OR(A11=0,F11="否"),0,'数据-取费表'!K11+'数据-取费表'!S11)</f>
        <v>0</v>
      </c>
      <c r="F11" s="3340" t="s">
        <v>3050</v>
      </c>
    </row>
    <row r="12" spans="1:6">
      <c r="A12" s="2794">
        <f>'数据-取费表'!AN12</f>
        <v>0</v>
      </c>
      <c r="B12" s="2790" t="e">
        <f ca="1">IF(F12="是",'数据-取费表'!AO12,0)</f>
        <v>#REF!</v>
      </c>
      <c r="C12" s="2782" t="s">
        <v>2667</v>
      </c>
      <c r="D12" s="2788"/>
      <c r="E12" s="1543">
        <f>IF(OR(A12=0,F12="否"),0,'数据-取费表'!K12+'数据-取费表'!S12)</f>
        <v>0</v>
      </c>
      <c r="F12" s="3340" t="s">
        <v>3050</v>
      </c>
    </row>
    <row r="13" spans="1:6" ht="14.25" thickBot="1">
      <c r="A13" s="2795">
        <f>'数据-取费表'!AN13</f>
        <v>0</v>
      </c>
      <c r="B13" s="2790" t="e">
        <f ca="1">IF(F13="是",'数据-取费表'!AO13,0)</f>
        <v>#REF!</v>
      </c>
      <c r="C13" s="2798" t="s">
        <v>2667</v>
      </c>
      <c r="D13" s="2789"/>
      <c r="E13" s="1543">
        <f>IF(OR(A13=0,F13="否"),0,'数据-取费表'!K13+'数据-取费表'!S13)</f>
        <v>0</v>
      </c>
      <c r="F13" s="3340" t="s">
        <v>3050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80" zoomScaleNormal="80" zoomScaleSheetLayoutView="90" workbookViewId="0">
      <selection activeCell="K30" sqref="K3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t="s">
        <v>3039</v>
      </c>
      <c r="D1" s="1274"/>
      <c r="E1" s="2586" t="s">
        <v>2440</v>
      </c>
      <c r="F1" s="2587">
        <f ca="1">J53</f>
        <v>26.88</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814</v>
      </c>
      <c r="B2" s="1407">
        <f ca="1">C40+J29+L46</f>
        <v>327868</v>
      </c>
      <c r="C2" s="1300" t="s">
        <v>1098</v>
      </c>
      <c r="D2" s="1276"/>
      <c r="E2" s="2576"/>
      <c r="F2" s="1277"/>
      <c r="G2" s="2288"/>
      <c r="H2" s="1275"/>
      <c r="I2" s="1275"/>
      <c r="J2" s="1275"/>
      <c r="K2" s="1299"/>
      <c r="L2" s="1275"/>
      <c r="M2" s="1275"/>
    </row>
    <row r="3" spans="1:37" ht="18" customHeight="1" thickBot="1">
      <c r="A3" s="675" t="s">
        <v>815</v>
      </c>
      <c r="B3" s="1408">
        <f ca="1">IF(ISERROR(B2*10000/F43),0,ROUND(B2*10000/F43,0))</f>
        <v>48651</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2530</v>
      </c>
      <c r="C5" s="2627">
        <f ca="1">C6+C10+C12</f>
        <v>17957</v>
      </c>
      <c r="D5" s="2637" t="s">
        <v>2532</v>
      </c>
      <c r="E5" s="2628"/>
      <c r="F5" s="2629"/>
      <c r="G5" s="2289"/>
      <c r="H5" s="681">
        <v>1</v>
      </c>
      <c r="I5" s="682" t="s">
        <v>2530</v>
      </c>
      <c r="J5" s="2627">
        <f ca="1">J6+J10+J12</f>
        <v>0</v>
      </c>
      <c r="K5" s="2630" t="s">
        <v>2532</v>
      </c>
      <c r="L5" s="2628"/>
      <c r="M5" s="2629"/>
    </row>
    <row r="6" spans="1:37" ht="18" customHeight="1">
      <c r="A6" s="2623" t="s">
        <v>2537</v>
      </c>
      <c r="B6" s="3599" t="s">
        <v>2531</v>
      </c>
      <c r="C6" s="2632">
        <f ca="1">ROUND(F6*F8*F7*(1-F9)/10000,0)</f>
        <v>17932</v>
      </c>
      <c r="D6" s="2626" t="s">
        <v>2533</v>
      </c>
      <c r="E6" s="684" t="s">
        <v>911</v>
      </c>
      <c r="F6" s="685">
        <f ca="1">INDIRECT("'数据-取费表'!u"&amp;$G$1)</f>
        <v>8.1</v>
      </c>
      <c r="G6" s="2289"/>
      <c r="H6" s="2623" t="s">
        <v>2540</v>
      </c>
      <c r="I6" s="3599" t="s">
        <v>2531</v>
      </c>
      <c r="J6" s="683">
        <f ca="1">ROUND(M6*M8*M7*(1-M9)/10000,0)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67391.819999999992</v>
      </c>
      <c r="G7" s="2289"/>
      <c r="H7" s="686"/>
      <c r="I7" s="3600"/>
      <c r="J7" s="688"/>
      <c r="K7" s="689"/>
      <c r="L7" s="684" t="s">
        <v>912</v>
      </c>
      <c r="M7" s="685">
        <f ca="1">F7</f>
        <v>67391.819999999992</v>
      </c>
    </row>
    <row r="8" spans="1:37" ht="18" customHeight="1">
      <c r="A8" s="686"/>
      <c r="B8" s="3600"/>
      <c r="C8" s="688"/>
      <c r="D8" s="689"/>
      <c r="E8" s="684" t="s">
        <v>913</v>
      </c>
      <c r="F8" s="685">
        <f ca="1">INDIRECT("'数据-取费表'!ai"&amp;$G$1)</f>
        <v>365</v>
      </c>
      <c r="G8" s="2289"/>
      <c r="H8" s="686"/>
      <c r="I8" s="3600"/>
      <c r="J8" s="688"/>
      <c r="K8" s="689"/>
      <c r="L8" s="684" t="s">
        <v>913</v>
      </c>
      <c r="M8" s="685">
        <f ca="1">INDIRECT("'数据-取费表'!ai"&amp;$G$1)</f>
        <v>365</v>
      </c>
    </row>
    <row r="9" spans="1:37" ht="18" customHeight="1">
      <c r="A9" s="686"/>
      <c r="B9" s="3601"/>
      <c r="C9" s="688"/>
      <c r="D9" s="689"/>
      <c r="E9" s="684" t="s">
        <v>914</v>
      </c>
      <c r="F9" s="694">
        <f ca="1">INDIRECT("'数据-取费表'!w"&amp;$G$1)</f>
        <v>0.1</v>
      </c>
      <c r="G9" s="2289"/>
      <c r="H9" s="686"/>
      <c r="I9" s="3601"/>
      <c r="J9" s="688"/>
      <c r="K9" s="689"/>
      <c r="L9" s="695" t="s">
        <v>914</v>
      </c>
      <c r="M9" s="696">
        <f ca="1">INDIRECT("'数据-取费表'!ab"&amp;$G$1)</f>
        <v>0</v>
      </c>
    </row>
    <row r="10" spans="1:37" ht="18" customHeight="1">
      <c r="A10" s="2623" t="s">
        <v>2538</v>
      </c>
      <c r="B10" s="2624" t="s">
        <v>2526</v>
      </c>
      <c r="C10" s="698">
        <f ca="1">ROUND(IF(F10="押一",F6*F8*F7/12*F11,IF(F10="押二",F6*F8*F7/12*2*F11,IF(F10="押三",F6*F8*F7/12*3*F11,C11*F11)))/10000,0)</f>
        <v>25</v>
      </c>
      <c r="D10" s="2635" t="s">
        <v>2534</v>
      </c>
      <c r="E10" s="2098" t="s">
        <v>2528</v>
      </c>
      <c r="F10" s="2829" t="s">
        <v>3106</v>
      </c>
      <c r="G10" s="2289"/>
      <c r="H10" s="2623" t="s">
        <v>2541</v>
      </c>
      <c r="I10" s="2624" t="s">
        <v>2526</v>
      </c>
      <c r="J10" s="683">
        <f ca="1">ROUND(IF(M10="押一",M6*M8*M7/12*M11,IF(M10="押二",M6*M8*M7/12*2*M11,IF(M10="押三",M6*M8*M7/12*3*M11,J11*M11)))/10000,0)</f>
        <v>0</v>
      </c>
      <c r="K10" s="2635" t="s">
        <v>2534</v>
      </c>
      <c r="L10" s="2098" t="s">
        <v>2528</v>
      </c>
      <c r="M10" s="2730" t="s">
        <v>2620</v>
      </c>
    </row>
    <row r="11" spans="1:37" ht="18" customHeight="1">
      <c r="A11" s="690"/>
      <c r="B11" s="2625" t="s">
        <v>2693</v>
      </c>
      <c r="C11" s="2416"/>
      <c r="D11" s="2868"/>
      <c r="E11" s="2098" t="s">
        <v>2529</v>
      </c>
      <c r="F11" s="696">
        <f ca="1">'数据-取费表'!B39</f>
        <v>1.4999999999999999E-2</v>
      </c>
      <c r="G11" s="2289"/>
      <c r="H11" s="2636"/>
      <c r="I11" s="2625" t="s">
        <v>2693</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2542</v>
      </c>
      <c r="I12" s="2672" t="s">
        <v>2527</v>
      </c>
      <c r="J12" s="2673"/>
      <c r="K12" s="2690"/>
      <c r="L12" s="2675"/>
      <c r="M12" s="2691"/>
    </row>
    <row r="13" spans="1:37" ht="18" customHeight="1" thickTop="1">
      <c r="A13" s="2667">
        <v>2</v>
      </c>
      <c r="B13" s="2668" t="s">
        <v>915</v>
      </c>
      <c r="C13" s="692">
        <f ca="1">ROUND(C29*F13,0)</f>
        <v>40615</v>
      </c>
      <c r="D13" s="2669" t="s">
        <v>916</v>
      </c>
      <c r="E13" s="2669" t="s">
        <v>917</v>
      </c>
      <c r="F13" s="2670">
        <f ca="1">INDIRECT("'数据-取费表'!y"&amp;$G$1)</f>
        <v>0.82</v>
      </c>
      <c r="G13" s="2289"/>
      <c r="H13" s="2667">
        <v>2</v>
      </c>
      <c r="I13" s="2668" t="s">
        <v>915</v>
      </c>
      <c r="J13" s="2622">
        <f ca="1">ROUND(J14*J15,0)</f>
        <v>0</v>
      </c>
      <c r="K13" s="2677" t="s">
        <v>916</v>
      </c>
      <c r="L13" s="2688"/>
      <c r="M13" s="2689"/>
    </row>
    <row r="14" spans="1:37" ht="18" customHeight="1">
      <c r="A14" s="2439" t="s">
        <v>2368</v>
      </c>
      <c r="B14" s="684" t="s">
        <v>359</v>
      </c>
      <c r="C14" s="702">
        <f ca="1">INDIRECT("'数据-取费表'!m"&amp;$G$1)+INDIRECT("'数据-取费表'!t"&amp;$G$1)</f>
        <v>30326</v>
      </c>
      <c r="D14" s="2216" t="s">
        <v>918</v>
      </c>
      <c r="E14" s="2215"/>
      <c r="F14" s="703"/>
      <c r="G14" s="2289"/>
      <c r="H14" s="2439" t="s">
        <v>2371</v>
      </c>
      <c r="I14" s="684" t="s">
        <v>919</v>
      </c>
      <c r="J14" s="313">
        <f ca="1">C29</f>
        <v>49531</v>
      </c>
      <c r="K14" s="303"/>
      <c r="L14" s="700"/>
      <c r="M14" s="701"/>
    </row>
    <row r="15" spans="1:37" s="706" customFormat="1" ht="18" customHeight="1" thickBot="1">
      <c r="A15" s="2439" t="s">
        <v>2603</v>
      </c>
      <c r="B15" s="684" t="s">
        <v>360</v>
      </c>
      <c r="C15" s="313">
        <f ca="1">ROUND(C14*F15,0)</f>
        <v>1516</v>
      </c>
      <c r="D15" s="704" t="s">
        <v>920</v>
      </c>
      <c r="E15" s="704" t="s">
        <v>921</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ROUND(INDIRECT("'数据-取费表'!m"&amp;$G$1)*F16,0)</f>
        <v>0</v>
      </c>
      <c r="D16" s="684" t="s">
        <v>920</v>
      </c>
      <c r="E16" s="684" t="s">
        <v>921</v>
      </c>
      <c r="F16" s="707">
        <f ca="1">IF(INDIRECT("'数据-取费表'!c"&amp;$G$1)="住宅",'数据-取费表'!B34,0)</f>
        <v>0</v>
      </c>
      <c r="G16" s="2289"/>
      <c r="H16" s="2667" t="s">
        <v>2336</v>
      </c>
      <c r="I16" s="2668" t="s">
        <v>922</v>
      </c>
      <c r="J16" s="692">
        <f ca="1">ROUND(J17+J22+J23+J24,0)</f>
        <v>1187</v>
      </c>
      <c r="K16" s="2677" t="s">
        <v>923</v>
      </c>
      <c r="L16" s="2678"/>
      <c r="M16" s="2629"/>
    </row>
    <row r="17" spans="1:37" s="706" customFormat="1" ht="18" customHeight="1">
      <c r="A17" s="2439" t="s">
        <v>2605</v>
      </c>
      <c r="B17" s="684" t="s">
        <v>362</v>
      </c>
      <c r="C17" s="313">
        <f ca="1">ROUND(F17*(F43+INDIRECT("'数据-取费表'!S"&amp;$G$1))/10000,0)</f>
        <v>1348</v>
      </c>
      <c r="D17" s="684" t="s">
        <v>924</v>
      </c>
      <c r="E17" s="684" t="s">
        <v>925</v>
      </c>
      <c r="F17" s="315">
        <f>'数据-取费表'!B35</f>
        <v>200</v>
      </c>
      <c r="G17" s="2290"/>
      <c r="H17" s="2439" t="s">
        <v>2371</v>
      </c>
      <c r="I17" s="684" t="s">
        <v>363</v>
      </c>
      <c r="J17" s="313">
        <f ca="1">ROUND(IF(项目基本情况!B11="自然人",J5*M17,J18+J19+J20),1)</f>
        <v>443.7</v>
      </c>
      <c r="K17" s="2216" t="s">
        <v>926</v>
      </c>
      <c r="L17" s="2214"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455</v>
      </c>
      <c r="D18" s="684" t="s">
        <v>920</v>
      </c>
      <c r="E18" s="684" t="s">
        <v>921</v>
      </c>
      <c r="F18" s="707">
        <f>'数据-取费表'!B36</f>
        <v>1.4999999999999999E-2</v>
      </c>
      <c r="G18" s="2290"/>
      <c r="H18" s="2439" t="s">
        <v>2368</v>
      </c>
      <c r="I18" s="684" t="s">
        <v>928</v>
      </c>
      <c r="J18" s="313">
        <f ca="1">ROUND(J5*M18/(1+'数据-取费表'!C42),2)</f>
        <v>0</v>
      </c>
      <c r="K18" s="2214" t="s">
        <v>929</v>
      </c>
      <c r="L18" s="684" t="s">
        <v>921</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2537</v>
      </c>
      <c r="B19" s="684" t="s">
        <v>366</v>
      </c>
      <c r="C19" s="313">
        <f ca="1">SUM(C14:C18)</f>
        <v>33645</v>
      </c>
      <c r="D19" s="471" t="s">
        <v>930</v>
      </c>
      <c r="E19" s="2224"/>
      <c r="F19" s="315"/>
      <c r="G19" s="2289"/>
      <c r="H19" s="2439" t="s">
        <v>2603</v>
      </c>
      <c r="I19" s="684" t="s">
        <v>931</v>
      </c>
      <c r="J19" s="313">
        <f ca="1">IF(K19="按租金收入计税",ROUND(J5*M19,2),ROUND(C29*M19*0.7,2))</f>
        <v>416.06</v>
      </c>
      <c r="K19" s="1301" t="s">
        <v>2410</v>
      </c>
      <c r="L19" s="684" t="s">
        <v>921</v>
      </c>
      <c r="M19" s="707">
        <f>IF(K19="按租金收入计税",'数据-取费表'!B51,'数据-取费表'!B50)</f>
        <v>1.2E-2</v>
      </c>
    </row>
    <row r="20" spans="1:37" s="706" customFormat="1" ht="18" customHeight="1">
      <c r="A20" s="2439" t="s">
        <v>2607</v>
      </c>
      <c r="B20" s="684" t="s">
        <v>367</v>
      </c>
      <c r="C20" s="313">
        <f ca="1">ROUND(C19*F20,0)</f>
        <v>1009</v>
      </c>
      <c r="D20" s="709" t="s">
        <v>932</v>
      </c>
      <c r="E20" s="684" t="s">
        <v>921</v>
      </c>
      <c r="F20" s="707">
        <f>'数据-取费表'!B37</f>
        <v>0.03</v>
      </c>
      <c r="G20" s="2290"/>
      <c r="H20" s="2439" t="s">
        <v>2604</v>
      </c>
      <c r="I20" s="496" t="s">
        <v>933</v>
      </c>
      <c r="J20" s="314">
        <f ca="1">ROUND(M20*M21/10000,2)</f>
        <v>27.65</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71</v>
      </c>
      <c r="D21" s="709" t="s">
        <v>937</v>
      </c>
      <c r="E21" s="684" t="s">
        <v>938</v>
      </c>
      <c r="F21" s="707">
        <f>'数据-取费表'!B38</f>
        <v>0.03</v>
      </c>
      <c r="G21" s="2290"/>
      <c r="H21" s="712"/>
      <c r="I21" s="693"/>
      <c r="J21" s="318"/>
      <c r="K21" s="713"/>
      <c r="L21" s="684" t="s">
        <v>939</v>
      </c>
      <c r="M21" s="685">
        <f ca="1">INDIRECT("'数据-取费表'!r"&amp;$G$1)</f>
        <v>23038.32</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2224"/>
      <c r="F22" s="315"/>
      <c r="G22" s="2289"/>
      <c r="H22" s="2439" t="s">
        <v>2378</v>
      </c>
      <c r="I22" s="684" t="s">
        <v>941</v>
      </c>
      <c r="J22" s="313">
        <f ca="1">ROUND(J14*M22,1)</f>
        <v>743</v>
      </c>
      <c r="K22" s="2214" t="s">
        <v>942</v>
      </c>
      <c r="L22" s="684" t="s">
        <v>921</v>
      </c>
      <c r="M22" s="714">
        <f ca="1">INDIRECT("'数据-取费表'!Ak"&amp;$G$1)</f>
        <v>1.4999999999999999E-2</v>
      </c>
    </row>
    <row r="23" spans="1:37" s="706" customFormat="1" ht="18" customHeight="1">
      <c r="A23" s="2439" t="s">
        <v>2368</v>
      </c>
      <c r="B23" s="684" t="s">
        <v>2523</v>
      </c>
      <c r="C23" s="313">
        <f ca="1">IF('数据-取费表'!B22&lt;=1,ROUND(C19*F24*F23/2,0)+ROUND(C20*F24*F23/2,0),ROUND(C19*(POWER((1+F24),F23/2)-1),0)+ROUND(C20*(POWER((1+F24),F23/2)-1),0))</f>
        <v>1646</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ROUND(J13*M23,1)</f>
        <v>0</v>
      </c>
      <c r="K23" s="2214" t="s">
        <v>944</v>
      </c>
      <c r="L23" s="684" t="s">
        <v>921</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ROUND(J5*M24,1)</f>
        <v>0</v>
      </c>
      <c r="K24" s="2682" t="s">
        <v>947</v>
      </c>
      <c r="L24" s="2680" t="s">
        <v>921</v>
      </c>
      <c r="M24" s="2676">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2224"/>
      <c r="F25" s="315"/>
      <c r="G25" s="2289"/>
      <c r="H25" s="2667" t="s">
        <v>2351</v>
      </c>
      <c r="I25" s="2684" t="s">
        <v>949</v>
      </c>
      <c r="J25" s="692">
        <f ca="1">J5-J16</f>
        <v>-1187</v>
      </c>
      <c r="K25" s="2685" t="s">
        <v>950</v>
      </c>
      <c r="L25" s="2686"/>
      <c r="M25" s="2687"/>
    </row>
    <row r="26" spans="1:37" ht="18" customHeight="1">
      <c r="A26" s="2439" t="s">
        <v>2368</v>
      </c>
      <c r="B26" s="684" t="s">
        <v>2524</v>
      </c>
      <c r="C26" s="313">
        <f ca="1">ROUND((C19+C20)*F26,0)</f>
        <v>8664</v>
      </c>
      <c r="D26" s="709" t="s">
        <v>951</v>
      </c>
      <c r="E26" s="695" t="s">
        <v>952</v>
      </c>
      <c r="F26" s="694">
        <f ca="1">INDIRECT("'数据-取费表'!q"&amp;$G$1)</f>
        <v>0.25</v>
      </c>
      <c r="G26" s="2289"/>
      <c r="H26" s="681" t="s">
        <v>2354</v>
      </c>
      <c r="I26" s="682" t="s">
        <v>953</v>
      </c>
      <c r="J26" s="683">
        <f ca="1">IF(J5&lt;&gt;0,ROUND(J25*(1-((1+M28)/(1+M26))^M27)/(M26-M28),0),0)</f>
        <v>0</v>
      </c>
      <c r="K26" s="710" t="s">
        <v>954</v>
      </c>
      <c r="L26" s="684" t="s">
        <v>960</v>
      </c>
      <c r="M26" s="694">
        <f ca="1">INDIRECT("'数据-取费表'!I"&amp;$G$1)</f>
        <v>5.5E-2</v>
      </c>
    </row>
    <row r="27" spans="1:37" ht="18" customHeight="1">
      <c r="A27" s="2439" t="s">
        <v>2374</v>
      </c>
      <c r="B27" s="684" t="s">
        <v>375</v>
      </c>
      <c r="C27" s="313">
        <f ca="1">ROUND(F21*F26,4)</f>
        <v>7.4999999999999997E-3</v>
      </c>
      <c r="D27" s="709" t="s">
        <v>955</v>
      </c>
      <c r="E27" s="704"/>
      <c r="F27" s="705"/>
      <c r="G27" s="2289"/>
      <c r="H27" s="686"/>
      <c r="I27" s="687"/>
      <c r="J27" s="688"/>
      <c r="K27" s="718" t="s">
        <v>956</v>
      </c>
      <c r="L27" s="684" t="s">
        <v>961</v>
      </c>
      <c r="M27" s="719">
        <f ca="1">INDIRECT("'数据-取费表'!ag"&amp;$G$1)</f>
        <v>0</v>
      </c>
    </row>
    <row r="28" spans="1:37" s="706" customFormat="1" ht="18" customHeight="1">
      <c r="A28" s="2439" t="s">
        <v>2376</v>
      </c>
      <c r="B28" s="684" t="s">
        <v>376</v>
      </c>
      <c r="C28" s="313">
        <f>ROUND(F28/(1+'数据-取费表'!C42),4)</f>
        <v>5.33E-2</v>
      </c>
      <c r="D28" s="709" t="s">
        <v>962</v>
      </c>
      <c r="E28" s="684" t="s">
        <v>921</v>
      </c>
      <c r="F28" s="707">
        <f>'数据-取费表'!B41</f>
        <v>5.6000000000000001E-2</v>
      </c>
      <c r="G28" s="2290"/>
      <c r="H28" s="690"/>
      <c r="I28" s="691"/>
      <c r="J28" s="692"/>
      <c r="K28" s="713"/>
      <c r="L28" s="684" t="s">
        <v>963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49531</v>
      </c>
      <c r="D29" s="2682"/>
      <c r="E29" s="2680"/>
      <c r="F29" s="2683"/>
      <c r="G29" s="2290"/>
      <c r="H29" s="720" t="s">
        <v>2361</v>
      </c>
      <c r="I29" s="721" t="s">
        <v>957</v>
      </c>
      <c r="J29" s="722">
        <f ca="1">ROUND(J26/(1+F40)^F41,0)</f>
        <v>0</v>
      </c>
      <c r="K29" s="723" t="s">
        <v>958</v>
      </c>
      <c r="L29" s="724"/>
      <c r="M29" s="725">
        <f ca="1">INDIRECT("'数据-取费表'!k"&amp;$G$1)</f>
        <v>67391.819999999992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2564</v>
      </c>
      <c r="D30" s="2677" t="s">
        <v>923</v>
      </c>
      <c r="E30" s="2678"/>
      <c r="F30" s="2629"/>
      <c r="G30" s="2289"/>
      <c r="H30" s="1278"/>
      <c r="I30" s="1279"/>
      <c r="J30" s="1280"/>
      <c r="K30" s="1281"/>
      <c r="L30" s="1282"/>
      <c r="M30" s="1283"/>
    </row>
    <row r="31" spans="1:37" ht="18" customHeight="1">
      <c r="A31" s="2439" t="s">
        <v>2537</v>
      </c>
      <c r="B31" s="684" t="s">
        <v>363</v>
      </c>
      <c r="C31" s="313">
        <f ca="1">ROUND(IF(项目基本情况!B11="自然人",C5*F31,C32+C33+C34),1)</f>
        <v>1401.4</v>
      </c>
      <c r="D31" s="2216" t="s">
        <v>926</v>
      </c>
      <c r="E31" s="2214"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2602</v>
      </c>
      <c r="B32" s="684" t="s">
        <v>928</v>
      </c>
      <c r="C32" s="313">
        <f ca="1">IF(项目基本情况!B11="自然人","——",ROUND(C5*F32/(1+'数据-取费表'!C42),2))</f>
        <v>957.71</v>
      </c>
      <c r="D32" s="2214" t="s">
        <v>929</v>
      </c>
      <c r="E32" s="684" t="s">
        <v>921</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IF(项目基本情况!B11="自然人","——",IF(D33="按租金收入计税",ROUND(C5*F33,2),IF(D33="按房产原值计税",ROUND(C29*F33*0.7,2),INDIRECT("'数据-取费表'!Aj"&amp;$G$1))))</f>
        <v>416.06</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966</v>
      </c>
      <c r="C34" s="314">
        <f ca="1">IF(项目基本情况!B11="自然人","——",ROUND(F34*F35/10000,2))</f>
        <v>27.65</v>
      </c>
      <c r="D34" s="710" t="s">
        <v>967</v>
      </c>
      <c r="E34" s="684" t="s">
        <v>968</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23038.32</v>
      </c>
      <c r="G35" s="2289"/>
      <c r="H35" s="1278"/>
      <c r="I35" s="2882"/>
      <c r="J35" s="2883"/>
      <c r="K35" s="1291"/>
      <c r="L35" s="1290"/>
      <c r="M35" s="1290"/>
    </row>
    <row r="36" spans="1:18" ht="18" customHeight="1">
      <c r="A36" s="2696" t="s">
        <v>2378</v>
      </c>
      <c r="B36" s="684" t="s">
        <v>941</v>
      </c>
      <c r="C36" s="313">
        <f ca="1">ROUND(C29*F36,1)</f>
        <v>743</v>
      </c>
      <c r="D36" s="2214" t="s">
        <v>971</v>
      </c>
      <c r="E36" s="684" t="s">
        <v>972</v>
      </c>
      <c r="F36" s="714">
        <f ca="1">INDIRECT("'数据-取费表'!Ak"&amp;$G$1)</f>
        <v>1.4999999999999999E-2</v>
      </c>
      <c r="G36" s="2289"/>
      <c r="H36" s="1290"/>
      <c r="I36" s="2882"/>
      <c r="J36" s="2883"/>
      <c r="K36" s="1294"/>
      <c r="L36" s="1290"/>
      <c r="M36" s="1290"/>
    </row>
    <row r="37" spans="1:18" ht="18" customHeight="1">
      <c r="A37" s="2439" t="s">
        <v>2608</v>
      </c>
      <c r="B37" s="684" t="s">
        <v>368</v>
      </c>
      <c r="C37" s="313">
        <f ca="1">ROUND(C13*F37,1)</f>
        <v>60.9</v>
      </c>
      <c r="D37" s="2214" t="s">
        <v>369</v>
      </c>
      <c r="E37" s="684" t="s">
        <v>370</v>
      </c>
      <c r="F37" s="716">
        <f ca="1">INDIRECT("'数据-取费表'!Al"&amp;$G$1)</f>
        <v>1.5E-3</v>
      </c>
      <c r="G37" s="2289"/>
      <c r="H37" s="1290"/>
      <c r="I37" s="2882"/>
      <c r="J37" s="2883"/>
      <c r="K37" s="1294"/>
      <c r="L37" s="1290"/>
      <c r="M37" s="1290"/>
    </row>
    <row r="38" spans="1:18" ht="18" customHeight="1" thickBot="1">
      <c r="A38" s="2679" t="s">
        <v>2609</v>
      </c>
      <c r="B38" s="2680" t="s">
        <v>367</v>
      </c>
      <c r="C38" s="2681">
        <f ca="1">ROUND(C5*F38,1)</f>
        <v>359.1</v>
      </c>
      <c r="D38" s="2682" t="s">
        <v>371</v>
      </c>
      <c r="E38" s="2680" t="s">
        <v>370</v>
      </c>
      <c r="F38" s="2676">
        <f ca="1">INDIRECT("'数据-取费表'!Am"&amp;$G$1)</f>
        <v>0.02</v>
      </c>
      <c r="G38" s="2289"/>
      <c r="H38" s="1290"/>
      <c r="I38" s="2882"/>
      <c r="J38" s="2883"/>
      <c r="K38" s="1295"/>
      <c r="L38" s="1290"/>
      <c r="M38" s="1290"/>
    </row>
    <row r="39" spans="1:18" ht="24.6" customHeight="1" thickTop="1">
      <c r="A39" s="2667" t="s">
        <v>2351</v>
      </c>
      <c r="B39" s="2684" t="s">
        <v>377</v>
      </c>
      <c r="C39" s="692">
        <f ca="1">C5-C30</f>
        <v>15393</v>
      </c>
      <c r="D39" s="2685" t="s">
        <v>378</v>
      </c>
      <c r="E39" s="2686"/>
      <c r="F39" s="2687"/>
      <c r="G39" s="2289"/>
      <c r="H39" s="1290"/>
      <c r="I39" s="2882"/>
      <c r="J39" s="2883"/>
      <c r="K39" s="1295"/>
      <c r="L39" s="1290"/>
      <c r="M39" s="1290"/>
    </row>
    <row r="40" spans="1:18" ht="18" customHeight="1">
      <c r="A40" s="681" t="s">
        <v>2354</v>
      </c>
      <c r="B40" s="682" t="s">
        <v>379</v>
      </c>
      <c r="C40" s="683">
        <f ca="1">ROUND(C39*(1-((1+F42)/(1+F40))^F41)/(F40-F42),0)</f>
        <v>327868</v>
      </c>
      <c r="D40" s="710" t="s">
        <v>373</v>
      </c>
      <c r="E40" s="684" t="s">
        <v>374</v>
      </c>
      <c r="F40" s="694">
        <f ca="1">INDIRECT("'数据-取费表'!I"&amp;$G$1)</f>
        <v>5.5E-2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26.88</v>
      </c>
      <c r="G41" s="2289"/>
      <c r="H41" s="1192"/>
      <c r="I41" s="2882"/>
      <c r="J41" s="2883"/>
      <c r="K41" s="1294"/>
      <c r="L41" s="1192"/>
      <c r="M41" s="1192"/>
    </row>
    <row r="42" spans="1:18" ht="18" customHeight="1">
      <c r="A42" s="690"/>
      <c r="B42" s="691"/>
      <c r="C42" s="692"/>
      <c r="D42" s="713"/>
      <c r="E42" s="684" t="s">
        <v>382</v>
      </c>
      <c r="F42" s="694">
        <f ca="1">INDIRECT("'数据-取费表'!v"&amp;$G$1)</f>
        <v>0.04</v>
      </c>
      <c r="G42" s="2289"/>
      <c r="H42" s="1192"/>
      <c r="I42" s="2882"/>
      <c r="J42" s="2883"/>
      <c r="K42" s="1294"/>
      <c r="L42" s="1192"/>
      <c r="M42" s="1192"/>
    </row>
    <row r="43" spans="1:18" ht="18" customHeight="1" thickBot="1">
      <c r="A43" s="720" t="s">
        <v>2361</v>
      </c>
      <c r="B43" s="721" t="s">
        <v>383</v>
      </c>
      <c r="C43" s="722">
        <f ca="1">ROUND(C40*10000/F43,0)</f>
        <v>48651</v>
      </c>
      <c r="D43" s="723" t="s">
        <v>384</v>
      </c>
      <c r="E43" s="724" t="s">
        <v>385</v>
      </c>
      <c r="F43" s="725">
        <f ca="1">INDIRECT("'数据-取费表'!k"&amp;$G$1)</f>
        <v>67391.819999999992</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2483</v>
      </c>
      <c r="P45" s="1296"/>
      <c r="Q45" s="1296"/>
      <c r="R45" s="1296"/>
    </row>
    <row r="46" spans="1:18" s="1455" customFormat="1" ht="21" thickBot="1">
      <c r="A46" s="2397" t="s">
        <v>2323</v>
      </c>
      <c r="B46" s="2398"/>
      <c r="C46" s="2726">
        <f ca="1">C68-C40</f>
        <v>-345178</v>
      </c>
      <c r="D46" s="2727" t="str">
        <f>C2</f>
        <v>万元</v>
      </c>
      <c r="E46" s="1433"/>
      <c r="F46" s="1433"/>
      <c r="I46" s="2579" t="s">
        <v>2418</v>
      </c>
      <c r="J46" s="2580"/>
      <c r="K46" s="2581"/>
      <c r="L46" s="2583" t="str">
        <f ca="1">IF(M47="住宅",0,IF(L48&gt;J51,L60,J60))</f>
        <v>0</v>
      </c>
      <c r="O46" s="2595" t="s">
        <v>2461</v>
      </c>
      <c r="P46" s="2596" t="s">
        <v>2462</v>
      </c>
      <c r="Q46" s="2597" t="s">
        <v>2460</v>
      </c>
      <c r="R46" s="2597" t="s">
        <v>2463</v>
      </c>
    </row>
    <row r="47" spans="1:18" s="1455" customFormat="1" ht="15.75" thickBot="1">
      <c r="A47" s="2399" t="s">
        <v>2325</v>
      </c>
      <c r="B47" s="2435" t="s">
        <v>2326</v>
      </c>
      <c r="C47" s="2731" t="s">
        <v>2327</v>
      </c>
      <c r="D47" s="2435" t="s">
        <v>2328</v>
      </c>
      <c r="E47" s="2538" t="s">
        <v>2329</v>
      </c>
      <c r="F47" s="2539"/>
      <c r="G47" s="1457"/>
      <c r="I47" s="2554" t="s">
        <v>2411</v>
      </c>
      <c r="J47" s="2555" t="s">
        <v>3107</v>
      </c>
      <c r="K47" s="2564" t="s">
        <v>2434</v>
      </c>
      <c r="L47" s="2565">
        <f ca="1">INDIRECT("'数据-取费表'!d"&amp;$G$1)</f>
        <v>40</v>
      </c>
      <c r="M47" s="2585" t="str">
        <f>IF(ISNUMBER(FIND("住宅",C1)),"住宅","非住宅")</f>
        <v>非住宅</v>
      </c>
      <c r="O47" s="2588" t="s">
        <v>2446</v>
      </c>
      <c r="P47" s="2598" t="s">
        <v>2464</v>
      </c>
      <c r="Q47" s="2589">
        <f ca="1">C40+J29</f>
        <v>327868</v>
      </c>
      <c r="R47" s="2589" t="s">
        <v>2465</v>
      </c>
    </row>
    <row r="48" spans="1:18" s="1455" customFormat="1" ht="47.25" thickBot="1">
      <c r="A48" s="2712" t="s">
        <v>2614</v>
      </c>
      <c r="B48" s="682" t="s">
        <v>2330</v>
      </c>
      <c r="C48" s="2722">
        <f ca="1">C49+C53+C55</f>
        <v>0</v>
      </c>
      <c r="D48" s="2716"/>
      <c r="E48" s="2717"/>
      <c r="F48" s="2419"/>
      <c r="G48" s="1457"/>
      <c r="H48" s="1458"/>
      <c r="I48" s="2545" t="s">
        <v>2412</v>
      </c>
      <c r="J48" s="2556" t="s">
        <v>2413</v>
      </c>
      <c r="K48" s="2566" t="s">
        <v>2435</v>
      </c>
      <c r="L48" s="2169">
        <f ca="1">INDIRECT("'数据-取费表'!f"&amp;$G$1)</f>
        <v>26.88</v>
      </c>
      <c r="O48" s="2588" t="s">
        <v>2447</v>
      </c>
      <c r="P48" s="2598" t="s">
        <v>2466</v>
      </c>
      <c r="Q48" s="2589" t="str">
        <f ca="1">J60</f>
        <v>0</v>
      </c>
      <c r="R48" s="2589" t="s">
        <v>2474</v>
      </c>
    </row>
    <row r="49" spans="1:18" s="1455" customFormat="1" ht="15.75" thickBot="1">
      <c r="A49" s="2432" t="s">
        <v>2615</v>
      </c>
      <c r="B49" s="2715" t="s">
        <v>2617</v>
      </c>
      <c r="C49" s="2724">
        <f ca="1">ROUND(F49*F51*F50*(1-F52)/10000,0)</f>
        <v>0</v>
      </c>
      <c r="D49" s="2534" t="s">
        <v>2331</v>
      </c>
      <c r="E49" s="2537" t="s">
        <v>2324</v>
      </c>
      <c r="F49" s="2540"/>
      <c r="G49" s="1459"/>
      <c r="H49" s="1458"/>
      <c r="I49" s="2545" t="s">
        <v>2432</v>
      </c>
      <c r="J49" s="2557">
        <v>2006</v>
      </c>
      <c r="K49" s="2567" t="s">
        <v>2437</v>
      </c>
      <c r="L49" s="2568"/>
      <c r="O49" s="2590" t="s">
        <v>2448</v>
      </c>
      <c r="P49" s="2598" t="s">
        <v>2467</v>
      </c>
      <c r="Q49" s="2589">
        <f ca="1">C29</f>
        <v>49531</v>
      </c>
      <c r="R49" s="2589" t="s">
        <v>2465</v>
      </c>
    </row>
    <row r="50" spans="1:18" s="1455" customFormat="1" ht="15.75" thickBot="1">
      <c r="A50" s="2433"/>
      <c r="B50" s="2436"/>
      <c r="C50" s="2732"/>
      <c r="D50" s="2406"/>
      <c r="E50" s="2535" t="s">
        <v>2332</v>
      </c>
      <c r="F50" s="2536">
        <f ca="1">F7</f>
        <v>67391.819999999992</v>
      </c>
      <c r="H50" s="1458"/>
      <c r="I50" s="2545" t="s">
        <v>2414</v>
      </c>
      <c r="J50" s="2558">
        <f>SUMPRODUCT((I63:I65=J47)*(J62:L62=J48)*(J63:L65))</f>
        <v>60</v>
      </c>
      <c r="K50" s="2567" t="s">
        <v>2438</v>
      </c>
      <c r="L50" s="2568"/>
      <c r="M50" s="2562"/>
      <c r="O50" s="2590" t="s">
        <v>2449</v>
      </c>
      <c r="P50" s="2598" t="s">
        <v>2475</v>
      </c>
      <c r="Q50" s="2591" t="e">
        <f ca="1">J58</f>
        <v>#VALUE!</v>
      </c>
      <c r="R50" s="2589"/>
    </row>
    <row r="51" spans="1:18" s="1455" customFormat="1" ht="15.75" thickBot="1">
      <c r="A51" s="2434"/>
      <c r="B51" s="2436"/>
      <c r="C51" s="2437"/>
      <c r="D51" s="2406"/>
      <c r="E51" s="2438" t="s">
        <v>2333</v>
      </c>
      <c r="F51" s="685">
        <f ca="1">F8</f>
        <v>365</v>
      </c>
      <c r="I51" s="2559" t="s">
        <v>2419</v>
      </c>
      <c r="J51" s="2560">
        <f>IF(J49="",J50,J49+J50-YEAR('数据-取费表'!B2))</f>
        <v>49</v>
      </c>
      <c r="K51" s="2569" t="s">
        <v>2439</v>
      </c>
      <c r="L51" s="2582">
        <f ca="1">ROUND(-PV(INDIRECT("'数据-取费表'!h"&amp;$G$1),L48,(C39-C13*C76),0),0)</f>
        <v>174473</v>
      </c>
      <c r="M51" s="2563"/>
      <c r="O51" s="2590" t="s">
        <v>2450</v>
      </c>
      <c r="P51" s="2598" t="s">
        <v>2476</v>
      </c>
      <c r="Q51" s="2591">
        <f>J52</f>
        <v>0.09</v>
      </c>
      <c r="R51" s="2589"/>
    </row>
    <row r="52" spans="1:18" s="1455" customFormat="1" ht="15.75" thickBot="1">
      <c r="A52" s="2434"/>
      <c r="B52" s="2436"/>
      <c r="C52" s="2437"/>
      <c r="D52" s="2406"/>
      <c r="E52" s="2438" t="s">
        <v>2334</v>
      </c>
      <c r="F52" s="2533"/>
      <c r="I52" s="2561" t="s">
        <v>2442</v>
      </c>
      <c r="J52" s="2575">
        <v>0.09</v>
      </c>
      <c r="K52" s="2561" t="s">
        <v>2427</v>
      </c>
      <c r="L52" s="2575"/>
      <c r="M52" s="2398"/>
      <c r="O52" s="2590" t="s">
        <v>2451</v>
      </c>
      <c r="P52" s="2598" t="s">
        <v>2468</v>
      </c>
      <c r="Q52" s="2589">
        <f ca="1">J53</f>
        <v>26.88</v>
      </c>
      <c r="R52" s="2589" t="s">
        <v>2469</v>
      </c>
    </row>
    <row r="53" spans="1:18" s="1455" customFormat="1" ht="43.5" thickBot="1">
      <c r="A53" s="2827" t="s">
        <v>2616</v>
      </c>
      <c r="B53" s="433" t="s">
        <v>2526</v>
      </c>
      <c r="C53" s="698">
        <f ca="1">ROUND(IF(F53="押一",F49*F51*F50/12*F11,IF(F53="押二",F49*F51*F50/12*2*F11,IF(F53="押三",F49*F51*F50/12*3*F11,C54*F11)))/10000,0)</f>
        <v>0</v>
      </c>
      <c r="D53" s="2635" t="s">
        <v>2534</v>
      </c>
      <c r="E53" s="2098" t="s">
        <v>2528</v>
      </c>
      <c r="F53" s="2829"/>
      <c r="I53" s="2571" t="s">
        <v>2444</v>
      </c>
      <c r="J53" s="2572">
        <f ca="1">IF(M47="住宅",J51,MIN(J51,L48))</f>
        <v>26.88</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2452</v>
      </c>
      <c r="P53" s="2598" t="s">
        <v>2470</v>
      </c>
      <c r="Q53" s="2589">
        <f ca="1">Q47+Q48</f>
        <v>327868</v>
      </c>
      <c r="R53" s="2589" t="s">
        <v>2453</v>
      </c>
    </row>
    <row r="54" spans="1:18" s="1455" customFormat="1" ht="16.5" thickBot="1">
      <c r="A54" s="2828"/>
      <c r="B54" s="2625" t="s">
        <v>2693</v>
      </c>
      <c r="C54" s="2416"/>
      <c r="D54" s="2635"/>
      <c r="E54" s="2779"/>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2711"/>
      <c r="F55" s="2541"/>
      <c r="I55" s="3319" t="s">
        <v>2420</v>
      </c>
      <c r="J55" s="3318" t="e">
        <f ca="1">ROUND(IF(J47="钢混",J57/J50,1-(1-2%)*(J50-J57)/J50),3)</f>
        <v>#VALUE!</v>
      </c>
      <c r="K55" s="2552" t="s">
        <v>2421</v>
      </c>
      <c r="L55" s="2574" t="s">
        <v>3108</v>
      </c>
      <c r="O55" s="2595" t="s">
        <v>2461</v>
      </c>
      <c r="P55" s="2596" t="s">
        <v>2462</v>
      </c>
      <c r="Q55" s="2597" t="s">
        <v>2460</v>
      </c>
      <c r="R55" s="2597" t="s">
        <v>2463</v>
      </c>
    </row>
    <row r="56" spans="1:18" s="1455" customFormat="1" ht="44.25" thickTop="1" thickBot="1">
      <c r="A56" s="2410">
        <v>2</v>
      </c>
      <c r="B56" s="2411" t="s">
        <v>2335</v>
      </c>
      <c r="C56" s="608">
        <f ca="1">C13</f>
        <v>40615</v>
      </c>
      <c r="D56" s="2699"/>
      <c r="E56" s="2412"/>
      <c r="F56" s="2541"/>
      <c r="I56" s="2544" t="s">
        <v>2422</v>
      </c>
      <c r="J56" s="2573" t="s">
        <v>3050</v>
      </c>
      <c r="K56" s="2545" t="s">
        <v>2426</v>
      </c>
      <c r="L56" s="2169" t="str">
        <f ca="1">IF(L48&lt;J51,"——",L48-J51)</f>
        <v>——</v>
      </c>
      <c r="O56" s="2588" t="s">
        <v>2446</v>
      </c>
      <c r="P56" s="2598" t="s">
        <v>2464</v>
      </c>
      <c r="Q56" s="2589">
        <f ca="1">C40+J29</f>
        <v>327868</v>
      </c>
      <c r="R56" s="2589" t="s">
        <v>2465</v>
      </c>
    </row>
    <row r="57" spans="1:18" s="1455" customFormat="1" ht="29.25" thickBot="1">
      <c r="A57" s="2542"/>
      <c r="B57" s="2403" t="s">
        <v>2365</v>
      </c>
      <c r="C57" s="614">
        <f ca="1">C29</f>
        <v>49531</v>
      </c>
      <c r="D57" s="2414"/>
      <c r="E57" s="2415"/>
      <c r="F57" s="2543"/>
      <c r="I57" s="2546" t="s">
        <v>2443</v>
      </c>
      <c r="J57" s="2550" t="str">
        <f ca="1">IF(OR(M47="住宅",J51&lt;L48,J56="是"),"——",J51-L48)</f>
        <v>——</v>
      </c>
      <c r="K57" s="2545" t="s">
        <v>2895</v>
      </c>
      <c r="L57" s="2169" t="str">
        <f ca="1">IF(L48&lt;J51,"——",IF(L55="比较法",L49,IF(L55="基准地价",L50,L51)))</f>
        <v>——</v>
      </c>
      <c r="O57" s="2588" t="s">
        <v>2447</v>
      </c>
      <c r="P57" s="2598" t="s">
        <v>2471</v>
      </c>
      <c r="Q57" s="2589">
        <f ca="1">L60</f>
        <v>0</v>
      </c>
      <c r="R57" s="2589" t="s">
        <v>2486</v>
      </c>
    </row>
    <row r="58" spans="1:18" s="1455" customFormat="1" ht="29.25" thickBot="1">
      <c r="A58" s="697" t="s">
        <v>2336</v>
      </c>
      <c r="B58" s="2411" t="s">
        <v>2366</v>
      </c>
      <c r="C58" s="698">
        <f ca="1">ROUND(C59+C64+C65+C66,0)</f>
        <v>1248</v>
      </c>
      <c r="D58" s="2417" t="s">
        <v>2367</v>
      </c>
      <c r="E58" s="2418"/>
      <c r="F58" s="2419"/>
      <c r="I58" s="2546" t="s">
        <v>2423</v>
      </c>
      <c r="J58" s="3320" t="e">
        <f ca="1">IF(J55&lt;0.4,0.4,J55)</f>
        <v>#VALUE!</v>
      </c>
      <c r="K58" s="2569" t="s">
        <v>2896</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ROUND(IF(项目基本情况!B11="自然人",C48*F59,C60+C61+C62),1)</f>
        <v>443.7</v>
      </c>
      <c r="D59" s="2420" t="s">
        <v>2337</v>
      </c>
      <c r="E59" s="2421" t="s">
        <v>2338</v>
      </c>
      <c r="F59" s="708" t="str">
        <f ca="1">IF(项目基本情况!B11="企业","",IF(INDIRECT("'数据-取费表'!c"&amp;$G$1)="住宅",5%,IF(F49*F50*F51/12/(1+'数据-取费表'!C42)&gt;20000,12%,7%)))</f>
        <v/>
      </c>
      <c r="I59" s="2546" t="s">
        <v>2424</v>
      </c>
      <c r="J59" s="2550" t="str">
        <f ca="1">IF(OR(M47="住宅",J51&lt;L48,J56="是"),"——",ROUND(C29*J58,0))</f>
        <v>——</v>
      </c>
      <c r="K59" s="2569" t="s">
        <v>2897</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2339</v>
      </c>
      <c r="C60" s="313">
        <f ca="1">IF(项目基本情况!B11="自然人","——",ROUND(C48*F60/(1+'数据-取费表'!C42),2))</f>
        <v>0</v>
      </c>
      <c r="D60" s="2421" t="s">
        <v>2340</v>
      </c>
      <c r="E60" s="2403" t="s">
        <v>2341</v>
      </c>
      <c r="F60" s="717">
        <f t="shared" ref="F60:F66" si="0">F32</f>
        <v>5.6000000000000001E-2</v>
      </c>
      <c r="I60" s="2547" t="s">
        <v>2425</v>
      </c>
      <c r="J60" s="2551" t="str">
        <f ca="1">IF(OR(M47="住宅",J51&lt;L48,J56="是"),"0",ROUND(J59/(1+J52)^J53,0))</f>
        <v>0</v>
      </c>
      <c r="K60" s="2553" t="s">
        <v>2428</v>
      </c>
      <c r="L60" s="2551">
        <f ca="1">IF(OR(M47="住宅",L48&lt;J51),0,ROUND(L57*(L58/L59-1),0))</f>
        <v>0</v>
      </c>
      <c r="O60" s="2590" t="s">
        <v>2450</v>
      </c>
      <c r="P60" s="2598" t="s">
        <v>2480</v>
      </c>
      <c r="Q60" s="2589">
        <f ca="1">L58</f>
        <v>0</v>
      </c>
      <c r="R60" s="2589" t="s">
        <v>2455</v>
      </c>
    </row>
    <row r="61" spans="1:18" s="1455" customFormat="1" ht="20.25" thickBot="1">
      <c r="A61" s="2439" t="s">
        <v>2369</v>
      </c>
      <c r="B61" s="2403" t="s">
        <v>2342</v>
      </c>
      <c r="C61" s="313">
        <f ca="1">IF(项目基本情况!B11="自然人","——",IF(D61="按租金收入计税",ROUND(C48*F61,2),IF(D61="按房产原值计税",ROUND(C57*F61*0.7,2),INDIRECT("'数据-取费表'!Aj"&amp;$G$1))))</f>
        <v>416.06</v>
      </c>
      <c r="D61" s="1301" t="s">
        <v>2410</v>
      </c>
      <c r="E61" s="2403" t="s">
        <v>2341</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2343</v>
      </c>
      <c r="C62" s="314">
        <f ca="1">IF(项目基本情况!B11="自然人","——",ROUND(F62*F63/10000,2))</f>
        <v>27.65</v>
      </c>
      <c r="D62" s="2422" t="s">
        <v>2344</v>
      </c>
      <c r="E62" s="2403" t="s">
        <v>2345</v>
      </c>
      <c r="F62" s="711">
        <f t="shared" si="0"/>
        <v>12</v>
      </c>
      <c r="I62" s="2548" t="s">
        <v>2415</v>
      </c>
      <c r="J62" s="2549" t="s">
        <v>2416</v>
      </c>
      <c r="K62" s="2549" t="s">
        <v>2417</v>
      </c>
      <c r="L62" s="2549" t="s">
        <v>2413</v>
      </c>
      <c r="M62" s="3321" t="s">
        <v>3033</v>
      </c>
      <c r="O62" s="2588" t="s">
        <v>2452</v>
      </c>
      <c r="P62" s="2598" t="s">
        <v>2470</v>
      </c>
      <c r="Q62" s="2589">
        <f ca="1">Q56+Q57</f>
        <v>327868</v>
      </c>
      <c r="R62" s="2589" t="s">
        <v>2453</v>
      </c>
    </row>
    <row r="63" spans="1:18" s="1455" customFormat="1" ht="16.5" thickBot="1">
      <c r="A63" s="712"/>
      <c r="B63" s="2409"/>
      <c r="C63" s="318"/>
      <c r="D63" s="2423"/>
      <c r="E63" s="2403" t="s">
        <v>2346</v>
      </c>
      <c r="F63" s="685">
        <f t="shared" ca="1" si="0"/>
        <v>23038.32</v>
      </c>
      <c r="I63" s="2548" t="s">
        <v>2429</v>
      </c>
      <c r="J63" s="3324">
        <v>70</v>
      </c>
      <c r="K63" s="3324">
        <v>50</v>
      </c>
      <c r="L63" s="3324">
        <v>80</v>
      </c>
      <c r="M63" s="3322">
        <v>0.02</v>
      </c>
      <c r="O63" s="2592" t="s">
        <v>2484</v>
      </c>
      <c r="P63" s="1296"/>
      <c r="Q63" s="1296"/>
      <c r="R63" s="1296"/>
    </row>
    <row r="64" spans="1:18" s="1455" customFormat="1" ht="15.75" thickBot="1">
      <c r="A64" s="2439" t="s">
        <v>2378</v>
      </c>
      <c r="B64" s="2403" t="s">
        <v>2347</v>
      </c>
      <c r="C64" s="313">
        <f ca="1">ROUND(C57*F64,1)</f>
        <v>743</v>
      </c>
      <c r="D64" s="2421" t="s">
        <v>2348</v>
      </c>
      <c r="E64" s="2403" t="s">
        <v>2341</v>
      </c>
      <c r="F64" s="714">
        <f t="shared" ca="1" si="0"/>
        <v>1.4999999999999999E-2</v>
      </c>
      <c r="I64" s="2548" t="s">
        <v>2430</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ROUND(C56*F65,1)</f>
        <v>60.9</v>
      </c>
      <c r="D65" s="2421" t="s">
        <v>2349</v>
      </c>
      <c r="E65" s="2403" t="s">
        <v>2341</v>
      </c>
      <c r="F65" s="716">
        <f t="shared" ca="1" si="0"/>
        <v>1.5E-3</v>
      </c>
      <c r="I65" s="2548" t="s">
        <v>2431</v>
      </c>
      <c r="J65" s="3324">
        <v>40</v>
      </c>
      <c r="K65" s="3324">
        <v>30</v>
      </c>
      <c r="L65" s="3324">
        <v>50</v>
      </c>
      <c r="M65" s="3322">
        <v>0.02</v>
      </c>
      <c r="O65" s="2588" t="s">
        <v>2446</v>
      </c>
      <c r="P65" s="2598" t="s">
        <v>2464</v>
      </c>
      <c r="Q65" s="2589">
        <f ca="1">C40+J29</f>
        <v>327868</v>
      </c>
      <c r="R65" s="2589" t="s">
        <v>2465</v>
      </c>
    </row>
    <row r="66" spans="1:18" s="1455" customFormat="1" ht="20.25" thickBot="1">
      <c r="A66" s="2439" t="s">
        <v>2373</v>
      </c>
      <c r="B66" s="2403" t="s">
        <v>367</v>
      </c>
      <c r="C66" s="313">
        <f ca="1">ROUND(C48*F66,1)</f>
        <v>0</v>
      </c>
      <c r="D66" s="2421" t="s">
        <v>2350</v>
      </c>
      <c r="E66" s="2403" t="s">
        <v>2341</v>
      </c>
      <c r="F66" s="694">
        <f t="shared" ca="1" si="0"/>
        <v>0.02</v>
      </c>
      <c r="O66" s="2588" t="s">
        <v>2447</v>
      </c>
      <c r="P66" s="2598" t="s">
        <v>2471</v>
      </c>
      <c r="Q66" s="2589">
        <f ca="1">L60</f>
        <v>0</v>
      </c>
      <c r="R66" s="2589" t="s">
        <v>2454</v>
      </c>
    </row>
    <row r="67" spans="1:18" s="1455" customFormat="1" ht="24.75" thickBot="1">
      <c r="A67" s="2410" t="s">
        <v>2351</v>
      </c>
      <c r="B67" s="2424" t="s">
        <v>2352</v>
      </c>
      <c r="C67" s="698">
        <f ca="1">C48-C58</f>
        <v>-1248</v>
      </c>
      <c r="D67" s="2420" t="s">
        <v>2353</v>
      </c>
      <c r="E67" s="2425"/>
      <c r="F67" s="2426"/>
      <c r="O67" s="2590" t="s">
        <v>2448</v>
      </c>
      <c r="P67" s="2598" t="s">
        <v>2478</v>
      </c>
      <c r="Q67" s="2593">
        <f ca="1">L51</f>
        <v>174473</v>
      </c>
      <c r="R67" s="2594" t="s">
        <v>2488</v>
      </c>
    </row>
    <row r="68" spans="1:18" s="1455" customFormat="1" ht="20.25" thickBot="1">
      <c r="A68" s="2400" t="s">
        <v>2354</v>
      </c>
      <c r="B68" s="2401" t="s">
        <v>2355</v>
      </c>
      <c r="C68" s="683">
        <f ca="1">ROUND(C67*(1-((1+F70)/(1+F68))^F69)/(F68-F70),0)</f>
        <v>-17310</v>
      </c>
      <c r="D68" s="2422" t="s">
        <v>2356</v>
      </c>
      <c r="E68" s="2403" t="s">
        <v>2357</v>
      </c>
      <c r="F68" s="694">
        <f ca="1">F40</f>
        <v>5.5E-2</v>
      </c>
      <c r="O68" s="2590" t="s">
        <v>2449</v>
      </c>
      <c r="P68" s="2599" t="s">
        <v>2482</v>
      </c>
      <c r="Q68" s="2589">
        <f ca="1">ROUND(Q69-Q70*Q71,0)</f>
        <v>11941</v>
      </c>
      <c r="R68" s="2589" t="s">
        <v>2487</v>
      </c>
    </row>
    <row r="69" spans="1:18" s="1455" customFormat="1" ht="15.75" thickBot="1">
      <c r="A69" s="2404"/>
      <c r="B69" s="2405"/>
      <c r="C69" s="688"/>
      <c r="D69" s="2427" t="s">
        <v>2358</v>
      </c>
      <c r="E69" s="2403" t="s">
        <v>2359</v>
      </c>
      <c r="F69" s="719">
        <f ca="1">F41</f>
        <v>26.88</v>
      </c>
      <c r="O69" s="2590" t="s">
        <v>2457</v>
      </c>
      <c r="P69" s="2599" t="s">
        <v>2472</v>
      </c>
      <c r="Q69" s="2589">
        <f ca="1">C39</f>
        <v>15393</v>
      </c>
      <c r="R69" s="2589" t="s">
        <v>2465</v>
      </c>
    </row>
    <row r="70" spans="1:18" s="1455" customFormat="1" ht="15.75" thickBot="1">
      <c r="A70" s="2407"/>
      <c r="B70" s="2408"/>
      <c r="C70" s="692"/>
      <c r="D70" s="2423"/>
      <c r="E70" s="2403" t="s">
        <v>2360</v>
      </c>
      <c r="F70" s="2533"/>
      <c r="O70" s="2590" t="s">
        <v>2458</v>
      </c>
      <c r="P70" s="2599" t="s">
        <v>2473</v>
      </c>
      <c r="Q70" s="2589">
        <f ca="1">C13</f>
        <v>40615</v>
      </c>
      <c r="R70" s="2589" t="s">
        <v>2465</v>
      </c>
    </row>
    <row r="71" spans="1:18" s="1455" customFormat="1" ht="15.75" thickBot="1">
      <c r="A71" s="2428" t="s">
        <v>2361</v>
      </c>
      <c r="B71" s="2429" t="s">
        <v>2362</v>
      </c>
      <c r="C71" s="722">
        <f ca="1">ROUND(C68*10000/F71,0)</f>
        <v>-2569</v>
      </c>
      <c r="D71" s="2430" t="s">
        <v>2363</v>
      </c>
      <c r="E71" s="2431" t="s">
        <v>2364</v>
      </c>
      <c r="F71" s="725">
        <f ca="1">F43</f>
        <v>67391.819999999992</v>
      </c>
      <c r="I71" s="2398"/>
      <c r="K71" s="2398"/>
      <c r="O71" s="2590" t="s">
        <v>2459</v>
      </c>
      <c r="P71" s="2599" t="s">
        <v>2485</v>
      </c>
      <c r="Q71" s="2591">
        <f ca="1">C76</f>
        <v>8.5000000000000006E-2</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3452</v>
      </c>
      <c r="D75" s="1455"/>
      <c r="E75" s="1455"/>
      <c r="F75" s="1455"/>
      <c r="K75" s="1456"/>
      <c r="L75" s="1455"/>
      <c r="O75" s="2588" t="s">
        <v>2452</v>
      </c>
      <c r="P75" s="2598" t="s">
        <v>2470</v>
      </c>
      <c r="Q75" s="2589">
        <f ca="1">Q65+Q66</f>
        <v>327868</v>
      </c>
      <c r="R75" s="2589" t="s">
        <v>2453</v>
      </c>
    </row>
    <row r="76" spans="1:18">
      <c r="B76" s="731" t="s">
        <v>970</v>
      </c>
      <c r="C76" s="732">
        <f ca="1">INDIRECT("'数据-取费表'!j"&amp;$G$1)</f>
        <v>8.5000000000000006E-2</v>
      </c>
      <c r="I76" s="1455"/>
      <c r="J76" s="1455"/>
      <c r="K76" s="1456"/>
      <c r="L76" s="1455"/>
    </row>
    <row r="77" spans="1:18">
      <c r="B77" s="733" t="s">
        <v>973</v>
      </c>
      <c r="C77" s="734"/>
      <c r="I77" s="1455"/>
      <c r="J77" s="1455"/>
      <c r="K77" s="1456"/>
      <c r="L77" s="1455"/>
    </row>
    <row r="78" spans="1:18">
      <c r="B78" s="646" t="s">
        <v>2694</v>
      </c>
      <c r="C78" s="735"/>
    </row>
    <row r="79" spans="1:18">
      <c r="B79" s="2874" t="s">
        <v>2698</v>
      </c>
      <c r="C79" s="650">
        <f ca="1">1-C80</f>
        <v>0.77600000000000002</v>
      </c>
    </row>
    <row r="80" spans="1:18">
      <c r="B80" s="2874" t="s">
        <v>2697</v>
      </c>
      <c r="C80" s="650">
        <f ca="1">ROUND(C75/C39,3)</f>
        <v>0.224</v>
      </c>
    </row>
    <row r="81" spans="2:3">
      <c r="B81" s="646" t="s">
        <v>387</v>
      </c>
      <c r="C81" s="647"/>
    </row>
    <row r="82" spans="2:3">
      <c r="B82" s="2873" t="s">
        <v>2696</v>
      </c>
      <c r="C82" s="651">
        <f ca="1">1-C83</f>
        <v>0.876</v>
      </c>
    </row>
    <row r="83" spans="2:3">
      <c r="B83" s="2873" t="s">
        <v>2695</v>
      </c>
      <c r="C83" s="650">
        <f ca="1">ROUND(C13/C40,3)</f>
        <v>0.124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c r="D1" s="1274"/>
      <c r="E1" s="2586" t="s">
        <v>539</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1098</v>
      </c>
      <c r="D2" s="2725" t="e">
        <f ca="1">C40+J29+L46</f>
        <v>#DIV/0!</v>
      </c>
      <c r="E2" s="2576" t="s">
        <v>2618</v>
      </c>
      <c r="F2" s="1277"/>
      <c r="G2" s="2288"/>
      <c r="H2" s="1275"/>
      <c r="I2" s="1275"/>
      <c r="J2" s="1275"/>
      <c r="K2" s="1299"/>
      <c r="L2" s="1275"/>
      <c r="M2" s="1275"/>
    </row>
    <row r="3" spans="1:37" ht="18" customHeight="1" thickBot="1">
      <c r="A3" s="675" t="s">
        <v>346</v>
      </c>
      <c r="B3" s="1408">
        <f ca="1">IF(ISERROR(D2/F43),0,ROUND(D2/F43,0))</f>
        <v>0</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2330</v>
      </c>
      <c r="C5" s="2627">
        <f ca="1">C6+C10+C12</f>
        <v>0</v>
      </c>
      <c r="D5" s="2637" t="s">
        <v>2532</v>
      </c>
      <c r="E5" s="2628"/>
      <c r="F5" s="2629"/>
      <c r="G5" s="2289"/>
      <c r="H5" s="681">
        <v>1</v>
      </c>
      <c r="I5" s="682" t="s">
        <v>2330</v>
      </c>
      <c r="J5" s="2627">
        <f ca="1">J6+J10+J12</f>
        <v>0</v>
      </c>
      <c r="K5" s="2630" t="s">
        <v>2532</v>
      </c>
      <c r="L5" s="2628"/>
      <c r="M5" s="2629"/>
    </row>
    <row r="6" spans="1:37" ht="18" customHeight="1">
      <c r="A6" s="2623" t="s">
        <v>2371</v>
      </c>
      <c r="B6" s="3599" t="s">
        <v>2531</v>
      </c>
      <c r="C6" s="2632">
        <f ca="1">ROUND(F6*F8*F7*(1-F9),0)</f>
        <v>0</v>
      </c>
      <c r="D6" s="2626" t="s">
        <v>2533</v>
      </c>
      <c r="E6" s="684" t="s">
        <v>911</v>
      </c>
      <c r="F6" s="685">
        <f ca="1">INDIRECT("'数据-取费表'!u"&amp;$G$1)</f>
        <v>0</v>
      </c>
      <c r="G6" s="2289"/>
      <c r="H6" s="2623" t="s">
        <v>2371</v>
      </c>
      <c r="I6" s="3599" t="s">
        <v>2531</v>
      </c>
      <c r="J6" s="683">
        <f ca="1">ROUND(M6*M8*M7*(1-M9),0)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0</v>
      </c>
      <c r="G7" s="2289"/>
      <c r="H7" s="686"/>
      <c r="I7" s="3600"/>
      <c r="J7" s="688"/>
      <c r="K7" s="689"/>
      <c r="L7" s="684" t="s">
        <v>912</v>
      </c>
      <c r="M7" s="685">
        <f ca="1">F7</f>
        <v>0</v>
      </c>
    </row>
    <row r="8" spans="1:37" ht="18" customHeight="1">
      <c r="A8" s="686"/>
      <c r="B8" s="3600"/>
      <c r="C8" s="688"/>
      <c r="D8" s="689"/>
      <c r="E8" s="684" t="s">
        <v>913</v>
      </c>
      <c r="F8" s="685">
        <f ca="1">INDIRECT("'数据-取费表'!ai"&amp;$G$1)</f>
        <v>0</v>
      </c>
      <c r="G8" s="2289"/>
      <c r="H8" s="686"/>
      <c r="I8" s="3600"/>
      <c r="J8" s="688"/>
      <c r="K8" s="689"/>
      <c r="L8" s="684" t="s">
        <v>913</v>
      </c>
      <c r="M8" s="685">
        <f ca="1">INDIRECT("'数据-取费表'!ai"&amp;$G$1)</f>
        <v>0</v>
      </c>
    </row>
    <row r="9" spans="1:37" ht="18" customHeight="1">
      <c r="A9" s="686"/>
      <c r="B9" s="3601"/>
      <c r="C9" s="688"/>
      <c r="D9" s="689"/>
      <c r="E9" s="684" t="s">
        <v>914</v>
      </c>
      <c r="F9" s="694">
        <f ca="1">INDIRECT("'数据-取费表'!w"&amp;$G$1)</f>
        <v>0</v>
      </c>
      <c r="G9" s="2289"/>
      <c r="H9" s="686"/>
      <c r="I9" s="3601"/>
      <c r="J9" s="688"/>
      <c r="K9" s="689"/>
      <c r="L9" s="695" t="s">
        <v>914</v>
      </c>
      <c r="M9" s="696">
        <f ca="1">INDIRECT("'数据-取费表'!ab"&amp;$G$1)</f>
        <v>0</v>
      </c>
    </row>
    <row r="10" spans="1:37" ht="18" customHeight="1">
      <c r="A10" s="2623" t="s">
        <v>2378</v>
      </c>
      <c r="B10" s="2624" t="s">
        <v>2526</v>
      </c>
      <c r="C10" s="698">
        <f ca="1">ROUND(IF(F10="押一",F6*F8*F7/12*F11,IF(F10="押二",F6*F8*F7/12*2*F11,IF(F10="押三",F6*F8*F7/12*3*F11,C11*F11))),0)</f>
        <v>0</v>
      </c>
      <c r="D10" s="2635" t="s">
        <v>2534</v>
      </c>
      <c r="E10" s="2098" t="s">
        <v>2528</v>
      </c>
      <c r="F10" s="2829"/>
      <c r="G10" s="2289"/>
      <c r="H10" s="2623" t="s">
        <v>2378</v>
      </c>
      <c r="I10" s="2624" t="s">
        <v>2526</v>
      </c>
      <c r="J10" s="683">
        <f ca="1">ROUND(IF(M10="押一",M6*M8*M7/12*M11,IF(M10="押二",M6*M8*M7/12*2*M11,IF(M10="押三",M6*M8*M7/12*3*M11,J11*M11))),0)</f>
        <v>0</v>
      </c>
      <c r="K10" s="2635" t="s">
        <v>2534</v>
      </c>
      <c r="L10" s="2098" t="s">
        <v>2528</v>
      </c>
      <c r="M10" s="2829" t="s">
        <v>2690</v>
      </c>
    </row>
    <row r="11" spans="1:37" ht="18" customHeight="1">
      <c r="A11" s="690"/>
      <c r="B11" s="2625" t="s">
        <v>2536</v>
      </c>
      <c r="C11" s="2416"/>
      <c r="D11" s="689"/>
      <c r="E11" s="2098" t="s">
        <v>2529</v>
      </c>
      <c r="F11" s="696">
        <f ca="1">'数据-取费表'!B39</f>
        <v>1.4999999999999999E-2</v>
      </c>
      <c r="G11" s="2289"/>
      <c r="H11" s="2636"/>
      <c r="I11" s="2625" t="s">
        <v>2691</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2539</v>
      </c>
      <c r="I12" s="2672" t="s">
        <v>2527</v>
      </c>
      <c r="J12" s="2673"/>
      <c r="K12" s="2690"/>
      <c r="L12" s="2675"/>
      <c r="M12" s="2691"/>
    </row>
    <row r="13" spans="1:37" ht="18" customHeight="1" thickTop="1">
      <c r="A13" s="2667">
        <v>2</v>
      </c>
      <c r="B13" s="2668" t="s">
        <v>915</v>
      </c>
      <c r="C13" s="692">
        <f ca="1">ROUND(C29*F13,0)</f>
        <v>0</v>
      </c>
      <c r="D13" s="2669" t="s">
        <v>916</v>
      </c>
      <c r="E13" s="2669" t="s">
        <v>917</v>
      </c>
      <c r="F13" s="2670">
        <f ca="1">INDIRECT("'数据-取费表'!y"&amp;$G$1)</f>
        <v>0</v>
      </c>
      <c r="G13" s="2289"/>
      <c r="H13" s="2667">
        <v>2</v>
      </c>
      <c r="I13" s="2668" t="s">
        <v>915</v>
      </c>
      <c r="J13" s="2622">
        <f ca="1">ROUND(J14*J15,0)</f>
        <v>0</v>
      </c>
      <c r="K13" s="2677" t="s">
        <v>916</v>
      </c>
      <c r="L13" s="2688"/>
      <c r="M13" s="2689"/>
    </row>
    <row r="14" spans="1:37" ht="18" customHeight="1">
      <c r="A14" s="2439" t="s">
        <v>2368</v>
      </c>
      <c r="B14" s="684" t="s">
        <v>359</v>
      </c>
      <c r="C14" s="702">
        <f ca="1">ROUND(INDIRECT("'数据-取费表'!l"&amp;$G$1)*F43+'数据-取费表'!L14*INDIRECT("'数据-取费表'!S"&amp;$G$1),0)</f>
        <v>0</v>
      </c>
      <c r="D14" s="2720" t="s">
        <v>918</v>
      </c>
      <c r="E14" s="2719"/>
      <c r="F14" s="703"/>
      <c r="G14" s="2289"/>
      <c r="H14" s="2439" t="s">
        <v>2371</v>
      </c>
      <c r="I14" s="684" t="s">
        <v>919</v>
      </c>
      <c r="J14" s="313">
        <f ca="1">C29</f>
        <v>0</v>
      </c>
      <c r="K14" s="303"/>
      <c r="L14" s="700"/>
      <c r="M14" s="701"/>
    </row>
    <row r="15" spans="1:37" s="706" customFormat="1" ht="18" customHeight="1" thickBot="1">
      <c r="A15" s="2439" t="s">
        <v>2603</v>
      </c>
      <c r="B15" s="684" t="s">
        <v>360</v>
      </c>
      <c r="C15" s="313">
        <f ca="1">ROUND(C14*F15,0)</f>
        <v>0</v>
      </c>
      <c r="D15" s="704" t="s">
        <v>920</v>
      </c>
      <c r="E15" s="704" t="s">
        <v>365</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ROUND(INDIRECT("'数据-取费表'!l"&amp;$G$1)*F43*F16,0)</f>
        <v>0</v>
      </c>
      <c r="D16" s="684" t="s">
        <v>920</v>
      </c>
      <c r="E16" s="684" t="s">
        <v>365</v>
      </c>
      <c r="F16" s="707">
        <f ca="1">IF(INDIRECT("'数据-取费表'!c"&amp;$G$1)="住宅",'数据-取费表'!B34,0)</f>
        <v>0</v>
      </c>
      <c r="G16" s="2289"/>
      <c r="H16" s="2667" t="s">
        <v>2336</v>
      </c>
      <c r="I16" s="2668" t="s">
        <v>922</v>
      </c>
      <c r="J16" s="692">
        <f ca="1">ROUND(J17+J22+J23+J24,0)</f>
        <v>0</v>
      </c>
      <c r="K16" s="2677" t="s">
        <v>923</v>
      </c>
      <c r="L16" s="2678"/>
      <c r="M16" s="2629"/>
    </row>
    <row r="17" spans="1:37" s="706" customFormat="1" ht="18" customHeight="1">
      <c r="A17" s="2439" t="s">
        <v>2605</v>
      </c>
      <c r="B17" s="684" t="s">
        <v>362</v>
      </c>
      <c r="C17" s="313">
        <f ca="1">ROUND(F17*(F43+INDIRECT("'数据-取费表'!S"&amp;$G$1)),0)</f>
        <v>0</v>
      </c>
      <c r="D17" s="684" t="s">
        <v>924</v>
      </c>
      <c r="E17" s="684" t="s">
        <v>925</v>
      </c>
      <c r="F17" s="315">
        <f>'数据-取费表'!B35</f>
        <v>200</v>
      </c>
      <c r="G17" s="2290"/>
      <c r="H17" s="2439" t="s">
        <v>2371</v>
      </c>
      <c r="I17" s="684" t="s">
        <v>363</v>
      </c>
      <c r="J17" s="313">
        <f ca="1">ROUND(IF(项目基本情况!B11="自然人",J5*M17,J18+J19+J20),0)</f>
        <v>0</v>
      </c>
      <c r="K17" s="2720" t="s">
        <v>926</v>
      </c>
      <c r="L17" s="2721"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0</v>
      </c>
      <c r="D18" s="684" t="s">
        <v>920</v>
      </c>
      <c r="E18" s="684" t="s">
        <v>365</v>
      </c>
      <c r="F18" s="707">
        <f>'数据-取费表'!B36</f>
        <v>1.4999999999999999E-2</v>
      </c>
      <c r="G18" s="2290"/>
      <c r="H18" s="2439" t="s">
        <v>2368</v>
      </c>
      <c r="I18" s="684" t="s">
        <v>928</v>
      </c>
      <c r="J18" s="313">
        <f ca="1">ROUND(J5*M18/(1+'数据-取费表'!C42),0)</f>
        <v>0</v>
      </c>
      <c r="K18" s="2721" t="s">
        <v>929</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2371</v>
      </c>
      <c r="B19" s="684" t="s">
        <v>366</v>
      </c>
      <c r="C19" s="313">
        <f ca="1">SUM(C14:C18)</f>
        <v>0</v>
      </c>
      <c r="D19" s="471" t="s">
        <v>930</v>
      </c>
      <c r="E19" s="2723"/>
      <c r="F19" s="315"/>
      <c r="G19" s="2289"/>
      <c r="H19" s="2439" t="s">
        <v>2603</v>
      </c>
      <c r="I19" s="684" t="s">
        <v>931</v>
      </c>
      <c r="J19" s="313">
        <f ca="1">IF(K19="按租金收入计税",ROUND(J5*M19,0),ROUND(C29*M19*0.7,0))</f>
        <v>0</v>
      </c>
      <c r="K19" s="1301" t="s">
        <v>2410</v>
      </c>
      <c r="L19" s="684" t="s">
        <v>365</v>
      </c>
      <c r="M19" s="707">
        <f>IF(K19="按租金收入计税",'数据-取费表'!B51,'数据-取费表'!B50)</f>
        <v>1.2E-2</v>
      </c>
    </row>
    <row r="20" spans="1:37" s="706" customFormat="1" ht="18" customHeight="1">
      <c r="A20" s="2439" t="s">
        <v>2607</v>
      </c>
      <c r="B20" s="684" t="s">
        <v>367</v>
      </c>
      <c r="C20" s="313">
        <f ca="1">ROUND(C19*F20,0)</f>
        <v>0</v>
      </c>
      <c r="D20" s="709" t="s">
        <v>932</v>
      </c>
      <c r="E20" s="684" t="s">
        <v>365</v>
      </c>
      <c r="F20" s="707">
        <f>'数据-取费表'!B37</f>
        <v>0.03</v>
      </c>
      <c r="G20" s="2290"/>
      <c r="H20" s="2439" t="s">
        <v>2604</v>
      </c>
      <c r="I20" s="496" t="s">
        <v>933</v>
      </c>
      <c r="J20" s="314">
        <f ca="1">ROUND(M20*M21,0)</f>
        <v>0</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23</v>
      </c>
      <c r="D21" s="709" t="s">
        <v>937</v>
      </c>
      <c r="E21" s="684" t="s">
        <v>938</v>
      </c>
      <c r="F21" s="707">
        <f>'数据-取费表'!B38</f>
        <v>0.03</v>
      </c>
      <c r="G21" s="2290"/>
      <c r="H21" s="712"/>
      <c r="I21" s="693"/>
      <c r="J21" s="318"/>
      <c r="K21" s="713"/>
      <c r="L21" s="684" t="s">
        <v>939</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2723"/>
      <c r="F22" s="315"/>
      <c r="G22" s="2289"/>
      <c r="H22" s="2439" t="s">
        <v>2378</v>
      </c>
      <c r="I22" s="684" t="s">
        <v>941</v>
      </c>
      <c r="J22" s="313">
        <f ca="1">ROUND(J14*M22,0)</f>
        <v>0</v>
      </c>
      <c r="K22" s="2721" t="s">
        <v>942</v>
      </c>
      <c r="L22" s="684" t="s">
        <v>365</v>
      </c>
      <c r="M22" s="714">
        <f ca="1">INDIRECT("'数据-取费表'!Ak"&amp;$G$1)</f>
        <v>0</v>
      </c>
    </row>
    <row r="23" spans="1:37" s="706" customFormat="1" ht="18" customHeight="1">
      <c r="A23" s="2439" t="s">
        <v>2368</v>
      </c>
      <c r="B23" s="684" t="s">
        <v>2523</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2723"/>
      <c r="F25" s="315"/>
      <c r="G25" s="2289"/>
      <c r="H25" s="2667" t="s">
        <v>2351</v>
      </c>
      <c r="I25" s="2684" t="s">
        <v>377</v>
      </c>
      <c r="J25" s="692">
        <f ca="1">J5-J16</f>
        <v>0</v>
      </c>
      <c r="K25" s="2685" t="s">
        <v>378</v>
      </c>
      <c r="L25" s="2686"/>
      <c r="M25" s="2687"/>
    </row>
    <row r="26" spans="1:37" ht="18" customHeight="1">
      <c r="A26" s="2439" t="s">
        <v>2368</v>
      </c>
      <c r="B26" s="684" t="s">
        <v>2524</v>
      </c>
      <c r="C26" s="313">
        <f ca="1">ROUND((C19+C20)*F26,0)</f>
        <v>0</v>
      </c>
      <c r="D26" s="709" t="s">
        <v>951</v>
      </c>
      <c r="E26" s="695" t="s">
        <v>952</v>
      </c>
      <c r="F26" s="694">
        <f ca="1">INDIRECT("'数据-取费表'!q"&amp;$G$1)</f>
        <v>0</v>
      </c>
      <c r="G26" s="2289"/>
      <c r="H26" s="681" t="s">
        <v>2354</v>
      </c>
      <c r="I26" s="682" t="s">
        <v>953</v>
      </c>
      <c r="J26" s="683">
        <f ca="1">IF(J5&lt;&gt;0,ROUND(J25*(1-((1+M28)/(1+M26))^M27)/(M26-M28),0),0)</f>
        <v>0</v>
      </c>
      <c r="K26" s="710" t="s">
        <v>373</v>
      </c>
      <c r="L26" s="684" t="s">
        <v>374</v>
      </c>
      <c r="M26" s="694">
        <f ca="1">INDIRECT("'数据-取费表'!I"&amp;$G$1)</f>
        <v>0</v>
      </c>
    </row>
    <row r="27" spans="1:37" ht="18" customHeight="1">
      <c r="A27" s="2439" t="s">
        <v>2374</v>
      </c>
      <c r="B27" s="684" t="s">
        <v>375</v>
      </c>
      <c r="C27" s="313">
        <f ca="1">ROUND(F21*F26,4)</f>
        <v>0</v>
      </c>
      <c r="D27" s="709" t="s">
        <v>955</v>
      </c>
      <c r="E27" s="704"/>
      <c r="F27" s="705"/>
      <c r="G27" s="2289"/>
      <c r="H27" s="686"/>
      <c r="I27" s="687"/>
      <c r="J27" s="688"/>
      <c r="K27" s="718" t="s">
        <v>956</v>
      </c>
      <c r="L27" s="684" t="s">
        <v>381</v>
      </c>
      <c r="M27" s="719">
        <f ca="1">INDIRECT("'数据-取费表'!ag"&amp;$G$1)</f>
        <v>0</v>
      </c>
    </row>
    <row r="28" spans="1:37" s="706" customFormat="1" ht="18" customHeight="1">
      <c r="A28" s="2439" t="s">
        <v>2376</v>
      </c>
      <c r="B28" s="684" t="s">
        <v>376</v>
      </c>
      <c r="C28" s="313">
        <f>ROUND(F28/(1+'数据-取费表'!C42),4)</f>
        <v>5.33E-2</v>
      </c>
      <c r="D28" s="709" t="s">
        <v>962</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0</v>
      </c>
      <c r="D29" s="2682"/>
      <c r="E29" s="2680"/>
      <c r="F29" s="2683"/>
      <c r="G29" s="2290"/>
      <c r="H29" s="720" t="s">
        <v>2361</v>
      </c>
      <c r="I29" s="721" t="s">
        <v>957</v>
      </c>
      <c r="J29" s="722">
        <f ca="1">ROUND(J26/(1+F40)^F41,0)</f>
        <v>0</v>
      </c>
      <c r="K29" s="723" t="s">
        <v>958</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0</v>
      </c>
      <c r="D30" s="2677" t="s">
        <v>923</v>
      </c>
      <c r="E30" s="2678"/>
      <c r="F30" s="2629"/>
      <c r="G30" s="2289"/>
      <c r="H30" s="1278"/>
      <c r="I30" s="1279"/>
      <c r="J30" s="1280"/>
      <c r="K30" s="1281"/>
      <c r="L30" s="1282"/>
      <c r="M30" s="1283"/>
    </row>
    <row r="31" spans="1:37" ht="18" customHeight="1">
      <c r="A31" s="2439" t="s">
        <v>2371</v>
      </c>
      <c r="B31" s="684" t="s">
        <v>363</v>
      </c>
      <c r="C31" s="313">
        <f ca="1">ROUND(IF(项目基本情况!B11="自然人",C5*F31,C32+C33+C34),0)</f>
        <v>0</v>
      </c>
      <c r="D31" s="2720" t="s">
        <v>926</v>
      </c>
      <c r="E31" s="2721"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2368</v>
      </c>
      <c r="B32" s="684" t="s">
        <v>928</v>
      </c>
      <c r="C32" s="313">
        <f ca="1">IF(项目基本情况!B11="自然人","——",ROUND(C5*F32/(1+'数据-取费表'!C42),0))</f>
        <v>0</v>
      </c>
      <c r="D32" s="2721" t="s">
        <v>929</v>
      </c>
      <c r="E32" s="684" t="s">
        <v>365</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IF(项目基本情况!B11="自然人","——",IF(D33="按租金收入计税",ROUND(C5*F33,0),IF(D33="按房产原值计税",ROUND(C29*F33*0.7,0),INDIRECT("'数据-取费表'!Aj"&amp;$G$1))))</f>
        <v>0</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933</v>
      </c>
      <c r="C34" s="314">
        <f ca="1">IF(项目基本情况!B11="自然人","——",ROUND(F34*F35,))</f>
        <v>0</v>
      </c>
      <c r="D34" s="710" t="s">
        <v>934</v>
      </c>
      <c r="E34" s="684" t="s">
        <v>935</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0</v>
      </c>
      <c r="G35" s="2289"/>
      <c r="H35" s="1278"/>
      <c r="I35" s="2882"/>
      <c r="J35" s="2883"/>
      <c r="K35" s="1291"/>
      <c r="L35" s="1290"/>
      <c r="M35" s="1290"/>
    </row>
    <row r="36" spans="1:18" ht="18" customHeight="1">
      <c r="A36" s="2696" t="s">
        <v>2378</v>
      </c>
      <c r="B36" s="684" t="s">
        <v>941</v>
      </c>
      <c r="C36" s="313">
        <f ca="1">ROUND(C29*F36,0)</f>
        <v>0</v>
      </c>
      <c r="D36" s="2721" t="s">
        <v>971</v>
      </c>
      <c r="E36" s="684" t="s">
        <v>365</v>
      </c>
      <c r="F36" s="714">
        <f ca="1">INDIRECT("'数据-取费表'!Ak"&amp;$G$1)</f>
        <v>0</v>
      </c>
      <c r="G36" s="2289"/>
      <c r="H36" s="1290"/>
      <c r="I36" s="2882"/>
      <c r="J36" s="2883"/>
      <c r="K36" s="1294"/>
      <c r="L36" s="1290"/>
      <c r="M36" s="1290"/>
    </row>
    <row r="37" spans="1:18" ht="18" customHeight="1">
      <c r="A37" s="2439" t="s">
        <v>2608</v>
      </c>
      <c r="B37" s="684" t="s">
        <v>368</v>
      </c>
      <c r="C37" s="313">
        <f ca="1">ROUND(C13*F37,0)</f>
        <v>0</v>
      </c>
      <c r="D37" s="2721" t="s">
        <v>369</v>
      </c>
      <c r="E37" s="684" t="s">
        <v>365</v>
      </c>
      <c r="F37" s="716">
        <f ca="1">INDIRECT("'数据-取费表'!Al"&amp;$G$1)</f>
        <v>0</v>
      </c>
      <c r="G37" s="2289"/>
      <c r="H37" s="1290"/>
      <c r="I37" s="2882"/>
      <c r="J37" s="2883"/>
      <c r="K37" s="1294"/>
      <c r="L37" s="1290"/>
      <c r="M37" s="1290"/>
    </row>
    <row r="38" spans="1:18" ht="18" customHeight="1" thickBot="1">
      <c r="A38" s="2679" t="s">
        <v>2609</v>
      </c>
      <c r="B38" s="2680" t="s">
        <v>367</v>
      </c>
      <c r="C38" s="2681">
        <f ca="1">ROUND(C5*F38,1)</f>
        <v>0</v>
      </c>
      <c r="D38" s="2682" t="s">
        <v>371</v>
      </c>
      <c r="E38" s="2680" t="s">
        <v>365</v>
      </c>
      <c r="F38" s="2676">
        <f ca="1">INDIRECT("'数据-取费表'!Am"&amp;$G$1)</f>
        <v>0</v>
      </c>
      <c r="G38" s="2289"/>
      <c r="H38" s="1290"/>
      <c r="I38" s="2882"/>
      <c r="J38" s="2883"/>
      <c r="K38" s="1295"/>
      <c r="L38" s="1290"/>
      <c r="M38" s="1290"/>
    </row>
    <row r="39" spans="1:18" ht="24.6" customHeight="1" thickTop="1">
      <c r="A39" s="2667" t="s">
        <v>2351</v>
      </c>
      <c r="B39" s="2684" t="s">
        <v>377</v>
      </c>
      <c r="C39" s="692">
        <f ca="1">C5-C30</f>
        <v>0</v>
      </c>
      <c r="D39" s="2685" t="s">
        <v>378</v>
      </c>
      <c r="E39" s="2686"/>
      <c r="F39" s="2687"/>
      <c r="G39" s="2289"/>
      <c r="H39" s="1290"/>
      <c r="I39" s="2882"/>
      <c r="J39" s="2883"/>
      <c r="K39" s="1295"/>
      <c r="L39" s="1290"/>
      <c r="M39" s="1290"/>
    </row>
    <row r="40" spans="1:18" ht="18" customHeight="1">
      <c r="A40" s="681" t="s">
        <v>2354</v>
      </c>
      <c r="B40" s="682" t="s">
        <v>379</v>
      </c>
      <c r="C40" s="683" t="e">
        <f ca="1">ROUND(C39*(1-((1+F42)/(1+F40))^F41)/(F40-F42),0)</f>
        <v>#DIV/0!</v>
      </c>
      <c r="D40" s="710" t="s">
        <v>373</v>
      </c>
      <c r="E40" s="684" t="s">
        <v>374</v>
      </c>
      <c r="F40" s="694">
        <f ca="1">INDIRECT("'数据-取费表'!I"&amp;$G$1)</f>
        <v>0</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382</v>
      </c>
      <c r="F42" s="694">
        <f ca="1">INDIRECT("'数据-取费表'!v"&amp;$G$1)</f>
        <v>0</v>
      </c>
      <c r="G42" s="2289"/>
      <c r="H42" s="1192"/>
      <c r="I42" s="2882"/>
      <c r="J42" s="2883"/>
      <c r="K42" s="1294"/>
      <c r="L42" s="1192"/>
      <c r="M42" s="1192"/>
    </row>
    <row r="43" spans="1:18" ht="18" customHeight="1" thickBot="1">
      <c r="A43" s="720" t="s">
        <v>2361</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2619</v>
      </c>
      <c r="E45" s="1433"/>
      <c r="F45" s="1433"/>
      <c r="O45" s="2592" t="s">
        <v>2483</v>
      </c>
      <c r="P45" s="1296"/>
      <c r="Q45" s="1296"/>
      <c r="R45" s="1296"/>
    </row>
    <row r="46" spans="1:18" s="1455" customFormat="1" ht="21" thickBot="1">
      <c r="A46" s="2397" t="s">
        <v>2323</v>
      </c>
      <c r="B46" s="2398"/>
      <c r="C46" s="2726" t="e">
        <f ca="1">ROUND(C45/10000,0)</f>
        <v>#DIV/0!</v>
      </c>
      <c r="D46" s="2727" t="str">
        <f>C2</f>
        <v>万元</v>
      </c>
      <c r="I46" s="2579" t="s">
        <v>2418</v>
      </c>
      <c r="J46" s="2580"/>
      <c r="K46" s="2581"/>
      <c r="L46" s="2583" t="e">
        <f ca="1">IF(M47="住宅",0,IF(L48&gt;J51,L60,J60))</f>
        <v>#DIV/0!</v>
      </c>
      <c r="O46" s="2595" t="s">
        <v>2461</v>
      </c>
      <c r="P46" s="2596" t="s">
        <v>2462</v>
      </c>
      <c r="Q46" s="2597" t="s">
        <v>2460</v>
      </c>
      <c r="R46" s="2597" t="s">
        <v>2463</v>
      </c>
    </row>
    <row r="47" spans="1:18" s="1455" customFormat="1" ht="15.75" thickBot="1">
      <c r="A47" s="2399" t="s">
        <v>906</v>
      </c>
      <c r="B47" s="2435" t="s">
        <v>907</v>
      </c>
      <c r="C47" s="2435" t="s">
        <v>908</v>
      </c>
      <c r="D47" s="2435" t="s">
        <v>909</v>
      </c>
      <c r="E47" s="2538" t="s">
        <v>910</v>
      </c>
      <c r="F47" s="2539"/>
      <c r="G47" s="1457"/>
      <c r="I47" s="2554" t="s">
        <v>2411</v>
      </c>
      <c r="J47" s="2555"/>
      <c r="K47" s="2564" t="s">
        <v>2434</v>
      </c>
      <c r="L47" s="2565">
        <f ca="1">INDIRECT("'数据-取费表'!d"&amp;$G$1)</f>
        <v>0</v>
      </c>
      <c r="M47" s="2585" t="str">
        <f>IF(ISNUMBER(FIND("住宅",C1)),"住宅","非住宅")</f>
        <v>非住宅</v>
      </c>
      <c r="O47" s="2588" t="s">
        <v>2446</v>
      </c>
      <c r="P47" s="2598" t="s">
        <v>2464</v>
      </c>
      <c r="Q47" s="2589" t="e">
        <f ca="1">C40+J29</f>
        <v>#DIV/0!</v>
      </c>
      <c r="R47" s="2589" t="s">
        <v>2465</v>
      </c>
    </row>
    <row r="48" spans="1:18" s="1455" customFormat="1" ht="47.25" thickBot="1">
      <c r="A48" s="2712" t="s">
        <v>2614</v>
      </c>
      <c r="B48" s="682" t="s">
        <v>2330</v>
      </c>
      <c r="C48" s="2722">
        <f ca="1">C49+C53+C55</f>
        <v>0</v>
      </c>
      <c r="D48" s="2716"/>
      <c r="E48" s="2717"/>
      <c r="F48" s="2419"/>
      <c r="G48" s="1457"/>
      <c r="H48" s="1458"/>
      <c r="I48" s="2545" t="s">
        <v>2412</v>
      </c>
      <c r="J48" s="2556"/>
      <c r="K48" s="2566" t="s">
        <v>683</v>
      </c>
      <c r="L48" s="2169">
        <f ca="1">INDIRECT("'数据-取费表'!f"&amp;$G$1)</f>
        <v>0</v>
      </c>
      <c r="O48" s="2588" t="s">
        <v>2447</v>
      </c>
      <c r="P48" s="2598" t="s">
        <v>2466</v>
      </c>
      <c r="Q48" s="2589" t="e">
        <f ca="1">J60</f>
        <v>#DIV/0!</v>
      </c>
      <c r="R48" s="2589" t="s">
        <v>2474</v>
      </c>
    </row>
    <row r="49" spans="1:18" s="1455" customFormat="1" ht="15.75" thickBot="1">
      <c r="A49" s="2432" t="s">
        <v>2615</v>
      </c>
      <c r="B49" s="2715" t="s">
        <v>2617</v>
      </c>
      <c r="C49" s="2724">
        <f ca="1">ROUND(F49*F51*F50*(1-F52),0)</f>
        <v>0</v>
      </c>
      <c r="D49" s="2534" t="s">
        <v>2331</v>
      </c>
      <c r="E49" s="2537" t="s">
        <v>2324</v>
      </c>
      <c r="F49" s="2540"/>
      <c r="G49" s="1459"/>
      <c r="H49" s="1458"/>
      <c r="I49" s="2545" t="s">
        <v>2432</v>
      </c>
      <c r="J49" s="2557"/>
      <c r="K49" s="2567" t="s">
        <v>2437</v>
      </c>
      <c r="L49" s="2568"/>
      <c r="O49" s="2590" t="s">
        <v>2448</v>
      </c>
      <c r="P49" s="2598" t="s">
        <v>2467</v>
      </c>
      <c r="Q49" s="2589">
        <f ca="1">C29</f>
        <v>0</v>
      </c>
      <c r="R49" s="2589" t="s">
        <v>2465</v>
      </c>
    </row>
    <row r="50" spans="1:18" s="1455" customFormat="1" ht="15.75" thickBot="1">
      <c r="A50" s="2433"/>
      <c r="B50" s="2436"/>
      <c r="C50" s="2437"/>
      <c r="D50" s="2406"/>
      <c r="E50" s="2535" t="s">
        <v>912</v>
      </c>
      <c r="F50" s="2536">
        <f ca="1">F7</f>
        <v>0</v>
      </c>
      <c r="H50" s="1458"/>
      <c r="I50" s="2545" t="s">
        <v>2414</v>
      </c>
      <c r="J50" s="2558">
        <f>SUMPRODUCT((I63:I65=J47)*(J62:L62=J48)*(J63:L65))</f>
        <v>0</v>
      </c>
      <c r="K50" s="2567" t="s">
        <v>2438</v>
      </c>
      <c r="L50" s="2568"/>
      <c r="M50" s="2562"/>
      <c r="O50" s="2590" t="s">
        <v>2449</v>
      </c>
      <c r="P50" s="2598" t="s">
        <v>2475</v>
      </c>
      <c r="Q50" s="2591" t="e">
        <f ca="1">J58</f>
        <v>#DIV/0!</v>
      </c>
      <c r="R50" s="2589"/>
    </row>
    <row r="51" spans="1:18" s="1455" customFormat="1" ht="15.75" thickBot="1">
      <c r="A51" s="2434"/>
      <c r="B51" s="2436"/>
      <c r="C51" s="2437"/>
      <c r="D51" s="2406"/>
      <c r="E51" s="2438" t="s">
        <v>913</v>
      </c>
      <c r="F51" s="685">
        <f ca="1">F8</f>
        <v>0</v>
      </c>
      <c r="I51" s="2559" t="s">
        <v>2419</v>
      </c>
      <c r="J51" s="2560">
        <f>IF(J49="",J50,J49+J50-YEAR('数据-取费表'!B2))</f>
        <v>0</v>
      </c>
      <c r="K51" s="2569" t="s">
        <v>2439</v>
      </c>
      <c r="L51" s="2582">
        <f ca="1">ROUND(-PV(INDIRECT("'数据-取费表'!h"&amp;$G$1),L48,(C39-C13*C76),0),0)</f>
        <v>0</v>
      </c>
      <c r="M51" s="2563"/>
      <c r="O51" s="2590" t="s">
        <v>2450</v>
      </c>
      <c r="P51" s="2598" t="s">
        <v>2476</v>
      </c>
      <c r="Q51" s="2591">
        <f>J52</f>
        <v>0</v>
      </c>
      <c r="R51" s="2589"/>
    </row>
    <row r="52" spans="1:18" s="1455" customFormat="1" ht="15.75" thickBot="1">
      <c r="A52" s="2434"/>
      <c r="B52" s="2436"/>
      <c r="C52" s="2437"/>
      <c r="D52" s="2406"/>
      <c r="E52" s="2438" t="s">
        <v>914</v>
      </c>
      <c r="F52" s="2533"/>
      <c r="I52" s="2561" t="s">
        <v>2442</v>
      </c>
      <c r="J52" s="2575"/>
      <c r="K52" s="2561" t="s">
        <v>2427</v>
      </c>
      <c r="L52" s="2575"/>
      <c r="M52" s="2398"/>
      <c r="O52" s="2590" t="s">
        <v>2451</v>
      </c>
      <c r="P52" s="2598" t="s">
        <v>2468</v>
      </c>
      <c r="Q52" s="2589">
        <f ca="1">J53</f>
        <v>0</v>
      </c>
      <c r="R52" s="2589" t="s">
        <v>2469</v>
      </c>
    </row>
    <row r="53" spans="1:18" s="1455" customFormat="1" ht="43.5" thickBot="1">
      <c r="A53" s="2713" t="s">
        <v>2616</v>
      </c>
      <c r="B53" s="2714" t="s">
        <v>2526</v>
      </c>
      <c r="C53" s="698">
        <f ca="1">ROUND(IF(F53="押一",F49*F51*F50/12*F11,IF(F53="押二",F49*F51*F50/12*2*F11,IF(F53="押三",F49*F51*F50/12*3*F11,C54*F11))),0)</f>
        <v>0</v>
      </c>
      <c r="D53" s="2635" t="s">
        <v>2534</v>
      </c>
      <c r="E53" s="2098" t="s">
        <v>2528</v>
      </c>
      <c r="F53" s="2829"/>
      <c r="I53" s="2571" t="s">
        <v>2444</v>
      </c>
      <c r="J53" s="2572">
        <f ca="1">IF(M47="住宅",J51,MIN(J51,L48))</f>
        <v>0</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8"/>
      <c r="O53" s="2588" t="s">
        <v>2452</v>
      </c>
      <c r="P53" s="2598" t="s">
        <v>2470</v>
      </c>
      <c r="Q53" s="2589" t="e">
        <f ca="1">Q47+Q48</f>
        <v>#DIV/0!</v>
      </c>
      <c r="R53" s="2589" t="s">
        <v>2453</v>
      </c>
    </row>
    <row r="54" spans="1:18" s="1455" customFormat="1" ht="16.5" thickBot="1">
      <c r="A54" s="2432"/>
      <c r="B54" s="2826" t="s">
        <v>2691</v>
      </c>
      <c r="C54" s="2416"/>
      <c r="D54" s="2635"/>
      <c r="E54" s="2779"/>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2718"/>
      <c r="F55" s="2541"/>
      <c r="I55" s="3319" t="s">
        <v>2420</v>
      </c>
      <c r="J55" s="3318" t="e">
        <f ca="1">ROUND(IF(J47="钢混",J57/J50,1-(1-2%)*(J50-J57)/J50),3)</f>
        <v>#DIV/0!</v>
      </c>
      <c r="K55" s="2552" t="s">
        <v>2421</v>
      </c>
      <c r="L55" s="2574"/>
      <c r="O55" s="2595" t="s">
        <v>2461</v>
      </c>
      <c r="P55" s="2596" t="s">
        <v>2462</v>
      </c>
      <c r="Q55" s="2597" t="s">
        <v>2460</v>
      </c>
      <c r="R55" s="2597" t="s">
        <v>2463</v>
      </c>
    </row>
    <row r="56" spans="1:18" s="1455" customFormat="1" ht="44.25" thickTop="1" thickBot="1">
      <c r="A56" s="2410">
        <v>2</v>
      </c>
      <c r="B56" s="2411" t="s">
        <v>915</v>
      </c>
      <c r="C56" s="608">
        <f ca="1">C13</f>
        <v>0</v>
      </c>
      <c r="D56" s="2699"/>
      <c r="E56" s="2412"/>
      <c r="F56" s="2541"/>
      <c r="I56" s="2544" t="s">
        <v>2422</v>
      </c>
      <c r="J56" s="2573"/>
      <c r="K56" s="2545" t="s">
        <v>2426</v>
      </c>
      <c r="L56" s="2169">
        <f ca="1">IF(L48&lt;J51,"——",L48-J51)</f>
        <v>0</v>
      </c>
      <c r="O56" s="2588" t="s">
        <v>2446</v>
      </c>
      <c r="P56" s="2598" t="s">
        <v>2464</v>
      </c>
      <c r="Q56" s="2589" t="e">
        <f ca="1">C40+J29</f>
        <v>#DIV/0!</v>
      </c>
      <c r="R56" s="2589" t="s">
        <v>2465</v>
      </c>
    </row>
    <row r="57" spans="1:18" s="1455" customFormat="1" ht="29.25" thickBot="1">
      <c r="A57" s="2542"/>
      <c r="B57" s="2403" t="s">
        <v>964</v>
      </c>
      <c r="C57" s="614">
        <f ca="1">C29</f>
        <v>0</v>
      </c>
      <c r="D57" s="2414"/>
      <c r="E57" s="2415"/>
      <c r="F57" s="2543"/>
      <c r="I57" s="2546" t="s">
        <v>2443</v>
      </c>
      <c r="J57" s="2550">
        <f ca="1">IF(OR(M47="住宅",J51&lt;L48,J56="是"),"——",J51-L48)</f>
        <v>0</v>
      </c>
      <c r="K57" s="2545" t="s">
        <v>2436</v>
      </c>
      <c r="L57" s="2169">
        <f ca="1">IF(L48&lt;J51,"——",IF(L55="比较法",L49,IF(L55="基准地价",L50,L51)))</f>
        <v>0</v>
      </c>
      <c r="O57" s="2588" t="s">
        <v>2447</v>
      </c>
      <c r="P57" s="2598" t="s">
        <v>2471</v>
      </c>
      <c r="Q57" s="2589" t="e">
        <f ca="1">L60</f>
        <v>#DIV/0!</v>
      </c>
      <c r="R57" s="2589" t="s">
        <v>2486</v>
      </c>
    </row>
    <row r="58" spans="1:18" s="1455" customFormat="1" ht="29.25" thickBot="1">
      <c r="A58" s="697" t="s">
        <v>2336</v>
      </c>
      <c r="B58" s="2411" t="s">
        <v>922</v>
      </c>
      <c r="C58" s="698">
        <f ca="1">ROUND(C59+C64+C65+C66,0)</f>
        <v>0</v>
      </c>
      <c r="D58" s="2417" t="s">
        <v>923</v>
      </c>
      <c r="E58" s="2418"/>
      <c r="F58" s="2419"/>
      <c r="I58" s="2546" t="s">
        <v>2423</v>
      </c>
      <c r="J58" s="3320" t="e">
        <f ca="1">IF(J55&lt;0.4,0.4,J55)</f>
        <v>#DIV/0!</v>
      </c>
      <c r="K58" s="2569" t="s">
        <v>2445</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ROUND(IF(项目基本情况!B11="自然人",C48*F59,C60+C61+C62),0)</f>
        <v>0</v>
      </c>
      <c r="D59" s="2420" t="s">
        <v>926</v>
      </c>
      <c r="E59" s="2421" t="s">
        <v>927</v>
      </c>
      <c r="F59" s="708" t="str">
        <f ca="1">IF(项目基本情况!B11="企业","",IF(INDIRECT("'数据-取费表'!c"&amp;$G$1)="住宅",5%,IF(F49*F50*F51/12/(1+'数据-取费表'!C42)&gt;20000,12%,7%)))</f>
        <v/>
      </c>
      <c r="I59" s="2546" t="s">
        <v>2424</v>
      </c>
      <c r="J59" s="2550" t="e">
        <f ca="1">IF(OR(M47="住宅",J51&lt;L48,J56="是"),"——",ROUND(C29*J58,0))</f>
        <v>#DIV/0!</v>
      </c>
      <c r="K59" s="2569" t="s">
        <v>2433</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928</v>
      </c>
      <c r="C60" s="313">
        <f ca="1">IF(项目基本情况!B11="自然人","——",ROUND(C48*F60/(1+'数据-取费表'!C42),0))</f>
        <v>0</v>
      </c>
      <c r="D60" s="2421" t="s">
        <v>929</v>
      </c>
      <c r="E60" s="2403" t="s">
        <v>365</v>
      </c>
      <c r="F60" s="717">
        <f t="shared" ref="F60:F66" si="0">F32</f>
        <v>5.6000000000000001E-2</v>
      </c>
      <c r="I60" s="2547" t="s">
        <v>2425</v>
      </c>
      <c r="J60" s="2551" t="e">
        <f ca="1">IF(OR(M47="住宅",J51&lt;L48,J56="是"),"0",ROUND(J59/(1+J52)^J53,0))</f>
        <v>#DIV/0!</v>
      </c>
      <c r="K60" s="2553" t="s">
        <v>2428</v>
      </c>
      <c r="L60" s="2551" t="e">
        <f ca="1">IF(OR(M47="住宅",L48&lt;J51),0,ROUND(L57*(L58/L59-1),0))</f>
        <v>#DIV/0!</v>
      </c>
      <c r="O60" s="2590" t="s">
        <v>2450</v>
      </c>
      <c r="P60" s="2598" t="s">
        <v>2480</v>
      </c>
      <c r="Q60" s="2589">
        <f ca="1">L58</f>
        <v>0</v>
      </c>
      <c r="R60" s="2589" t="s">
        <v>2455</v>
      </c>
    </row>
    <row r="61" spans="1:18" s="1455" customFormat="1" ht="20.25" thickBot="1">
      <c r="A61" s="2439" t="s">
        <v>2369</v>
      </c>
      <c r="B61" s="2403" t="s">
        <v>931</v>
      </c>
      <c r="C61" s="313">
        <f ca="1">IF(项目基本情况!B11="自然人","——",IF(D61="按租金收入计税",ROUND(C48*F61,0),IF(D61="按房产原值计税",ROUND(C57*F61*0.7,0),INDIRECT("'数据-取费表'!Aj"&amp;$G$1))))</f>
        <v>0</v>
      </c>
      <c r="D61" s="1301" t="s">
        <v>2410</v>
      </c>
      <c r="E61" s="2403" t="s">
        <v>365</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933</v>
      </c>
      <c r="C62" s="314">
        <f ca="1">IF(项目基本情况!B11="自然人","——",ROUND(F62*F63,0))</f>
        <v>0</v>
      </c>
      <c r="D62" s="2422" t="s">
        <v>934</v>
      </c>
      <c r="E62" s="2403" t="s">
        <v>935</v>
      </c>
      <c r="F62" s="711">
        <f t="shared" si="0"/>
        <v>12</v>
      </c>
      <c r="I62" s="2548" t="s">
        <v>2415</v>
      </c>
      <c r="J62" s="2549" t="s">
        <v>2416</v>
      </c>
      <c r="K62" s="2549" t="s">
        <v>2417</v>
      </c>
      <c r="L62" s="2549" t="s">
        <v>2413</v>
      </c>
      <c r="M62" s="3321" t="s">
        <v>3033</v>
      </c>
      <c r="O62" s="2588" t="s">
        <v>2452</v>
      </c>
      <c r="P62" s="2598" t="s">
        <v>2470</v>
      </c>
      <c r="Q62" s="2589" t="e">
        <f ca="1">Q56+Q57</f>
        <v>#DIV/0!</v>
      </c>
      <c r="R62" s="2589" t="s">
        <v>2453</v>
      </c>
    </row>
    <row r="63" spans="1:18" s="1455" customFormat="1" ht="16.5" thickBot="1">
      <c r="A63" s="712"/>
      <c r="B63" s="2409"/>
      <c r="C63" s="318"/>
      <c r="D63" s="2423"/>
      <c r="E63" s="2403" t="s">
        <v>939</v>
      </c>
      <c r="F63" s="685">
        <f t="shared" ca="1" si="0"/>
        <v>0</v>
      </c>
      <c r="I63" s="2548" t="s">
        <v>2429</v>
      </c>
      <c r="J63" s="3324">
        <v>70</v>
      </c>
      <c r="K63" s="3324">
        <v>50</v>
      </c>
      <c r="L63" s="3324">
        <v>80</v>
      </c>
      <c r="M63" s="3322">
        <v>0.02</v>
      </c>
      <c r="O63" s="2592" t="s">
        <v>2484</v>
      </c>
      <c r="P63" s="1296"/>
      <c r="Q63" s="1296"/>
      <c r="R63" s="1296"/>
    </row>
    <row r="64" spans="1:18" s="1455" customFormat="1" ht="15.75" thickBot="1">
      <c r="A64" s="2439" t="s">
        <v>2378</v>
      </c>
      <c r="B64" s="2403" t="s">
        <v>941</v>
      </c>
      <c r="C64" s="313">
        <f ca="1">ROUND(C57*F64,0)</f>
        <v>0</v>
      </c>
      <c r="D64" s="2421" t="s">
        <v>971</v>
      </c>
      <c r="E64" s="2403" t="s">
        <v>365</v>
      </c>
      <c r="F64" s="714">
        <f t="shared" ca="1" si="0"/>
        <v>0</v>
      </c>
      <c r="I64" s="2548" t="s">
        <v>107</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ROUND(C56*F65,0)</f>
        <v>0</v>
      </c>
      <c r="D65" s="2421" t="s">
        <v>369</v>
      </c>
      <c r="E65" s="2403" t="s">
        <v>365</v>
      </c>
      <c r="F65" s="716">
        <f t="shared" ca="1" si="0"/>
        <v>0</v>
      </c>
      <c r="I65" s="2548" t="s">
        <v>2431</v>
      </c>
      <c r="J65" s="3324">
        <v>40</v>
      </c>
      <c r="K65" s="3324">
        <v>30</v>
      </c>
      <c r="L65" s="3324">
        <v>50</v>
      </c>
      <c r="M65" s="3322">
        <v>0.02</v>
      </c>
      <c r="O65" s="2588" t="s">
        <v>2446</v>
      </c>
      <c r="P65" s="2598" t="s">
        <v>2464</v>
      </c>
      <c r="Q65" s="2589" t="e">
        <f ca="1">C40+J29</f>
        <v>#DIV/0!</v>
      </c>
      <c r="R65" s="2589" t="s">
        <v>2465</v>
      </c>
    </row>
    <row r="66" spans="1:18" s="1455" customFormat="1" ht="20.25" thickBot="1">
      <c r="A66" s="2439" t="s">
        <v>2373</v>
      </c>
      <c r="B66" s="2403" t="s">
        <v>367</v>
      </c>
      <c r="C66" s="313">
        <f ca="1">ROUND(C48*F66,0)</f>
        <v>0</v>
      </c>
      <c r="D66" s="2421" t="s">
        <v>371</v>
      </c>
      <c r="E66" s="2403" t="s">
        <v>365</v>
      </c>
      <c r="F66" s="694">
        <f t="shared" ca="1" si="0"/>
        <v>0</v>
      </c>
      <c r="O66" s="2588" t="s">
        <v>2447</v>
      </c>
      <c r="P66" s="2598" t="s">
        <v>2471</v>
      </c>
      <c r="Q66" s="2589" t="e">
        <f ca="1">L60</f>
        <v>#DIV/0!</v>
      </c>
      <c r="R66" s="2589" t="s">
        <v>2454</v>
      </c>
    </row>
    <row r="67" spans="1:18" s="1455" customFormat="1" ht="24.75" thickBot="1">
      <c r="A67" s="2410" t="s">
        <v>2351</v>
      </c>
      <c r="B67" s="2424" t="s">
        <v>377</v>
      </c>
      <c r="C67" s="698">
        <f ca="1">C48-C58</f>
        <v>0</v>
      </c>
      <c r="D67" s="2420" t="s">
        <v>378</v>
      </c>
      <c r="E67" s="2425"/>
      <c r="F67" s="2426"/>
      <c r="O67" s="2590" t="s">
        <v>2448</v>
      </c>
      <c r="P67" s="2598" t="s">
        <v>2478</v>
      </c>
      <c r="Q67" s="2593">
        <f ca="1">L51</f>
        <v>0</v>
      </c>
      <c r="R67" s="2594" t="s">
        <v>2488</v>
      </c>
    </row>
    <row r="68" spans="1:18" s="1455" customFormat="1" ht="20.25" thickBot="1">
      <c r="A68" s="2400" t="s">
        <v>2354</v>
      </c>
      <c r="B68" s="2401" t="s">
        <v>379</v>
      </c>
      <c r="C68" s="683" t="e">
        <f ca="1">ROUND(C67*(1-((1+F70)/(1+F68))^F69)/(F68-F70),0)</f>
        <v>#DIV/0!</v>
      </c>
      <c r="D68" s="2422" t="s">
        <v>373</v>
      </c>
      <c r="E68" s="2403" t="s">
        <v>374</v>
      </c>
      <c r="F68" s="694">
        <f ca="1">F40</f>
        <v>0</v>
      </c>
      <c r="O68" s="2590" t="s">
        <v>2449</v>
      </c>
      <c r="P68" s="2599" t="s">
        <v>2482</v>
      </c>
      <c r="Q68" s="2589">
        <f ca="1">ROUND(Q69-Q70*Q71,0)</f>
        <v>0</v>
      </c>
      <c r="R68" s="2589" t="s">
        <v>2487</v>
      </c>
    </row>
    <row r="69" spans="1:18" s="1455" customFormat="1" ht="15.75" thickBot="1">
      <c r="A69" s="2404"/>
      <c r="B69" s="2405"/>
      <c r="C69" s="688"/>
      <c r="D69" s="2427" t="s">
        <v>956</v>
      </c>
      <c r="E69" s="2403" t="s">
        <v>381</v>
      </c>
      <c r="F69" s="719">
        <f ca="1">F41</f>
        <v>0</v>
      </c>
      <c r="O69" s="2590" t="s">
        <v>2457</v>
      </c>
      <c r="P69" s="2599" t="s">
        <v>2472</v>
      </c>
      <c r="Q69" s="2589">
        <f ca="1">C39</f>
        <v>0</v>
      </c>
      <c r="R69" s="2589" t="s">
        <v>2465</v>
      </c>
    </row>
    <row r="70" spans="1:18" s="1455" customFormat="1" ht="15.75" thickBot="1">
      <c r="A70" s="2407"/>
      <c r="B70" s="2408"/>
      <c r="C70" s="692"/>
      <c r="D70" s="2423"/>
      <c r="E70" s="2403" t="s">
        <v>382</v>
      </c>
      <c r="F70" s="2533">
        <f ca="1">F42</f>
        <v>0</v>
      </c>
      <c r="O70" s="2590" t="s">
        <v>2458</v>
      </c>
      <c r="P70" s="2599" t="s">
        <v>2473</v>
      </c>
      <c r="Q70" s="2589">
        <f ca="1">C13</f>
        <v>0</v>
      </c>
      <c r="R70" s="2589" t="s">
        <v>2465</v>
      </c>
    </row>
    <row r="71" spans="1:18" s="1455" customFormat="1" ht="15.75" thickBot="1">
      <c r="A71" s="2428" t="s">
        <v>2361</v>
      </c>
      <c r="B71" s="2429" t="s">
        <v>383</v>
      </c>
      <c r="C71" s="722" t="e">
        <f ca="1">ROUND(C68/F71,0)</f>
        <v>#DIV/0!</v>
      </c>
      <c r="D71" s="2430" t="s">
        <v>384</v>
      </c>
      <c r="E71" s="2431" t="s">
        <v>385</v>
      </c>
      <c r="F71" s="725">
        <f ca="1">F43</f>
        <v>0</v>
      </c>
      <c r="I71" s="2398"/>
      <c r="K71" s="2398"/>
      <c r="O71" s="2590" t="s">
        <v>2459</v>
      </c>
      <c r="P71" s="2599" t="s">
        <v>2485</v>
      </c>
      <c r="Q71" s="2591">
        <f ca="1">C76</f>
        <v>0</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0</v>
      </c>
      <c r="D75" s="1455"/>
      <c r="E75" s="1455"/>
      <c r="F75" s="1455"/>
      <c r="K75" s="1456"/>
      <c r="L75" s="1455"/>
      <c r="O75" s="2588" t="s">
        <v>2452</v>
      </c>
      <c r="P75" s="2598" t="s">
        <v>2470</v>
      </c>
      <c r="Q75" s="2589" t="e">
        <f ca="1">Q65+Q66</f>
        <v>#DIV/0!</v>
      </c>
      <c r="R75" s="2589" t="s">
        <v>2453</v>
      </c>
    </row>
    <row r="76" spans="1:18">
      <c r="B76" s="731" t="s">
        <v>970</v>
      </c>
      <c r="C76" s="732">
        <f ca="1">INDIRECT("'数据-取费表'!j"&amp;$G$1)</f>
        <v>0</v>
      </c>
      <c r="I76" s="1455"/>
      <c r="J76" s="1455"/>
      <c r="K76" s="1456"/>
      <c r="L76" s="1455"/>
    </row>
    <row r="77" spans="1:18">
      <c r="B77" s="733" t="s">
        <v>973</v>
      </c>
      <c r="C77" s="734"/>
      <c r="I77" s="1455"/>
      <c r="J77" s="1455"/>
      <c r="K77" s="1456"/>
      <c r="L77" s="1455"/>
    </row>
    <row r="78" spans="1:18">
      <c r="B78" s="646" t="s">
        <v>959</v>
      </c>
      <c r="C78" s="735"/>
    </row>
    <row r="79" spans="1:18">
      <c r="B79" s="2874" t="s">
        <v>2698</v>
      </c>
      <c r="C79" s="650" t="e">
        <f ca="1">1-C80</f>
        <v>#DIV/0!</v>
      </c>
    </row>
    <row r="80" spans="1:18">
      <c r="B80" s="2874" t="s">
        <v>2699</v>
      </c>
      <c r="C80" s="650" t="e">
        <f ca="1">ROUND(C75/C39,3)</f>
        <v>#DIV/0!</v>
      </c>
    </row>
    <row r="81" spans="2:3">
      <c r="B81" s="646" t="s">
        <v>387</v>
      </c>
      <c r="C81" s="647"/>
    </row>
    <row r="82" spans="2:3">
      <c r="B82" s="2873" t="s">
        <v>2696</v>
      </c>
      <c r="C82" s="651" t="e">
        <f ca="1">1-C83</f>
        <v>#DIV/0!</v>
      </c>
    </row>
    <row r="83" spans="2:3">
      <c r="B83" s="2873" t="s">
        <v>2695</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02" t="s">
        <v>2543</v>
      </c>
      <c r="B1" s="3603"/>
      <c r="C1" s="3604"/>
      <c r="D1" s="3605">
        <f>SUM(I10,I15,I20,I21,I23)</f>
        <v>0</v>
      </c>
      <c r="E1" s="3605"/>
      <c r="F1" s="3605"/>
      <c r="G1" s="3605"/>
      <c r="H1" s="3605"/>
      <c r="I1" s="3606"/>
    </row>
    <row r="2" spans="1:9">
      <c r="A2" s="3607" t="s">
        <v>2544</v>
      </c>
      <c r="B2" s="3608" t="s">
        <v>2545</v>
      </c>
      <c r="C2" s="3608"/>
      <c r="D2" s="2639" t="s">
        <v>2546</v>
      </c>
      <c r="E2" s="2639" t="s">
        <v>2547</v>
      </c>
      <c r="F2" s="2639" t="s">
        <v>2548</v>
      </c>
      <c r="G2" s="2639" t="s">
        <v>2549</v>
      </c>
      <c r="H2" s="2639" t="s">
        <v>2550</v>
      </c>
      <c r="I2" s="2640" t="s">
        <v>2551</v>
      </c>
    </row>
    <row r="3" spans="1:9">
      <c r="A3" s="3607"/>
      <c r="B3" s="3608" t="s">
        <v>2552</v>
      </c>
      <c r="C3" s="3608"/>
      <c r="D3" s="2641"/>
      <c r="E3" s="2639"/>
      <c r="F3" s="2642"/>
      <c r="G3" s="2642"/>
      <c r="H3" s="2643"/>
      <c r="I3" s="2644">
        <f>ROUND(D3*E3*F3*G3*H3/10000,0)</f>
        <v>0</v>
      </c>
    </row>
    <row r="4" spans="1:9">
      <c r="A4" s="3607"/>
      <c r="B4" s="3608" t="s">
        <v>2553</v>
      </c>
      <c r="C4" s="3608"/>
      <c r="D4" s="2641"/>
      <c r="E4" s="2639"/>
      <c r="F4" s="2642"/>
      <c r="G4" s="2642"/>
      <c r="H4" s="2643"/>
      <c r="I4" s="2644">
        <f t="shared" ref="I4:I9" si="0">ROUND(D4*E4*F4*G4*H4/10000,0)</f>
        <v>0</v>
      </c>
    </row>
    <row r="5" spans="1:9">
      <c r="A5" s="3607"/>
      <c r="B5" s="3608" t="s">
        <v>2554</v>
      </c>
      <c r="C5" s="3608"/>
      <c r="D5" s="2641"/>
      <c r="E5" s="2639"/>
      <c r="F5" s="2642"/>
      <c r="G5" s="2642"/>
      <c r="H5" s="2643"/>
      <c r="I5" s="2644">
        <f t="shared" si="0"/>
        <v>0</v>
      </c>
    </row>
    <row r="6" spans="1:9">
      <c r="A6" s="3607"/>
      <c r="B6" s="3608" t="s">
        <v>2555</v>
      </c>
      <c r="C6" s="3608"/>
      <c r="D6" s="2641"/>
      <c r="E6" s="2639"/>
      <c r="F6" s="2642"/>
      <c r="G6" s="2642"/>
      <c r="H6" s="2643"/>
      <c r="I6" s="2644">
        <f t="shared" si="0"/>
        <v>0</v>
      </c>
    </row>
    <row r="7" spans="1:9">
      <c r="A7" s="3607"/>
      <c r="B7" s="3608" t="s">
        <v>2556</v>
      </c>
      <c r="C7" s="3608"/>
      <c r="D7" s="2641"/>
      <c r="E7" s="2639"/>
      <c r="F7" s="2642"/>
      <c r="G7" s="2642"/>
      <c r="H7" s="2643"/>
      <c r="I7" s="2644">
        <f t="shared" si="0"/>
        <v>0</v>
      </c>
    </row>
    <row r="8" spans="1:9">
      <c r="A8" s="3607"/>
      <c r="B8" s="3608" t="s">
        <v>2557</v>
      </c>
      <c r="C8" s="3608"/>
      <c r="D8" s="2641"/>
      <c r="E8" s="2639"/>
      <c r="F8" s="2642"/>
      <c r="G8" s="2642"/>
      <c r="H8" s="2643"/>
      <c r="I8" s="2644">
        <f t="shared" si="0"/>
        <v>0</v>
      </c>
    </row>
    <row r="9" spans="1:9">
      <c r="A9" s="3607"/>
      <c r="B9" s="3608" t="s">
        <v>2558</v>
      </c>
      <c r="C9" s="3608"/>
      <c r="D9" s="2641"/>
      <c r="E9" s="2639"/>
      <c r="F9" s="2642"/>
      <c r="G9" s="2642"/>
      <c r="H9" s="2643"/>
      <c r="I9" s="2644">
        <f t="shared" si="0"/>
        <v>0</v>
      </c>
    </row>
    <row r="10" spans="1:9">
      <c r="A10" s="3607"/>
      <c r="B10" s="3609" t="s">
        <v>2559</v>
      </c>
      <c r="C10" s="3609"/>
      <c r="D10" s="2645"/>
      <c r="E10" s="2645" t="e">
        <f>ROUND(D1*10000/D10/H9,0)</f>
        <v>#DIV/0!</v>
      </c>
      <c r="F10" s="2646"/>
      <c r="G10" s="2646"/>
      <c r="H10" s="2647"/>
      <c r="I10" s="2648">
        <f>SUM(I3:I9)</f>
        <v>0</v>
      </c>
    </row>
    <row r="11" spans="1:9" ht="14.25">
      <c r="A11" s="3607" t="s">
        <v>2560</v>
      </c>
      <c r="B11" s="3608" t="s">
        <v>2561</v>
      </c>
      <c r="C11" s="3608"/>
      <c r="D11" s="2641" t="s">
        <v>2562</v>
      </c>
      <c r="E11" s="2641" t="s">
        <v>2563</v>
      </c>
      <c r="F11" s="2642" t="s">
        <v>2564</v>
      </c>
      <c r="G11" s="2642" t="s">
        <v>2550</v>
      </c>
      <c r="H11" s="2649" t="s">
        <v>2565</v>
      </c>
      <c r="I11" s="2640" t="s">
        <v>2551</v>
      </c>
    </row>
    <row r="12" spans="1:9">
      <c r="A12" s="3607"/>
      <c r="B12" s="3608" t="s">
        <v>2566</v>
      </c>
      <c r="C12" s="3608"/>
      <c r="D12" s="2641"/>
      <c r="E12" s="2641"/>
      <c r="F12" s="2642"/>
      <c r="G12" s="2643"/>
      <c r="H12" s="2650"/>
      <c r="I12" s="2640">
        <f>ROUND(D12*E12*F12*G12/10000,0)</f>
        <v>0</v>
      </c>
    </row>
    <row r="13" spans="1:9">
      <c r="A13" s="3607"/>
      <c r="B13" s="3608" t="s">
        <v>2567</v>
      </c>
      <c r="C13" s="3608"/>
      <c r="D13" s="2641"/>
      <c r="E13" s="2641"/>
      <c r="F13" s="2642"/>
      <c r="G13" s="2643"/>
      <c r="H13" s="2650"/>
      <c r="I13" s="2640">
        <f>ROUND(D13*E13*F13*G13/10000,0)</f>
        <v>0</v>
      </c>
    </row>
    <row r="14" spans="1:9">
      <c r="A14" s="3607"/>
      <c r="B14" s="3608" t="s">
        <v>2568</v>
      </c>
      <c r="C14" s="3608"/>
      <c r="D14" s="2641"/>
      <c r="E14" s="2641"/>
      <c r="F14" s="2642"/>
      <c r="G14" s="2643"/>
      <c r="H14" s="2650"/>
      <c r="I14" s="2640">
        <f>ROUND(D14*E14*F14*G14/10000,0)</f>
        <v>0</v>
      </c>
    </row>
    <row r="15" spans="1:9">
      <c r="A15" s="3607"/>
      <c r="B15" s="3609" t="s">
        <v>2559</v>
      </c>
      <c r="C15" s="3609"/>
      <c r="D15" s="2645"/>
      <c r="E15" s="2645">
        <f>SUM(E12:E14)</f>
        <v>0</v>
      </c>
      <c r="F15" s="2646"/>
      <c r="G15" s="2643"/>
      <c r="H15" s="2650"/>
      <c r="I15" s="2651">
        <f>SUM(I12:I14)</f>
        <v>0</v>
      </c>
    </row>
    <row r="16" spans="1:9" ht="24">
      <c r="A16" s="3607" t="s">
        <v>2569</v>
      </c>
      <c r="B16" s="3608" t="s">
        <v>2570</v>
      </c>
      <c r="C16" s="3608"/>
      <c r="D16" s="2641" t="s">
        <v>2546</v>
      </c>
      <c r="E16" s="2652" t="s">
        <v>2571</v>
      </c>
      <c r="F16" s="2642" t="s">
        <v>2572</v>
      </c>
      <c r="G16" s="2643" t="s">
        <v>2550</v>
      </c>
      <c r="H16" s="2649" t="s">
        <v>2565</v>
      </c>
      <c r="I16" s="2640" t="s">
        <v>2551</v>
      </c>
    </row>
    <row r="17" spans="1:9" ht="14.25">
      <c r="A17" s="3607"/>
      <c r="B17" s="3608" t="s">
        <v>2573</v>
      </c>
      <c r="C17" s="3608"/>
      <c r="D17" s="2641"/>
      <c r="E17" s="2641"/>
      <c r="F17" s="2642"/>
      <c r="G17" s="2643"/>
      <c r="H17" s="2653"/>
      <c r="I17" s="2654">
        <f>ROUND(D17*E17*F17*G17/10000,0)</f>
        <v>0</v>
      </c>
    </row>
    <row r="18" spans="1:9" ht="14.25">
      <c r="A18" s="3607"/>
      <c r="B18" s="3608" t="s">
        <v>2574</v>
      </c>
      <c r="C18" s="3608"/>
      <c r="D18" s="2641"/>
      <c r="E18" s="2641"/>
      <c r="F18" s="2642"/>
      <c r="G18" s="2643"/>
      <c r="H18" s="2653"/>
      <c r="I18" s="2654">
        <f>ROUND(D18*E18*F18*G18/10000,0)</f>
        <v>0</v>
      </c>
    </row>
    <row r="19" spans="1:9" ht="14.25">
      <c r="A19" s="3607"/>
      <c r="B19" s="3608" t="s">
        <v>2575</v>
      </c>
      <c r="C19" s="3608"/>
      <c r="D19" s="2641"/>
      <c r="E19" s="2641"/>
      <c r="F19" s="2642"/>
      <c r="G19" s="2643"/>
      <c r="H19" s="2653"/>
      <c r="I19" s="2654">
        <f>ROUND(D19*E19*F19*G19/10000,0)</f>
        <v>0</v>
      </c>
    </row>
    <row r="20" spans="1:9">
      <c r="A20" s="3607"/>
      <c r="B20" s="3609" t="s">
        <v>2559</v>
      </c>
      <c r="C20" s="3609"/>
      <c r="D20" s="2645">
        <f>SUM(D17:D19)</f>
        <v>0</v>
      </c>
      <c r="E20" s="2645"/>
      <c r="F20" s="2646"/>
      <c r="G20" s="2643"/>
      <c r="H20" s="2650"/>
      <c r="I20" s="2651">
        <f>SUM(I17:I19)</f>
        <v>0</v>
      </c>
    </row>
    <row r="21" spans="1:9">
      <c r="A21" s="3607" t="s">
        <v>2576</v>
      </c>
      <c r="B21" s="3611"/>
      <c r="C21" s="3611"/>
      <c r="D21" s="3611"/>
      <c r="E21" s="3611"/>
      <c r="F21" s="3611"/>
      <c r="G21" s="3611"/>
      <c r="H21" s="3299">
        <v>0.1</v>
      </c>
      <c r="I21" s="2648">
        <f>ROUND(I10*H21,0)</f>
        <v>0</v>
      </c>
    </row>
    <row r="22" spans="1:9" ht="14.25">
      <c r="A22" s="3612" t="s">
        <v>2577</v>
      </c>
      <c r="B22" s="3613"/>
      <c r="C22" s="3614"/>
      <c r="D22" s="2655" t="s">
        <v>2578</v>
      </c>
      <c r="E22" s="2655" t="s">
        <v>2579</v>
      </c>
      <c r="F22" s="2656" t="s">
        <v>2580</v>
      </c>
      <c r="G22" s="2656" t="s">
        <v>2581</v>
      </c>
      <c r="H22" s="2649" t="s">
        <v>2582</v>
      </c>
      <c r="I22" s="2640" t="s">
        <v>2583</v>
      </c>
    </row>
    <row r="23" spans="1:9" ht="14.25" thickBot="1">
      <c r="A23" s="3615"/>
      <c r="B23" s="3616"/>
      <c r="C23" s="3617"/>
      <c r="D23" s="2657"/>
      <c r="E23" s="2657"/>
      <c r="F23" s="2657"/>
      <c r="G23" s="2658"/>
      <c r="H23" s="2659"/>
      <c r="I23" s="2660">
        <f>ROUND(E23*D23*F23*(1-G23)/10000,0)</f>
        <v>0</v>
      </c>
    </row>
    <row r="26" spans="1:9">
      <c r="A26" s="2661" t="s">
        <v>2584</v>
      </c>
      <c r="B26" s="2661"/>
      <c r="C26" s="2661"/>
      <c r="D26" s="2661"/>
      <c r="E26" s="3618">
        <f>C27-C30-C31-C32</f>
        <v>0</v>
      </c>
      <c r="F26" s="3618"/>
      <c r="G26" s="3618"/>
      <c r="H26" s="3251" t="s">
        <v>2954</v>
      </c>
    </row>
    <row r="27" spans="1:9">
      <c r="A27" s="2662">
        <v>1</v>
      </c>
      <c r="B27" s="2663" t="s">
        <v>2585</v>
      </c>
      <c r="C27" s="2663">
        <f>C28+C29</f>
        <v>0</v>
      </c>
      <c r="D27" s="2663"/>
      <c r="E27" s="3619"/>
      <c r="F27" s="3619"/>
      <c r="G27" s="3619"/>
    </row>
    <row r="28" spans="1:9">
      <c r="A28" s="2664" t="s">
        <v>2586</v>
      </c>
      <c r="B28" s="2663" t="s">
        <v>2587</v>
      </c>
      <c r="C28" s="2663"/>
      <c r="D28" s="2663"/>
      <c r="E28" s="3619"/>
      <c r="F28" s="3619"/>
      <c r="G28" s="3619"/>
    </row>
    <row r="29" spans="1:9">
      <c r="A29" s="2664" t="s">
        <v>2588</v>
      </c>
      <c r="B29" s="2663" t="s">
        <v>2589</v>
      </c>
      <c r="C29" s="2663"/>
      <c r="D29" s="2663"/>
      <c r="E29" s="2663" t="s">
        <v>2590</v>
      </c>
      <c r="F29" s="2663"/>
      <c r="G29" s="2663"/>
    </row>
    <row r="30" spans="1:9">
      <c r="A30" s="2662">
        <v>2</v>
      </c>
      <c r="B30" s="2663" t="s">
        <v>2591</v>
      </c>
      <c r="C30" s="2663">
        <f>C27*D30</f>
        <v>0</v>
      </c>
      <c r="D30" s="2665">
        <v>0.2</v>
      </c>
      <c r="E30" s="2663" t="s">
        <v>2592</v>
      </c>
      <c r="F30" s="2663"/>
      <c r="G30" s="2663"/>
    </row>
    <row r="31" spans="1:9">
      <c r="A31" s="2662">
        <v>3</v>
      </c>
      <c r="B31" s="2663" t="s">
        <v>2593</v>
      </c>
      <c r="C31" s="2663">
        <f>C25*D31</f>
        <v>0</v>
      </c>
      <c r="D31" s="2665">
        <v>0.15</v>
      </c>
      <c r="E31" s="2663" t="s">
        <v>2594</v>
      </c>
      <c r="F31" s="2663"/>
      <c r="G31" s="2663"/>
    </row>
    <row r="32" spans="1:9">
      <c r="A32" s="2662">
        <v>4</v>
      </c>
      <c r="B32" s="2663" t="s">
        <v>2595</v>
      </c>
      <c r="C32" s="2663">
        <f>C27*D32</f>
        <v>0</v>
      </c>
      <c r="D32" s="2665">
        <v>0.05</v>
      </c>
      <c r="E32" s="3610"/>
      <c r="F32" s="3610"/>
      <c r="G32" s="3610"/>
    </row>
    <row r="33" spans="1:7" hidden="1">
      <c r="A33" s="3620" t="s">
        <v>2596</v>
      </c>
      <c r="B33" s="3621"/>
      <c r="C33" s="3621"/>
      <c r="D33" s="3622"/>
      <c r="E33" s="3618"/>
      <c r="F33" s="3618"/>
      <c r="G33" s="3618"/>
    </row>
    <row r="34" spans="1:7" hidden="1">
      <c r="A34" s="2666">
        <v>1</v>
      </c>
      <c r="B34" s="2663" t="s">
        <v>2597</v>
      </c>
      <c r="C34" s="2663"/>
      <c r="D34" s="2663"/>
      <c r="E34" s="3619"/>
      <c r="F34" s="3619"/>
      <c r="G34" s="3619"/>
    </row>
    <row r="35" spans="1:7" hidden="1">
      <c r="A35" s="2666">
        <v>2</v>
      </c>
      <c r="B35" s="2663" t="s">
        <v>2598</v>
      </c>
      <c r="C35" s="2663"/>
      <c r="D35" s="2663"/>
      <c r="E35" s="3619"/>
      <c r="F35" s="3619"/>
      <c r="G35" s="3619"/>
    </row>
    <row r="36" spans="1:7" hidden="1">
      <c r="A36" s="2666">
        <v>3</v>
      </c>
      <c r="B36" s="2663" t="s">
        <v>2599</v>
      </c>
      <c r="C36" s="2663"/>
      <c r="D36" s="2663"/>
      <c r="E36" s="3619"/>
      <c r="F36" s="3619"/>
      <c r="G36" s="3619"/>
    </row>
    <row r="37" spans="1:7" hidden="1">
      <c r="A37" s="2666">
        <v>4</v>
      </c>
      <c r="B37" s="2663" t="s">
        <v>2600</v>
      </c>
      <c r="C37" s="2663"/>
      <c r="D37" s="2663"/>
      <c r="E37" s="3619"/>
      <c r="F37" s="3619"/>
      <c r="G37" s="3619"/>
    </row>
    <row r="38" spans="1:7" hidden="1">
      <c r="A38" s="3620" t="s">
        <v>2601</v>
      </c>
      <c r="B38" s="3621"/>
      <c r="C38" s="3621"/>
      <c r="D38" s="3622"/>
      <c r="E38" s="3618"/>
      <c r="F38" s="3618"/>
      <c r="G38" s="36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974</v>
      </c>
      <c r="B1" s="3102" t="s">
        <v>975</v>
      </c>
      <c r="C1" s="3103" t="s">
        <v>976</v>
      </c>
      <c r="D1" s="3104"/>
      <c r="E1" s="3105"/>
      <c r="F1" s="3106" t="s">
        <v>2692</v>
      </c>
      <c r="G1" s="3108" t="s">
        <v>977</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978</v>
      </c>
      <c r="B2" s="2845" t="e">
        <f ca="1">IF(C2="——",ROUND(C49*D3/10000,0),ROUND(C49*D3/10000,0)-D2)</f>
        <v>#DIV/0!</v>
      </c>
      <c r="C2" s="3098"/>
      <c r="D2" s="2725" t="e">
        <f ca="1">SUMIF(INDIRECT("'"&amp;F2&amp;"'"&amp;"!A:A"),"承租人权益价值",INDIRECT("'"&amp;F2&amp;"'"&amp;"!c:c"))</f>
        <v>#REF!</v>
      </c>
      <c r="E2" s="3099" t="s">
        <v>863</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979</v>
      </c>
      <c r="B3" s="742" t="e">
        <f ca="1">IF(C2="——",C49,ROUND(B2*10000/D3,0))</f>
        <v>#DIV/0!</v>
      </c>
      <c r="C3" s="142" t="s">
        <v>980</v>
      </c>
      <c r="D3" s="742">
        <f>IF(D1="",'数据-汇总表'!E3,SUMIF('数据-汇总表'!$C19:$C33,D1,'数据-汇总表'!$E19:$E33))</f>
        <v>92501.329999999987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981</v>
      </c>
      <c r="B4" s="144"/>
      <c r="C4" s="3641" t="s">
        <v>982</v>
      </c>
      <c r="D4" s="3642"/>
      <c r="E4" s="3643" t="s">
        <v>983</v>
      </c>
      <c r="F4" s="3644"/>
      <c r="G4" s="3641" t="s">
        <v>984</v>
      </c>
      <c r="H4" s="3642"/>
      <c r="I4" s="3641" t="s">
        <v>985</v>
      </c>
      <c r="J4" s="3642"/>
      <c r="K4" s="145" t="s">
        <v>986</v>
      </c>
      <c r="L4" s="2296"/>
      <c r="M4" s="2297"/>
      <c r="N4" s="2297"/>
      <c r="O4" s="2297"/>
      <c r="P4" s="3645" t="s">
        <v>981</v>
      </c>
      <c r="Q4" s="3646"/>
      <c r="R4" s="3628" t="s">
        <v>983</v>
      </c>
      <c r="S4" s="3629"/>
      <c r="T4" s="3628" t="s">
        <v>984</v>
      </c>
      <c r="U4" s="3629"/>
      <c r="V4" s="3653" t="s">
        <v>985</v>
      </c>
      <c r="W4" s="3653"/>
      <c r="X4" s="1340"/>
      <c r="Y4" s="3628" t="s">
        <v>981</v>
      </c>
      <c r="Z4" s="3629"/>
      <c r="AA4" s="3623" t="s">
        <v>983</v>
      </c>
      <c r="AB4" s="3623" t="s">
        <v>984</v>
      </c>
      <c r="AC4" s="3623" t="s">
        <v>985</v>
      </c>
    </row>
    <row r="5" spans="1:29">
      <c r="A5" s="146"/>
      <c r="B5" s="147"/>
      <c r="C5" s="3634" t="s">
        <v>987</v>
      </c>
      <c r="D5" s="3635"/>
      <c r="E5" s="3632" t="s">
        <v>988</v>
      </c>
      <c r="F5" s="3633"/>
      <c r="G5" s="3634" t="s">
        <v>989</v>
      </c>
      <c r="H5" s="3635"/>
      <c r="I5" s="3634" t="s">
        <v>990</v>
      </c>
      <c r="J5" s="3635"/>
      <c r="K5" s="152"/>
      <c r="L5" s="2296"/>
      <c r="M5" s="2297"/>
      <c r="N5" s="2297"/>
      <c r="O5" s="2297"/>
      <c r="P5" s="3647"/>
      <c r="Q5" s="3648"/>
      <c r="R5" s="3630"/>
      <c r="S5" s="3631"/>
      <c r="T5" s="3630"/>
      <c r="U5" s="3631"/>
      <c r="V5" s="3653"/>
      <c r="W5" s="3653"/>
      <c r="X5" s="1340"/>
      <c r="Y5" s="3630"/>
      <c r="Z5" s="3631"/>
      <c r="AA5" s="3624"/>
      <c r="AB5" s="3624"/>
      <c r="AC5" s="3624"/>
    </row>
    <row r="6" spans="1:29" ht="14.25" thickBot="1">
      <c r="A6" s="148"/>
      <c r="B6" s="149"/>
      <c r="C6" s="3636" t="s">
        <v>991</v>
      </c>
      <c r="D6" s="3637"/>
      <c r="E6" s="3638" t="s">
        <v>991</v>
      </c>
      <c r="F6" s="3639"/>
      <c r="G6" s="3636" t="s">
        <v>991</v>
      </c>
      <c r="H6" s="3637"/>
      <c r="I6" s="3636" t="s">
        <v>991</v>
      </c>
      <c r="J6" s="3637"/>
      <c r="K6" s="152" t="s">
        <v>992</v>
      </c>
      <c r="L6" s="2296"/>
      <c r="M6" s="2297"/>
      <c r="N6" s="2297"/>
      <c r="O6" s="2297"/>
      <c r="P6" s="3649"/>
      <c r="Q6" s="3650"/>
      <c r="R6" s="3630"/>
      <c r="S6" s="3631"/>
      <c r="T6" s="3651"/>
      <c r="U6" s="3652"/>
      <c r="V6" s="3653"/>
      <c r="W6" s="3653"/>
      <c r="X6" s="1340"/>
      <c r="Y6" s="3651"/>
      <c r="Z6" s="3652"/>
      <c r="AA6" s="3625"/>
      <c r="AB6" s="3625"/>
      <c r="AC6" s="3625"/>
    </row>
    <row r="7" spans="1:29" s="40" customFormat="1" ht="15" thickBot="1">
      <c r="A7" s="1014" t="s">
        <v>993</v>
      </c>
      <c r="B7" s="1015"/>
      <c r="C7" s="1016">
        <f>'数据-取费表'!B2</f>
        <v>42964</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26" t="s">
        <v>993</v>
      </c>
      <c r="Q7" s="3654"/>
      <c r="R7" s="1342" t="s">
        <v>115</v>
      </c>
      <c r="S7" s="1343">
        <f t="shared" ref="S7:S15" si="0">F7</f>
        <v>0</v>
      </c>
      <c r="T7" s="1342" t="s">
        <v>115</v>
      </c>
      <c r="U7" s="1343">
        <f t="shared" ref="U7:U15" si="1">H7</f>
        <v>0</v>
      </c>
      <c r="V7" s="1342" t="s">
        <v>115</v>
      </c>
      <c r="W7" s="1343">
        <f t="shared" ref="W7:W15" si="2">J7</f>
        <v>0</v>
      </c>
      <c r="X7" s="287"/>
      <c r="Y7" s="3626" t="s">
        <v>993</v>
      </c>
      <c r="Z7" s="3627"/>
      <c r="AA7" s="1344" t="e">
        <f>D7/F7</f>
        <v>#DIV/0!</v>
      </c>
      <c r="AB7" s="1344" t="e">
        <f>D7/H7</f>
        <v>#DIV/0!</v>
      </c>
      <c r="AC7" s="1344" t="e">
        <f>D7/J7</f>
        <v>#DIV/0!</v>
      </c>
    </row>
    <row r="8" spans="1:29" s="40" customFormat="1" ht="15" thickBot="1">
      <c r="A8" s="1014" t="s">
        <v>994</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26" t="s">
        <v>994</v>
      </c>
      <c r="Q8" s="3627"/>
      <c r="R8" s="1342" t="s">
        <v>115</v>
      </c>
      <c r="S8" s="1343">
        <f t="shared" si="0"/>
        <v>0</v>
      </c>
      <c r="T8" s="1342" t="s">
        <v>115</v>
      </c>
      <c r="U8" s="1343">
        <f t="shared" si="1"/>
        <v>0</v>
      </c>
      <c r="V8" s="1342" t="s">
        <v>115</v>
      </c>
      <c r="W8" s="1343">
        <f t="shared" si="2"/>
        <v>0</v>
      </c>
      <c r="X8" s="287"/>
      <c r="Y8" s="3626" t="s">
        <v>994</v>
      </c>
      <c r="Z8" s="3627"/>
      <c r="AA8" s="1344" t="e">
        <f t="shared" ref="AA8:AA19" si="3">D8/F8</f>
        <v>#DIV/0!</v>
      </c>
      <c r="AB8" s="1344" t="e">
        <f t="shared" ref="AB8:AB19" si="4">D8/H8</f>
        <v>#DIV/0!</v>
      </c>
      <c r="AC8" s="1344" t="e">
        <f t="shared" ref="AC8:AC19" si="5">D8/J8</f>
        <v>#DIV/0!</v>
      </c>
    </row>
    <row r="9" spans="1:29" s="40" customFormat="1" ht="14.25">
      <c r="A9" s="1021" t="s">
        <v>995</v>
      </c>
      <c r="B9" s="62" t="s">
        <v>996</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40"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40"/>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40"/>
      <c r="Q11" s="7" t="str">
        <f t="shared" si="6"/>
        <v>容积率</v>
      </c>
      <c r="R11" s="1342" t="s">
        <v>104</v>
      </c>
      <c r="S11" s="1343" t="e">
        <f t="shared" si="0"/>
        <v>#N/A</v>
      </c>
      <c r="T11" s="1342" t="s">
        <v>104</v>
      </c>
      <c r="U11" s="1343" t="e">
        <f t="shared" si="1"/>
        <v>#N/A</v>
      </c>
      <c r="V11" s="1342" t="s">
        <v>104</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40"/>
      <c r="Q12" s="7">
        <f t="shared" si="6"/>
        <v>111</v>
      </c>
      <c r="R12" s="1342" t="s">
        <v>104</v>
      </c>
      <c r="S12" s="1343">
        <f t="shared" si="0"/>
        <v>100</v>
      </c>
      <c r="T12" s="1342" t="s">
        <v>104</v>
      </c>
      <c r="U12" s="1343">
        <f t="shared" si="1"/>
        <v>100</v>
      </c>
      <c r="V12" s="1342" t="s">
        <v>104</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40"/>
      <c r="Q13" s="7">
        <f t="shared" si="6"/>
        <v>111</v>
      </c>
      <c r="R13" s="1342" t="s">
        <v>104</v>
      </c>
      <c r="S13" s="1343">
        <f t="shared" si="0"/>
        <v>100</v>
      </c>
      <c r="T13" s="1342" t="s">
        <v>104</v>
      </c>
      <c r="U13" s="1343">
        <f t="shared" si="1"/>
        <v>100</v>
      </c>
      <c r="V13" s="1342" t="s">
        <v>104</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40"/>
      <c r="Q14" s="7">
        <f t="shared" si="6"/>
        <v>111</v>
      </c>
      <c r="R14" s="1342" t="s">
        <v>104</v>
      </c>
      <c r="S14" s="1343">
        <f t="shared" si="0"/>
        <v>100</v>
      </c>
      <c r="T14" s="1342" t="s">
        <v>104</v>
      </c>
      <c r="U14" s="1343">
        <f t="shared" si="1"/>
        <v>100</v>
      </c>
      <c r="V14" s="1342" t="s">
        <v>104</v>
      </c>
      <c r="W14" s="1343">
        <f t="shared" si="2"/>
        <v>100</v>
      </c>
      <c r="X14" s="287"/>
      <c r="Y14" s="3443"/>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67" t="s">
        <v>69</v>
      </c>
      <c r="Q15" s="1351" t="str">
        <f t="shared" si="6"/>
        <v>居住社区成熟度</v>
      </c>
      <c r="R15" s="1352" t="s">
        <v>104</v>
      </c>
      <c r="S15" s="1353">
        <f t="shared" si="0"/>
        <v>100</v>
      </c>
      <c r="T15" s="1352" t="s">
        <v>104</v>
      </c>
      <c r="U15" s="1353">
        <f t="shared" si="1"/>
        <v>100</v>
      </c>
      <c r="V15" s="1352" t="s">
        <v>104</v>
      </c>
      <c r="W15" s="1353">
        <f t="shared" si="2"/>
        <v>100</v>
      </c>
      <c r="X15" s="1340"/>
      <c r="Y15" s="3660"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68"/>
      <c r="Q16" s="1351"/>
      <c r="R16" s="1352"/>
      <c r="S16" s="1353"/>
      <c r="T16" s="1352"/>
      <c r="U16" s="1353"/>
      <c r="V16" s="1352"/>
      <c r="W16" s="1353"/>
      <c r="X16" s="1340"/>
      <c r="Y16" s="3661"/>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68"/>
      <c r="Q17" s="1351" t="str">
        <f>B17</f>
        <v>交通便捷度</v>
      </c>
      <c r="R17" s="1352" t="s">
        <v>104</v>
      </c>
      <c r="S17" s="1353">
        <f>F17</f>
        <v>100</v>
      </c>
      <c r="T17" s="1352" t="s">
        <v>104</v>
      </c>
      <c r="U17" s="1353">
        <f>H17</f>
        <v>100</v>
      </c>
      <c r="V17" s="1352" t="s">
        <v>104</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68"/>
      <c r="Q18" s="1351"/>
      <c r="R18" s="1352"/>
      <c r="S18" s="1353"/>
      <c r="T18" s="1352"/>
      <c r="U18" s="1353"/>
      <c r="V18" s="1352"/>
      <c r="W18" s="1353"/>
      <c r="X18" s="1340"/>
      <c r="Y18" s="3661"/>
      <c r="Z18" s="1354"/>
      <c r="AA18" s="1355">
        <v>1</v>
      </c>
      <c r="AB18" s="1355">
        <v>1</v>
      </c>
      <c r="AC18" s="1355">
        <v>1</v>
      </c>
    </row>
    <row r="19" spans="1:29" ht="15">
      <c r="A19" s="151"/>
      <c r="B19" s="1356" t="s">
        <v>2628</v>
      </c>
      <c r="C19" s="158" t="str">
        <f>估价对象房地状况!C7</f>
        <v>较好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68"/>
      <c r="Q19" s="1351" t="str">
        <f>B19</f>
        <v>公共配套设施</v>
      </c>
      <c r="R19" s="1352" t="s">
        <v>104</v>
      </c>
      <c r="S19" s="1353">
        <f>F19</f>
        <v>100</v>
      </c>
      <c r="T19" s="1352" t="s">
        <v>104</v>
      </c>
      <c r="U19" s="1353">
        <f>H19</f>
        <v>100</v>
      </c>
      <c r="V19" s="1352" t="s">
        <v>104</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68"/>
      <c r="Q20" s="1351"/>
      <c r="R20" s="1352"/>
      <c r="S20" s="1353"/>
      <c r="T20" s="1352"/>
      <c r="U20" s="1353"/>
      <c r="V20" s="1352"/>
      <c r="W20" s="1353"/>
      <c r="X20" s="1340"/>
      <c r="Y20" s="3661"/>
      <c r="Z20" s="1354"/>
      <c r="AA20" s="1355">
        <v>1</v>
      </c>
      <c r="AB20" s="1355">
        <v>1</v>
      </c>
      <c r="AC20" s="1355">
        <v>1</v>
      </c>
    </row>
    <row r="21" spans="1:29" ht="15">
      <c r="A21" s="151"/>
      <c r="B21" s="1412" t="s">
        <v>2639</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68"/>
      <c r="Q22" s="2747"/>
      <c r="R22" s="1352"/>
      <c r="S22" s="1353"/>
      <c r="T22" s="1352"/>
      <c r="U22" s="1353"/>
      <c r="V22" s="1352"/>
      <c r="W22" s="1353"/>
      <c r="X22" s="2749"/>
      <c r="Y22" s="3661"/>
      <c r="Z22" s="2748"/>
      <c r="AA22" s="1355">
        <v>1</v>
      </c>
      <c r="AB22" s="1355">
        <v>1</v>
      </c>
      <c r="AC22" s="1355">
        <v>1</v>
      </c>
    </row>
    <row r="23" spans="1:29" ht="15">
      <c r="A23" s="151"/>
      <c r="B23" s="1356" t="s">
        <v>73</v>
      </c>
      <c r="C23" s="158" t="str">
        <f>估价对象房地状况!C9</f>
        <v>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68"/>
      <c r="Q23" s="1351" t="str">
        <f>B23</f>
        <v>自然及人文环境</v>
      </c>
      <c r="R23" s="1352" t="s">
        <v>104</v>
      </c>
      <c r="S23" s="1353">
        <f>F23</f>
        <v>100</v>
      </c>
      <c r="T23" s="1352" t="s">
        <v>104</v>
      </c>
      <c r="U23" s="1353">
        <f>H23</f>
        <v>100</v>
      </c>
      <c r="V23" s="1352" t="s">
        <v>104</v>
      </c>
      <c r="W23" s="1353">
        <f>J23</f>
        <v>100</v>
      </c>
      <c r="X23" s="1340"/>
      <c r="Y23" s="3661"/>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68"/>
      <c r="Q24" s="1351"/>
      <c r="R24" s="1352"/>
      <c r="S24" s="1353"/>
      <c r="T24" s="1352"/>
      <c r="U24" s="1353"/>
      <c r="V24" s="1352"/>
      <c r="W24" s="1353"/>
      <c r="X24" s="1340"/>
      <c r="Y24" s="3661"/>
      <c r="Z24" s="1354"/>
      <c r="AA24" s="1355">
        <v>1</v>
      </c>
      <c r="AB24" s="1355">
        <v>1</v>
      </c>
      <c r="AC24" s="1355">
        <v>1</v>
      </c>
    </row>
    <row r="25" spans="1:29" ht="15">
      <c r="A25" s="151"/>
      <c r="B25" s="12" t="s">
        <v>2290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68"/>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61"/>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68"/>
      <c r="Q26" s="1351" t="str">
        <f t="shared" si="11"/>
        <v>朝向</v>
      </c>
      <c r="R26" s="1352" t="s">
        <v>104</v>
      </c>
      <c r="S26" s="1353">
        <f t="shared" si="12"/>
        <v>100</v>
      </c>
      <c r="T26" s="1352" t="s">
        <v>104</v>
      </c>
      <c r="U26" s="1353">
        <f t="shared" si="13"/>
        <v>100</v>
      </c>
      <c r="V26" s="1352" t="s">
        <v>104</v>
      </c>
      <c r="W26" s="1353">
        <f t="shared" si="14"/>
        <v>100</v>
      </c>
      <c r="X26" s="1340"/>
      <c r="Y26" s="3661"/>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68"/>
      <c r="Q27" s="7">
        <f t="shared" si="11"/>
        <v>111</v>
      </c>
      <c r="R27" s="1342" t="s">
        <v>104</v>
      </c>
      <c r="S27" s="1343">
        <f t="shared" si="12"/>
        <v>100</v>
      </c>
      <c r="T27" s="1342" t="s">
        <v>104</v>
      </c>
      <c r="U27" s="1343">
        <f t="shared" si="13"/>
        <v>100</v>
      </c>
      <c r="V27" s="1342" t="s">
        <v>104</v>
      </c>
      <c r="W27" s="1343">
        <f t="shared" si="14"/>
        <v>100</v>
      </c>
      <c r="X27" s="287"/>
      <c r="Y27" s="3661"/>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68"/>
      <c r="Q28" s="1351">
        <f t="shared" si="11"/>
        <v>111</v>
      </c>
      <c r="R28" s="1352" t="s">
        <v>104</v>
      </c>
      <c r="S28" s="1353">
        <f t="shared" si="12"/>
        <v>100</v>
      </c>
      <c r="T28" s="1352" t="s">
        <v>104</v>
      </c>
      <c r="U28" s="1353">
        <f t="shared" si="13"/>
        <v>100</v>
      </c>
      <c r="V28" s="1352" t="s">
        <v>104</v>
      </c>
      <c r="W28" s="1353">
        <f t="shared" si="14"/>
        <v>100</v>
      </c>
      <c r="X28" s="1340"/>
      <c r="Y28" s="3661"/>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68"/>
      <c r="Q29" s="1351">
        <f t="shared" si="11"/>
        <v>111</v>
      </c>
      <c r="R29" s="1352" t="s">
        <v>104</v>
      </c>
      <c r="S29" s="1353">
        <f t="shared" si="12"/>
        <v>100</v>
      </c>
      <c r="T29" s="1352" t="s">
        <v>104</v>
      </c>
      <c r="U29" s="1353">
        <f t="shared" si="13"/>
        <v>100</v>
      </c>
      <c r="V29" s="1352" t="s">
        <v>104</v>
      </c>
      <c r="W29" s="1353">
        <f t="shared" si="14"/>
        <v>100</v>
      </c>
      <c r="X29" s="1340"/>
      <c r="Y29" s="3661"/>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68"/>
      <c r="Q30" s="1351">
        <f t="shared" si="11"/>
        <v>111</v>
      </c>
      <c r="R30" s="1352" t="s">
        <v>104</v>
      </c>
      <c r="S30" s="1353">
        <f t="shared" si="12"/>
        <v>100</v>
      </c>
      <c r="T30" s="1352" t="s">
        <v>104</v>
      </c>
      <c r="U30" s="1353">
        <f t="shared" si="13"/>
        <v>100</v>
      </c>
      <c r="V30" s="1352" t="s">
        <v>104</v>
      </c>
      <c r="W30" s="1353">
        <f t="shared" si="14"/>
        <v>100</v>
      </c>
      <c r="X30" s="1340"/>
      <c r="Y30" s="3661"/>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68"/>
      <c r="Q31" s="1351">
        <f t="shared" si="11"/>
        <v>111</v>
      </c>
      <c r="R31" s="1352" t="s">
        <v>104</v>
      </c>
      <c r="S31" s="1353">
        <f t="shared" si="12"/>
        <v>100</v>
      </c>
      <c r="T31" s="1352" t="s">
        <v>104</v>
      </c>
      <c r="U31" s="1353">
        <f t="shared" si="13"/>
        <v>100</v>
      </c>
      <c r="V31" s="1352" t="s">
        <v>104</v>
      </c>
      <c r="W31" s="1353">
        <f t="shared" si="14"/>
        <v>100</v>
      </c>
      <c r="X31" s="1340"/>
      <c r="Y31" s="3661"/>
      <c r="Z31" s="1354">
        <f t="shared" si="18"/>
        <v>111</v>
      </c>
      <c r="AA31" s="1355">
        <f t="shared" si="15"/>
        <v>1</v>
      </c>
      <c r="AB31" s="1355">
        <f t="shared" si="16"/>
        <v>1</v>
      </c>
      <c r="AC31" s="1355">
        <f t="shared" si="17"/>
        <v>1</v>
      </c>
    </row>
    <row r="32" spans="1:29" ht="15">
      <c r="A32" s="155" t="s">
        <v>997</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62" t="s">
        <v>70</v>
      </c>
      <c r="Q32" s="1351" t="str">
        <f t="shared" si="11"/>
        <v>建筑类型</v>
      </c>
      <c r="R32" s="1352" t="s">
        <v>104</v>
      </c>
      <c r="S32" s="1353">
        <f t="shared" si="12"/>
        <v>100</v>
      </c>
      <c r="T32" s="1352" t="s">
        <v>104</v>
      </c>
      <c r="U32" s="1353">
        <f t="shared" si="13"/>
        <v>100</v>
      </c>
      <c r="V32" s="1352" t="s">
        <v>104</v>
      </c>
      <c r="W32" s="1353">
        <f t="shared" si="14"/>
        <v>100</v>
      </c>
      <c r="X32" s="1340"/>
      <c r="Y32" s="3665"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63"/>
      <c r="Q33" s="1359" t="str">
        <f t="shared" si="11"/>
        <v>项目建筑规模</v>
      </c>
      <c r="R33" s="1360" t="s">
        <v>104</v>
      </c>
      <c r="S33" s="1361" t="e">
        <f t="shared" si="12"/>
        <v>#N/A</v>
      </c>
      <c r="T33" s="1360" t="s">
        <v>104</v>
      </c>
      <c r="U33" s="1361" t="e">
        <f t="shared" si="13"/>
        <v>#N/A</v>
      </c>
      <c r="V33" s="1360" t="s">
        <v>104</v>
      </c>
      <c r="W33" s="1361" t="e">
        <f t="shared" si="14"/>
        <v>#N/A</v>
      </c>
      <c r="X33" s="1362"/>
      <c r="Y33" s="3665"/>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63"/>
      <c r="Q34" s="1351" t="str">
        <f t="shared" si="11"/>
        <v>建筑结构</v>
      </c>
      <c r="R34" s="1352" t="s">
        <v>104</v>
      </c>
      <c r="S34" s="1353">
        <f t="shared" si="12"/>
        <v>100</v>
      </c>
      <c r="T34" s="1352" t="s">
        <v>104</v>
      </c>
      <c r="U34" s="1353">
        <f t="shared" si="13"/>
        <v>100</v>
      </c>
      <c r="V34" s="1352" t="s">
        <v>104</v>
      </c>
      <c r="W34" s="1353">
        <f t="shared" si="14"/>
        <v>100</v>
      </c>
      <c r="X34" s="1340"/>
      <c r="Y34" s="3665"/>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63"/>
      <c r="Q35" s="1351" t="str">
        <f t="shared" si="11"/>
        <v>建筑品质</v>
      </c>
      <c r="R35" s="1352" t="s">
        <v>104</v>
      </c>
      <c r="S35" s="1353">
        <f t="shared" si="12"/>
        <v>100</v>
      </c>
      <c r="T35" s="1352" t="s">
        <v>104</v>
      </c>
      <c r="U35" s="1353">
        <f t="shared" si="13"/>
        <v>100</v>
      </c>
      <c r="V35" s="1352" t="s">
        <v>104</v>
      </c>
      <c r="W35" s="1353">
        <f t="shared" si="14"/>
        <v>100</v>
      </c>
      <c r="X35" s="1340"/>
      <c r="Y35" s="3665"/>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63"/>
      <c r="Q36" s="1351" t="str">
        <f t="shared" si="11"/>
        <v>公共部分装修</v>
      </c>
      <c r="R36" s="1352" t="s">
        <v>104</v>
      </c>
      <c r="S36" s="1353">
        <f t="shared" si="12"/>
        <v>100</v>
      </c>
      <c r="T36" s="1352" t="s">
        <v>104</v>
      </c>
      <c r="U36" s="1353">
        <f t="shared" si="13"/>
        <v>100</v>
      </c>
      <c r="V36" s="1352" t="s">
        <v>104</v>
      </c>
      <c r="W36" s="1353">
        <f t="shared" si="14"/>
        <v>100</v>
      </c>
      <c r="X36" s="1340"/>
      <c r="Y36" s="3665"/>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63"/>
      <c r="Q37" s="7" t="str">
        <f t="shared" si="11"/>
        <v>成新度</v>
      </c>
      <c r="R37" s="1342" t="s">
        <v>104</v>
      </c>
      <c r="S37" s="1343" t="e">
        <f t="shared" si="12"/>
        <v>#N/A</v>
      </c>
      <c r="T37" s="1342" t="s">
        <v>104</v>
      </c>
      <c r="U37" s="1343" t="e">
        <f t="shared" si="13"/>
        <v>#N/A</v>
      </c>
      <c r="V37" s="1342" t="s">
        <v>104</v>
      </c>
      <c r="W37" s="1343" t="e">
        <f t="shared" si="14"/>
        <v>#N/A</v>
      </c>
      <c r="X37" s="287"/>
      <c r="Y37" s="3665"/>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63" t="s">
        <v>70</v>
      </c>
      <c r="Q38" s="1351" t="str">
        <f t="shared" si="11"/>
        <v>物业管理</v>
      </c>
      <c r="R38" s="1352" t="s">
        <v>104</v>
      </c>
      <c r="S38" s="1353">
        <f t="shared" si="12"/>
        <v>100</v>
      </c>
      <c r="T38" s="1352" t="s">
        <v>104</v>
      </c>
      <c r="U38" s="1353">
        <f t="shared" si="13"/>
        <v>100</v>
      </c>
      <c r="V38" s="1352" t="s">
        <v>104</v>
      </c>
      <c r="W38" s="1353">
        <f t="shared" si="14"/>
        <v>100</v>
      </c>
      <c r="X38" s="1340"/>
      <c r="Y38" s="3665" t="s">
        <v>70</v>
      </c>
      <c r="Z38" s="1354" t="str">
        <f t="shared" si="18"/>
        <v>物业管理</v>
      </c>
      <c r="AA38" s="1355">
        <f t="shared" si="15"/>
        <v>1</v>
      </c>
      <c r="AB38" s="1355">
        <f t="shared" si="16"/>
        <v>1</v>
      </c>
      <c r="AC38" s="1355">
        <f t="shared" si="17"/>
        <v>1</v>
      </c>
    </row>
    <row r="39" spans="1:29" ht="15">
      <c r="A39" s="161"/>
      <c r="B39" s="12" t="s">
        <v>2640</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63"/>
      <c r="Q39" s="1351" t="str">
        <f t="shared" si="11"/>
        <v>市政基础设施</v>
      </c>
      <c r="R39" s="1352" t="s">
        <v>104</v>
      </c>
      <c r="S39" s="1353">
        <f t="shared" si="12"/>
        <v>100</v>
      </c>
      <c r="T39" s="1352" t="s">
        <v>104</v>
      </c>
      <c r="U39" s="1353">
        <f t="shared" si="13"/>
        <v>100</v>
      </c>
      <c r="V39" s="1352" t="s">
        <v>104</v>
      </c>
      <c r="W39" s="1353">
        <f t="shared" si="14"/>
        <v>100</v>
      </c>
      <c r="X39" s="1340"/>
      <c r="Y39" s="3665"/>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63"/>
      <c r="Q40" s="1351" t="str">
        <f t="shared" si="11"/>
        <v>房型</v>
      </c>
      <c r="R40" s="1352" t="s">
        <v>104</v>
      </c>
      <c r="S40" s="1353">
        <f t="shared" si="12"/>
        <v>100</v>
      </c>
      <c r="T40" s="1352" t="s">
        <v>104</v>
      </c>
      <c r="U40" s="1353">
        <f t="shared" si="13"/>
        <v>100</v>
      </c>
      <c r="V40" s="1352" t="s">
        <v>104</v>
      </c>
      <c r="W40" s="1353">
        <f t="shared" si="14"/>
        <v>100</v>
      </c>
      <c r="X40" s="1340"/>
      <c r="Y40" s="3665"/>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63"/>
      <c r="Q41" s="1359" t="str">
        <f t="shared" si="11"/>
        <v>单套/主力户型建筑面积</v>
      </c>
      <c r="R41" s="1360" t="s">
        <v>104</v>
      </c>
      <c r="S41" s="1361">
        <f t="shared" si="12"/>
        <v>100</v>
      </c>
      <c r="T41" s="1360" t="s">
        <v>104</v>
      </c>
      <c r="U41" s="1361">
        <f t="shared" si="13"/>
        <v>100</v>
      </c>
      <c r="V41" s="1360" t="s">
        <v>104</v>
      </c>
      <c r="W41" s="1361">
        <f t="shared" si="14"/>
        <v>100</v>
      </c>
      <c r="X41" s="1362"/>
      <c r="Y41" s="3665"/>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63"/>
      <c r="Q42" s="1351" t="str">
        <f t="shared" si="11"/>
        <v>内部装修</v>
      </c>
      <c r="R42" s="1352" t="s">
        <v>104</v>
      </c>
      <c r="S42" s="1353">
        <f t="shared" si="12"/>
        <v>100</v>
      </c>
      <c r="T42" s="1352" t="s">
        <v>104</v>
      </c>
      <c r="U42" s="1353">
        <f t="shared" si="13"/>
        <v>100</v>
      </c>
      <c r="V42" s="1352" t="s">
        <v>104</v>
      </c>
      <c r="W42" s="1353">
        <f t="shared" si="14"/>
        <v>100</v>
      </c>
      <c r="X42" s="1340"/>
      <c r="Y42" s="3665"/>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63"/>
      <c r="Q43" s="1351" t="str">
        <f t="shared" si="11"/>
        <v>内部装修维护情况</v>
      </c>
      <c r="R43" s="1352" t="s">
        <v>104</v>
      </c>
      <c r="S43" s="1353">
        <f t="shared" si="12"/>
        <v>100</v>
      </c>
      <c r="T43" s="1352" t="s">
        <v>104</v>
      </c>
      <c r="U43" s="1353">
        <f t="shared" si="13"/>
        <v>100</v>
      </c>
      <c r="V43" s="1352" t="s">
        <v>104</v>
      </c>
      <c r="W43" s="1353">
        <f t="shared" si="14"/>
        <v>100</v>
      </c>
      <c r="X43" s="1340"/>
      <c r="Y43" s="3665"/>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63"/>
      <c r="Q44" s="7">
        <f t="shared" si="11"/>
        <v>111</v>
      </c>
      <c r="R44" s="1342" t="s">
        <v>104</v>
      </c>
      <c r="S44" s="1343">
        <f t="shared" si="12"/>
        <v>100</v>
      </c>
      <c r="T44" s="1342" t="s">
        <v>104</v>
      </c>
      <c r="U44" s="1343">
        <f t="shared" si="13"/>
        <v>100</v>
      </c>
      <c r="V44" s="1342" t="s">
        <v>104</v>
      </c>
      <c r="W44" s="1343">
        <f t="shared" si="14"/>
        <v>100</v>
      </c>
      <c r="X44" s="287"/>
      <c r="Y44" s="3665"/>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63"/>
      <c r="Q45" s="1351">
        <f t="shared" si="11"/>
        <v>111</v>
      </c>
      <c r="R45" s="1352" t="s">
        <v>104</v>
      </c>
      <c r="S45" s="1353">
        <f t="shared" si="12"/>
        <v>100</v>
      </c>
      <c r="T45" s="1352" t="s">
        <v>104</v>
      </c>
      <c r="U45" s="1353">
        <f t="shared" si="13"/>
        <v>100</v>
      </c>
      <c r="V45" s="1352" t="s">
        <v>104</v>
      </c>
      <c r="W45" s="1353">
        <f t="shared" si="14"/>
        <v>100</v>
      </c>
      <c r="X45" s="1340"/>
      <c r="Y45" s="3665"/>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64"/>
      <c r="Q46" s="1351">
        <f t="shared" si="11"/>
        <v>111</v>
      </c>
      <c r="R46" s="1352" t="s">
        <v>103</v>
      </c>
      <c r="S46" s="1353">
        <f t="shared" si="12"/>
        <v>100</v>
      </c>
      <c r="T46" s="1352" t="s">
        <v>103</v>
      </c>
      <c r="U46" s="1353">
        <f t="shared" si="13"/>
        <v>100</v>
      </c>
      <c r="V46" s="1352" t="s">
        <v>103</v>
      </c>
      <c r="W46" s="1353">
        <f t="shared" si="14"/>
        <v>100</v>
      </c>
      <c r="X46" s="1340"/>
      <c r="Y46" s="3666"/>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58" t="str">
        <f>A47</f>
        <v>成交单价（元/平方米）</v>
      </c>
      <c r="Q47" s="3658"/>
      <c r="R47" s="3659">
        <f>E47</f>
        <v>0</v>
      </c>
      <c r="S47" s="3659"/>
      <c r="T47" s="3659">
        <f>G47</f>
        <v>0</v>
      </c>
      <c r="U47" s="3659"/>
      <c r="V47" s="3659">
        <f>I47</f>
        <v>0</v>
      </c>
      <c r="W47" s="3659"/>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365"/>
      <c r="Y48" s="1365"/>
      <c r="Z48" s="1365"/>
      <c r="AA48" s="1365"/>
      <c r="AB48" s="1365"/>
      <c r="AC48" s="1365"/>
    </row>
    <row r="49" spans="1:29" ht="15.75" thickBot="1">
      <c r="A49" s="115" t="s">
        <v>3011</v>
      </c>
      <c r="B49" s="116"/>
      <c r="C49" s="2843" t="e">
        <f>R49</f>
        <v>#DIV/0!</v>
      </c>
      <c r="D49" s="2844"/>
      <c r="E49" s="2844"/>
      <c r="F49" s="2844"/>
      <c r="G49" s="2844"/>
      <c r="H49" s="2844"/>
      <c r="I49" s="2844"/>
      <c r="J49" s="2844"/>
      <c r="K49" s="1368"/>
      <c r="L49" s="2304"/>
      <c r="M49" s="2305"/>
      <c r="N49" s="2305"/>
      <c r="O49" s="2305"/>
      <c r="P49" s="3655" t="str">
        <f>A49</f>
        <v>估价对象XX用房的比较价值（楼面单价，元/平方米）</v>
      </c>
      <c r="Q49" s="3656"/>
      <c r="R49" s="3657" t="e">
        <f>IF(F1="售价",ROUND(AVERAGE(R48:V48),0),ROUND(AVERAGE(R48:V48),1))</f>
        <v>#DIV/0!</v>
      </c>
      <c r="S49" s="3657"/>
      <c r="T49" s="3657"/>
      <c r="U49" s="3657"/>
      <c r="V49" s="3657"/>
      <c r="W49" s="365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1001</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1002</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1003</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2791</v>
      </c>
      <c r="B58" s="849"/>
      <c r="C58" s="3044" t="str">
        <f>YEAR(C7)&amp;"-"&amp;MONTH(C7)</f>
        <v>2017-8</v>
      </c>
      <c r="D58" s="3043">
        <f>EDATE(C58,-1)</f>
        <v>42917</v>
      </c>
      <c r="E58" s="3043">
        <f>EDATE(D58,-1)</f>
        <v>42887</v>
      </c>
      <c r="F58" s="3043">
        <f t="shared" ref="F58:O58" si="19">EDATE(E58,-1)</f>
        <v>42856</v>
      </c>
      <c r="G58" s="3043">
        <f t="shared" si="19"/>
        <v>42826</v>
      </c>
      <c r="H58" s="3043">
        <f t="shared" si="19"/>
        <v>42795</v>
      </c>
      <c r="I58" s="3043">
        <f t="shared" si="19"/>
        <v>42767</v>
      </c>
      <c r="J58" s="3043">
        <f t="shared" si="19"/>
        <v>42736</v>
      </c>
      <c r="K58" s="3043">
        <f t="shared" si="19"/>
        <v>42705</v>
      </c>
      <c r="L58" s="3043">
        <f t="shared" si="19"/>
        <v>42675</v>
      </c>
      <c r="M58" s="3043">
        <f t="shared" si="19"/>
        <v>42644</v>
      </c>
      <c r="N58" s="3043">
        <f t="shared" si="19"/>
        <v>42614</v>
      </c>
      <c r="O58" s="3043">
        <f t="shared" si="19"/>
        <v>42583</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1004</v>
      </c>
      <c r="D65" s="882" t="s">
        <v>1005</v>
      </c>
      <c r="E65" s="882" t="s">
        <v>1006</v>
      </c>
      <c r="F65" s="882" t="s">
        <v>1007</v>
      </c>
      <c r="G65" s="882" t="s">
        <v>1008</v>
      </c>
      <c r="H65" s="882" t="s">
        <v>1009</v>
      </c>
      <c r="I65" s="882" t="s">
        <v>1010</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1011</v>
      </c>
      <c r="D76" s="916" t="s">
        <v>1012</v>
      </c>
      <c r="E76" s="916" t="s">
        <v>1013</v>
      </c>
      <c r="F76" s="916" t="s">
        <v>1014</v>
      </c>
      <c r="G76" s="916" t="s">
        <v>1015</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1011</v>
      </c>
      <c r="D78" s="921" t="s">
        <v>1012</v>
      </c>
      <c r="E78" s="921" t="s">
        <v>1013</v>
      </c>
      <c r="F78" s="921" t="s">
        <v>1014</v>
      </c>
      <c r="G78" s="921" t="s">
        <v>1015</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1011</v>
      </c>
      <c r="D80" s="921" t="s">
        <v>1012</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2642</v>
      </c>
      <c r="C82" s="177" t="s">
        <v>2643</v>
      </c>
      <c r="D82" s="177" t="s">
        <v>2647</v>
      </c>
      <c r="E82" s="177" t="s">
        <v>2644</v>
      </c>
      <c r="F82" s="177" t="s">
        <v>2645</v>
      </c>
      <c r="G82" s="177" t="s">
        <v>2646</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2292</v>
      </c>
    </row>
    <row r="137" spans="1:17" ht="14.25">
      <c r="B137" s="2143" t="s">
        <v>2293</v>
      </c>
      <c r="C137" s="2144"/>
      <c r="D137" s="2144"/>
      <c r="E137" s="2144"/>
      <c r="F137" s="2144"/>
      <c r="G137" s="2145"/>
      <c r="H137" s="2146"/>
      <c r="I137" s="2147" t="s">
        <v>2294</v>
      </c>
      <c r="J137" s="2144"/>
      <c r="K137" s="2148"/>
    </row>
    <row r="138" spans="1:17" ht="14.25">
      <c r="B138" s="2149"/>
      <c r="C138" s="1778" t="s">
        <v>2295</v>
      </c>
      <c r="D138" s="1778" t="s">
        <v>2296</v>
      </c>
      <c r="E138" s="2150" t="s">
        <v>2297</v>
      </c>
      <c r="F138" s="2151" t="s">
        <v>2298</v>
      </c>
      <c r="G138" s="1778" t="s">
        <v>2296</v>
      </c>
      <c r="H138" s="2152" t="s">
        <v>2297</v>
      </c>
      <c r="I138" s="2153"/>
      <c r="J138" s="1778" t="s">
        <v>2299</v>
      </c>
      <c r="K138" s="2152" t="s">
        <v>2300</v>
      </c>
    </row>
    <row r="139" spans="1:17" ht="15">
      <c r="B139" s="2154">
        <v>6</v>
      </c>
      <c r="C139" s="2155">
        <v>96</v>
      </c>
      <c r="D139" s="2156" t="s">
        <v>2301</v>
      </c>
      <c r="E139" s="2157">
        <v>100</v>
      </c>
      <c r="F139" s="2158">
        <v>102.5</v>
      </c>
      <c r="G139" s="2156" t="s">
        <v>2301</v>
      </c>
      <c r="H139" s="2159">
        <v>105</v>
      </c>
      <c r="I139" s="2160" t="s">
        <v>2302</v>
      </c>
      <c r="J139" s="2155">
        <v>20</v>
      </c>
      <c r="K139" s="2161">
        <f>C145/(J139-2)</f>
        <v>4.0555555555555553E-3</v>
      </c>
    </row>
    <row r="140" spans="1:17" ht="15">
      <c r="B140" s="2162">
        <v>5</v>
      </c>
      <c r="C140" s="2163">
        <v>100</v>
      </c>
      <c r="D140" s="2164"/>
      <c r="E140" s="2165"/>
      <c r="F140" s="2166">
        <v>102</v>
      </c>
      <c r="G140" s="2164"/>
      <c r="H140" s="2167"/>
      <c r="I140" s="2168" t="s">
        <v>2303</v>
      </c>
      <c r="J140" s="647">
        <f>ROUNDUP((J139-1)/2,0)</f>
        <v>10</v>
      </c>
      <c r="K140" s="2169">
        <v>100</v>
      </c>
    </row>
    <row r="141" spans="1:17" ht="15">
      <c r="B141" s="2162">
        <v>4</v>
      </c>
      <c r="C141" s="2163">
        <v>102</v>
      </c>
      <c r="D141" s="2164"/>
      <c r="E141" s="2165"/>
      <c r="F141" s="2166">
        <v>101.5</v>
      </c>
      <c r="G141" s="2164"/>
      <c r="H141" s="2167"/>
      <c r="I141" s="2168" t="s">
        <v>2304</v>
      </c>
      <c r="J141" s="647">
        <v>1</v>
      </c>
      <c r="K141" s="2170">
        <f>ROUND(100+(J141-J140)*K139*100,1)</f>
        <v>96.4</v>
      </c>
    </row>
    <row r="142" spans="1:17" ht="15">
      <c r="B142" s="2162">
        <v>3</v>
      </c>
      <c r="C142" s="2163">
        <v>103</v>
      </c>
      <c r="D142" s="2164"/>
      <c r="E142" s="2165"/>
      <c r="F142" s="2166">
        <v>101</v>
      </c>
      <c r="G142" s="2164"/>
      <c r="H142" s="2167"/>
      <c r="I142" s="2168" t="s">
        <v>2305</v>
      </c>
      <c r="J142" s="647">
        <f>J139</f>
        <v>20</v>
      </c>
      <c r="K142" s="2171">
        <v>95</v>
      </c>
    </row>
    <row r="143" spans="1:17" ht="15">
      <c r="B143" s="2162">
        <v>2</v>
      </c>
      <c r="C143" s="2163">
        <v>100</v>
      </c>
      <c r="D143" s="2164"/>
      <c r="E143" s="2165"/>
      <c r="F143" s="2166">
        <v>100.5</v>
      </c>
      <c r="G143" s="2164"/>
      <c r="H143" s="2167"/>
      <c r="I143" s="2168" t="s">
        <v>2306</v>
      </c>
      <c r="J143" s="2163">
        <v>15</v>
      </c>
      <c r="K143" s="2170">
        <f>ROUND(100+(J143-J140)*K139*100,1)</f>
        <v>102</v>
      </c>
    </row>
    <row r="144" spans="1:17" ht="15">
      <c r="B144" s="2162">
        <v>1</v>
      </c>
      <c r="C144" s="2163">
        <v>98</v>
      </c>
      <c r="D144" s="1160" t="s">
        <v>2307</v>
      </c>
      <c r="E144" s="2165">
        <v>102</v>
      </c>
      <c r="F144" s="2172">
        <v>100</v>
      </c>
      <c r="G144" s="1160" t="s">
        <v>2307</v>
      </c>
      <c r="H144" s="2167">
        <v>105</v>
      </c>
      <c r="I144" s="2168" t="s">
        <v>2306</v>
      </c>
      <c r="J144" s="2163">
        <v>18</v>
      </c>
      <c r="K144" s="2170">
        <f>ROUND(100+(J144-J140)*K139*100,1)</f>
        <v>103.2</v>
      </c>
    </row>
    <row r="145" spans="2:11" ht="15.75" thickBot="1">
      <c r="B145" s="2173" t="s">
        <v>2308</v>
      </c>
      <c r="C145" s="2174">
        <f>ROUND(MAX(C139:C144)/MIN(C139:C144)-1,3)</f>
        <v>7.2999999999999995E-2</v>
      </c>
      <c r="D145" s="2175"/>
      <c r="E145" s="2176"/>
      <c r="F145" s="2177" t="s">
        <v>2309</v>
      </c>
      <c r="G145" s="2178"/>
      <c r="H145" s="2179"/>
      <c r="I145" s="2180" t="s">
        <v>2310</v>
      </c>
      <c r="J145" s="2181">
        <v>8</v>
      </c>
      <c r="K145" s="2182">
        <f>ROUND(100+(J145-J140)*K139*100,1)</f>
        <v>99.2</v>
      </c>
    </row>
    <row r="147" spans="2:11">
      <c r="B147" s="2142" t="s">
        <v>2318</v>
      </c>
    </row>
    <row r="148" spans="2:11">
      <c r="B148" s="2142" t="s">
        <v>2319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863</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92501.329999999987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41" t="s">
        <v>54</v>
      </c>
      <c r="D4" s="3642"/>
      <c r="E4" s="3643" t="s">
        <v>55</v>
      </c>
      <c r="F4" s="3644"/>
      <c r="G4" s="3641" t="s">
        <v>56</v>
      </c>
      <c r="H4" s="3642"/>
      <c r="I4" s="3641" t="s">
        <v>57</v>
      </c>
      <c r="J4" s="3642"/>
      <c r="K4" s="187" t="s">
        <v>58</v>
      </c>
      <c r="L4" s="2296"/>
      <c r="M4" s="2297"/>
      <c r="N4" s="2297"/>
      <c r="O4" s="2297"/>
      <c r="P4" s="3645" t="s">
        <v>53</v>
      </c>
      <c r="Q4" s="3646"/>
      <c r="R4" s="3628" t="s">
        <v>55</v>
      </c>
      <c r="S4" s="3629"/>
      <c r="T4" s="3628" t="s">
        <v>56</v>
      </c>
      <c r="U4" s="3629"/>
      <c r="V4" s="3653" t="s">
        <v>57</v>
      </c>
      <c r="W4" s="3653"/>
      <c r="X4" s="1340"/>
      <c r="Y4" s="3628" t="s">
        <v>53</v>
      </c>
      <c r="Z4" s="3629"/>
      <c r="AA4" s="3623" t="s">
        <v>55</v>
      </c>
      <c r="AB4" s="3653" t="s">
        <v>56</v>
      </c>
      <c r="AC4" s="3623" t="s">
        <v>57</v>
      </c>
    </row>
    <row r="5" spans="1:29">
      <c r="A5" s="146"/>
      <c r="B5" s="147"/>
      <c r="C5" s="3634" t="s">
        <v>59</v>
      </c>
      <c r="D5" s="3635"/>
      <c r="E5" s="3632" t="s">
        <v>60</v>
      </c>
      <c r="F5" s="3633"/>
      <c r="G5" s="3634" t="s">
        <v>61</v>
      </c>
      <c r="H5" s="3635"/>
      <c r="I5" s="3634" t="s">
        <v>62</v>
      </c>
      <c r="J5" s="3635"/>
      <c r="K5" s="187"/>
      <c r="L5" s="2296"/>
      <c r="M5" s="2297"/>
      <c r="N5" s="2297"/>
      <c r="O5" s="2297"/>
      <c r="P5" s="3647"/>
      <c r="Q5" s="3648"/>
      <c r="R5" s="3630"/>
      <c r="S5" s="3631"/>
      <c r="T5" s="3630"/>
      <c r="U5" s="3631"/>
      <c r="V5" s="3653"/>
      <c r="W5" s="3653"/>
      <c r="X5" s="1340"/>
      <c r="Y5" s="3630"/>
      <c r="Z5" s="3631"/>
      <c r="AA5" s="3624"/>
      <c r="AB5" s="3653"/>
      <c r="AC5" s="3624"/>
    </row>
    <row r="6" spans="1:29" ht="14.25" thickBot="1">
      <c r="A6" s="148"/>
      <c r="B6" s="149"/>
      <c r="C6" s="3636" t="s">
        <v>63</v>
      </c>
      <c r="D6" s="3637"/>
      <c r="E6" s="3638" t="s">
        <v>63</v>
      </c>
      <c r="F6" s="3639"/>
      <c r="G6" s="3636" t="s">
        <v>63</v>
      </c>
      <c r="H6" s="3637"/>
      <c r="I6" s="3636" t="s">
        <v>63</v>
      </c>
      <c r="J6" s="3637"/>
      <c r="K6" s="187" t="s">
        <v>117</v>
      </c>
      <c r="L6" s="2296"/>
      <c r="M6" s="2297"/>
      <c r="N6" s="2297"/>
      <c r="O6" s="2297"/>
      <c r="P6" s="3649"/>
      <c r="Q6" s="3650"/>
      <c r="R6" s="3630"/>
      <c r="S6" s="3631"/>
      <c r="T6" s="3651"/>
      <c r="U6" s="3652"/>
      <c r="V6" s="3653"/>
      <c r="W6" s="3653"/>
      <c r="X6" s="1340"/>
      <c r="Y6" s="3651"/>
      <c r="Z6" s="3652"/>
      <c r="AA6" s="3625"/>
      <c r="AB6" s="3653"/>
      <c r="AC6" s="3625"/>
    </row>
    <row r="7" spans="1:29" s="40" customFormat="1" ht="15" thickBot="1">
      <c r="A7" s="1014" t="s">
        <v>64</v>
      </c>
      <c r="B7" s="1015"/>
      <c r="C7" s="1016">
        <f>'数据-取费表'!B2</f>
        <v>42964</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26" t="s">
        <v>64</v>
      </c>
      <c r="Q7" s="3654"/>
      <c r="R7" s="1342" t="s">
        <v>65</v>
      </c>
      <c r="S7" s="1343">
        <f t="shared" ref="S7:S15" si="0">F7</f>
        <v>0</v>
      </c>
      <c r="T7" s="1342" t="s">
        <v>65</v>
      </c>
      <c r="U7" s="1343">
        <f t="shared" ref="U7:U15" si="1">H7</f>
        <v>0</v>
      </c>
      <c r="V7" s="1342" t="s">
        <v>65</v>
      </c>
      <c r="W7" s="1343">
        <f t="shared" ref="W7:W15" si="2">J7</f>
        <v>0</v>
      </c>
      <c r="X7" s="287"/>
      <c r="Y7" s="3626" t="s">
        <v>64</v>
      </c>
      <c r="Z7" s="3627"/>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26" t="s">
        <v>1016</v>
      </c>
      <c r="Q8" s="3627"/>
      <c r="R8" s="1342" t="s">
        <v>65</v>
      </c>
      <c r="S8" s="1343">
        <f t="shared" si="0"/>
        <v>0</v>
      </c>
      <c r="T8" s="1342" t="s">
        <v>65</v>
      </c>
      <c r="U8" s="1343">
        <f t="shared" si="1"/>
        <v>0</v>
      </c>
      <c r="V8" s="1342" t="s">
        <v>65</v>
      </c>
      <c r="W8" s="1343">
        <f t="shared" si="2"/>
        <v>0</v>
      </c>
      <c r="X8" s="287"/>
      <c r="Y8" s="3626" t="s">
        <v>1016</v>
      </c>
      <c r="Z8" s="3627"/>
      <c r="AA8" s="1344" t="e">
        <f t="shared" ref="AA8:AA46" si="3">D8/F8</f>
        <v>#DIV/0!</v>
      </c>
      <c r="AB8" s="1344" t="e">
        <f t="shared" ref="AB8:AB46" si="4">D8/H8</f>
        <v>#DIV/0!</v>
      </c>
      <c r="AC8" s="1344" t="e">
        <f t="shared" ref="AC8:AC46" si="5">D8/J8</f>
        <v>#DIV/0!</v>
      </c>
    </row>
    <row r="9" spans="1:29" s="40" customFormat="1" ht="14.25">
      <c r="A9" s="1021" t="s">
        <v>1017</v>
      </c>
      <c r="B9" s="62" t="s">
        <v>1018</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40"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40"/>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40"/>
      <c r="Q11" s="7" t="str">
        <f t="shared" si="6"/>
        <v>容积率</v>
      </c>
      <c r="R11" s="1342" t="s">
        <v>65</v>
      </c>
      <c r="S11" s="1343" t="e">
        <f t="shared" si="0"/>
        <v>#N/A</v>
      </c>
      <c r="T11" s="1342" t="s">
        <v>65</v>
      </c>
      <c r="U11" s="1343" t="e">
        <f t="shared" si="1"/>
        <v>#N/A</v>
      </c>
      <c r="V11" s="1342" t="s">
        <v>65</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40"/>
      <c r="Q12" s="7">
        <f t="shared" si="6"/>
        <v>111</v>
      </c>
      <c r="R12" s="1342" t="s">
        <v>65</v>
      </c>
      <c r="S12" s="1343">
        <f t="shared" si="0"/>
        <v>100</v>
      </c>
      <c r="T12" s="1342" t="s">
        <v>65</v>
      </c>
      <c r="U12" s="1343">
        <f t="shared" si="1"/>
        <v>100</v>
      </c>
      <c r="V12" s="1342" t="s">
        <v>65</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40"/>
      <c r="Q13" s="7">
        <f t="shared" si="6"/>
        <v>111</v>
      </c>
      <c r="R13" s="1342" t="s">
        <v>65</v>
      </c>
      <c r="S13" s="1343">
        <f t="shared" si="0"/>
        <v>100</v>
      </c>
      <c r="T13" s="1342" t="s">
        <v>65</v>
      </c>
      <c r="U13" s="1343">
        <f t="shared" si="1"/>
        <v>100</v>
      </c>
      <c r="V13" s="1342" t="s">
        <v>65</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40"/>
      <c r="Q14" s="7">
        <f t="shared" si="6"/>
        <v>111</v>
      </c>
      <c r="R14" s="1342" t="s">
        <v>65</v>
      </c>
      <c r="S14" s="1343">
        <f t="shared" si="0"/>
        <v>100</v>
      </c>
      <c r="T14" s="1342" t="s">
        <v>65</v>
      </c>
      <c r="U14" s="1343">
        <f t="shared" si="1"/>
        <v>100</v>
      </c>
      <c r="V14" s="1342" t="s">
        <v>65</v>
      </c>
      <c r="W14" s="1343">
        <f t="shared" si="2"/>
        <v>100</v>
      </c>
      <c r="X14" s="287"/>
      <c r="Y14" s="3443"/>
      <c r="Z14" s="288">
        <f t="shared" si="7"/>
        <v>111</v>
      </c>
      <c r="AA14" s="1344">
        <f t="shared" si="3"/>
        <v>1</v>
      </c>
      <c r="AB14" s="1344">
        <f t="shared" si="4"/>
        <v>1</v>
      </c>
      <c r="AC14" s="1344">
        <f t="shared" si="5"/>
        <v>1</v>
      </c>
    </row>
    <row r="15" spans="1:29" ht="67.5">
      <c r="A15" s="155" t="s">
        <v>69</v>
      </c>
      <c r="B15" s="58" t="s">
        <v>130</v>
      </c>
      <c r="C15" s="157" t="str">
        <f>估价对象房地状况!C4</f>
        <v>估价对象位于望京商圈，周边商业氛围成熟，人流量大，商业繁华度较好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67" t="s">
        <v>69</v>
      </c>
      <c r="Q15" s="1351" t="str">
        <f t="shared" si="6"/>
        <v>商业繁华度</v>
      </c>
      <c r="R15" s="1352" t="s">
        <v>65</v>
      </c>
      <c r="S15" s="1353">
        <f t="shared" si="0"/>
        <v>100</v>
      </c>
      <c r="T15" s="1352" t="s">
        <v>65</v>
      </c>
      <c r="U15" s="1353">
        <f t="shared" si="1"/>
        <v>100</v>
      </c>
      <c r="V15" s="1352" t="s">
        <v>65</v>
      </c>
      <c r="W15" s="1353">
        <f t="shared" si="2"/>
        <v>100</v>
      </c>
      <c r="X15" s="1340"/>
      <c r="Y15" s="3660"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68"/>
      <c r="Q16" s="1351"/>
      <c r="R16" s="1352"/>
      <c r="S16" s="1353"/>
      <c r="T16" s="1352"/>
      <c r="U16" s="1353"/>
      <c r="V16" s="1352"/>
      <c r="W16" s="1353"/>
      <c r="X16" s="1340"/>
      <c r="Y16" s="3661"/>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68"/>
      <c r="Q17" s="1351" t="str">
        <f>B17</f>
        <v>交通便捷度</v>
      </c>
      <c r="R17" s="1352" t="s">
        <v>65</v>
      </c>
      <c r="S17" s="1353">
        <f>F17</f>
        <v>100</v>
      </c>
      <c r="T17" s="1352" t="s">
        <v>65</v>
      </c>
      <c r="U17" s="1353">
        <f>H17</f>
        <v>100</v>
      </c>
      <c r="V17" s="1352" t="s">
        <v>65</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68"/>
      <c r="Q18" s="1351"/>
      <c r="R18" s="1352"/>
      <c r="S18" s="1353"/>
      <c r="T18" s="1352"/>
      <c r="U18" s="1353"/>
      <c r="V18" s="1352"/>
      <c r="W18" s="1353"/>
      <c r="X18" s="1340"/>
      <c r="Y18" s="3661"/>
      <c r="Z18" s="1354"/>
      <c r="AA18" s="1355">
        <v>1</v>
      </c>
      <c r="AB18" s="1355">
        <v>1</v>
      </c>
      <c r="AC18" s="1355">
        <v>1</v>
      </c>
    </row>
    <row r="19" spans="1:29" ht="15">
      <c r="A19" s="151"/>
      <c r="B19" s="1356" t="s">
        <v>2648</v>
      </c>
      <c r="C19" s="158" t="str">
        <f>估价对象房地状况!C7</f>
        <v>较好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68"/>
      <c r="Q19" s="1351" t="str">
        <f>B19</f>
        <v>公共配套设施</v>
      </c>
      <c r="R19" s="1352" t="s">
        <v>65</v>
      </c>
      <c r="S19" s="1353">
        <f>F19</f>
        <v>100</v>
      </c>
      <c r="T19" s="1352" t="s">
        <v>65</v>
      </c>
      <c r="U19" s="1353">
        <f>H19</f>
        <v>100</v>
      </c>
      <c r="V19" s="1352" t="s">
        <v>65</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68"/>
      <c r="Q20" s="1351"/>
      <c r="R20" s="1352"/>
      <c r="S20" s="1353"/>
      <c r="T20" s="1352"/>
      <c r="U20" s="1353"/>
      <c r="V20" s="1352"/>
      <c r="W20" s="1353"/>
      <c r="X20" s="1340"/>
      <c r="Y20" s="3661"/>
      <c r="Z20" s="1354"/>
      <c r="AA20" s="1355">
        <v>1</v>
      </c>
      <c r="AB20" s="1355">
        <v>1</v>
      </c>
      <c r="AC20" s="1355">
        <v>1</v>
      </c>
    </row>
    <row r="21" spans="1:29" ht="15">
      <c r="A21" s="151"/>
      <c r="B21" s="1412" t="s">
        <v>2649</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68"/>
      <c r="Q22" s="2747"/>
      <c r="R22" s="1352"/>
      <c r="S22" s="1353"/>
      <c r="T22" s="1352"/>
      <c r="U22" s="1353"/>
      <c r="V22" s="1352"/>
      <c r="W22" s="1353"/>
      <c r="X22" s="2749"/>
      <c r="Y22" s="3661"/>
      <c r="Z22" s="2748"/>
      <c r="AA22" s="1355">
        <v>1</v>
      </c>
      <c r="AB22" s="1355">
        <v>1</v>
      </c>
      <c r="AC22" s="1355">
        <v>1</v>
      </c>
    </row>
    <row r="23" spans="1:29" ht="15">
      <c r="A23" s="151"/>
      <c r="B23" s="1356" t="s">
        <v>73</v>
      </c>
      <c r="C23" s="190" t="str">
        <f>估价对象房地状况!C9</f>
        <v>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68"/>
      <c r="Q23" s="1351" t="str">
        <f>B23</f>
        <v>自然及人文环境</v>
      </c>
      <c r="R23" s="1352" t="s">
        <v>65</v>
      </c>
      <c r="S23" s="1353">
        <f>F23</f>
        <v>100</v>
      </c>
      <c r="T23" s="1352" t="s">
        <v>65</v>
      </c>
      <c r="U23" s="1353">
        <f>H23</f>
        <v>100</v>
      </c>
      <c r="V23" s="1352" t="s">
        <v>65</v>
      </c>
      <c r="W23" s="1353">
        <f>J23</f>
        <v>100</v>
      </c>
      <c r="X23" s="1340"/>
      <c r="Y23" s="3661"/>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68"/>
      <c r="Q24" s="1351"/>
      <c r="R24" s="1352"/>
      <c r="S24" s="1353"/>
      <c r="T24" s="1352"/>
      <c r="U24" s="1353"/>
      <c r="V24" s="1352"/>
      <c r="W24" s="1353"/>
      <c r="X24" s="1340"/>
      <c r="Y24" s="3661"/>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68"/>
      <c r="Q25" s="1351" t="str">
        <f t="shared" ref="Q25:Q46" si="11">B25</f>
        <v>临街状况</v>
      </c>
      <c r="R25" s="1352" t="s">
        <v>65</v>
      </c>
      <c r="S25" s="1353">
        <f>F25</f>
        <v>100</v>
      </c>
      <c r="T25" s="1352" t="s">
        <v>65</v>
      </c>
      <c r="U25" s="1353">
        <f>H25</f>
        <v>100</v>
      </c>
      <c r="V25" s="1352" t="s">
        <v>65</v>
      </c>
      <c r="W25" s="1353">
        <f>J25</f>
        <v>100</v>
      </c>
      <c r="X25" s="1340"/>
      <c r="Y25" s="3661"/>
      <c r="Z25" s="1354" t="str">
        <f>Q25</f>
        <v>临街状况</v>
      </c>
      <c r="AA25" s="1355">
        <f t="shared" si="3"/>
        <v>1</v>
      </c>
      <c r="AB25" s="1355">
        <f t="shared" si="4"/>
        <v>1</v>
      </c>
      <c r="AC25" s="1355">
        <f t="shared" si="5"/>
        <v>1</v>
      </c>
    </row>
    <row r="26" spans="1:29" ht="14.25">
      <c r="A26" s="151"/>
      <c r="B26" s="1357" t="s">
        <v>1019</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68"/>
      <c r="Q26" s="1351" t="str">
        <f t="shared" si="11"/>
        <v>平面位置/可视性</v>
      </c>
      <c r="R26" s="1352" t="s">
        <v>65</v>
      </c>
      <c r="S26" s="1353">
        <f>F26</f>
        <v>100</v>
      </c>
      <c r="T26" s="1352" t="s">
        <v>65</v>
      </c>
      <c r="U26" s="1353">
        <f>H26</f>
        <v>100</v>
      </c>
      <c r="V26" s="1352" t="s">
        <v>65</v>
      </c>
      <c r="W26" s="1353">
        <f>J26</f>
        <v>100</v>
      </c>
      <c r="X26" s="1340"/>
      <c r="Y26" s="3661"/>
      <c r="Z26" s="1354" t="str">
        <f>Q26</f>
        <v>平面位置/可视性</v>
      </c>
      <c r="AA26" s="1355">
        <f t="shared" si="3"/>
        <v>1</v>
      </c>
      <c r="AB26" s="1355">
        <f t="shared" si="4"/>
        <v>1</v>
      </c>
      <c r="AC26" s="1355">
        <f t="shared" si="5"/>
        <v>1</v>
      </c>
    </row>
    <row r="27" spans="1:29" s="40" customFormat="1" ht="15">
      <c r="A27" s="1030"/>
      <c r="B27" s="1356" t="s">
        <v>1020</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68"/>
      <c r="Q27" s="7" t="str">
        <f t="shared" si="11"/>
        <v>人流量</v>
      </c>
      <c r="R27" s="1342" t="s">
        <v>65</v>
      </c>
      <c r="S27" s="1343">
        <f>F27</f>
        <v>100</v>
      </c>
      <c r="T27" s="1342" t="s">
        <v>65</v>
      </c>
      <c r="U27" s="1343">
        <f>H27</f>
        <v>100</v>
      </c>
      <c r="V27" s="1342" t="s">
        <v>65</v>
      </c>
      <c r="W27" s="1343">
        <f>J27</f>
        <v>100</v>
      </c>
      <c r="X27" s="287"/>
      <c r="Y27" s="3661"/>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68"/>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61"/>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68"/>
      <c r="Q29" s="1351">
        <f t="shared" si="11"/>
        <v>111</v>
      </c>
      <c r="R29" s="1352" t="s">
        <v>65</v>
      </c>
      <c r="S29" s="1353">
        <f t="shared" si="12"/>
        <v>100</v>
      </c>
      <c r="T29" s="1352" t="s">
        <v>65</v>
      </c>
      <c r="U29" s="1353">
        <f t="shared" si="13"/>
        <v>100</v>
      </c>
      <c r="V29" s="1352" t="s">
        <v>65</v>
      </c>
      <c r="W29" s="1353">
        <f t="shared" si="14"/>
        <v>100</v>
      </c>
      <c r="X29" s="1340"/>
      <c r="Y29" s="3661"/>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68"/>
      <c r="Q30" s="1351">
        <f t="shared" si="11"/>
        <v>111</v>
      </c>
      <c r="R30" s="1352" t="s">
        <v>65</v>
      </c>
      <c r="S30" s="1353">
        <f t="shared" si="12"/>
        <v>100</v>
      </c>
      <c r="T30" s="1352" t="s">
        <v>65</v>
      </c>
      <c r="U30" s="1353">
        <f t="shared" si="13"/>
        <v>100</v>
      </c>
      <c r="V30" s="1352" t="s">
        <v>65</v>
      </c>
      <c r="W30" s="1353">
        <f t="shared" si="14"/>
        <v>100</v>
      </c>
      <c r="X30" s="1340"/>
      <c r="Y30" s="3661"/>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68"/>
      <c r="Q31" s="1351">
        <f t="shared" si="11"/>
        <v>111</v>
      </c>
      <c r="R31" s="1352" t="s">
        <v>65</v>
      </c>
      <c r="S31" s="1353">
        <f t="shared" si="12"/>
        <v>100</v>
      </c>
      <c r="T31" s="1352" t="s">
        <v>65</v>
      </c>
      <c r="U31" s="1353">
        <f t="shared" si="13"/>
        <v>100</v>
      </c>
      <c r="V31" s="1352" t="s">
        <v>65</v>
      </c>
      <c r="W31" s="1353">
        <f t="shared" si="14"/>
        <v>100</v>
      </c>
      <c r="X31" s="1340"/>
      <c r="Y31" s="3661"/>
      <c r="Z31" s="1354">
        <f t="shared" si="15"/>
        <v>111</v>
      </c>
      <c r="AA31" s="1355">
        <f t="shared" si="3"/>
        <v>1</v>
      </c>
      <c r="AB31" s="1355">
        <f t="shared" si="4"/>
        <v>1</v>
      </c>
      <c r="AC31" s="1355">
        <f t="shared" si="5"/>
        <v>1</v>
      </c>
    </row>
    <row r="32" spans="1:29" ht="15">
      <c r="A32" s="155" t="s">
        <v>1021</v>
      </c>
      <c r="B32" s="62" t="s">
        <v>1022</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62" t="s">
        <v>1023</v>
      </c>
      <c r="Q32" s="1351" t="str">
        <f t="shared" si="11"/>
        <v>商业类型</v>
      </c>
      <c r="R32" s="1352" t="s">
        <v>65</v>
      </c>
      <c r="S32" s="1353">
        <f t="shared" si="12"/>
        <v>100</v>
      </c>
      <c r="T32" s="1352" t="s">
        <v>65</v>
      </c>
      <c r="U32" s="1353">
        <f t="shared" si="13"/>
        <v>100</v>
      </c>
      <c r="V32" s="1352" t="s">
        <v>65</v>
      </c>
      <c r="W32" s="1353">
        <f t="shared" si="14"/>
        <v>100</v>
      </c>
      <c r="X32" s="1340"/>
      <c r="Y32" s="3665" t="s">
        <v>1023</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63"/>
      <c r="Q33" s="1359" t="str">
        <f t="shared" si="11"/>
        <v>项目建筑规模</v>
      </c>
      <c r="R33" s="1360" t="s">
        <v>65</v>
      </c>
      <c r="S33" s="1361" t="e">
        <f t="shared" si="12"/>
        <v>#N/A</v>
      </c>
      <c r="T33" s="1360" t="s">
        <v>65</v>
      </c>
      <c r="U33" s="1361" t="e">
        <f t="shared" si="13"/>
        <v>#N/A</v>
      </c>
      <c r="V33" s="1360" t="s">
        <v>65</v>
      </c>
      <c r="W33" s="1361" t="e">
        <f t="shared" si="14"/>
        <v>#N/A</v>
      </c>
      <c r="X33" s="1362"/>
      <c r="Y33" s="3665"/>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63"/>
      <c r="Q34" s="1351" t="str">
        <f t="shared" si="11"/>
        <v>建筑结构</v>
      </c>
      <c r="R34" s="1352" t="s">
        <v>65</v>
      </c>
      <c r="S34" s="1353">
        <f t="shared" si="12"/>
        <v>100</v>
      </c>
      <c r="T34" s="1352" t="s">
        <v>65</v>
      </c>
      <c r="U34" s="1353">
        <f t="shared" si="13"/>
        <v>100</v>
      </c>
      <c r="V34" s="1352" t="s">
        <v>65</v>
      </c>
      <c r="W34" s="1353">
        <f t="shared" si="14"/>
        <v>100</v>
      </c>
      <c r="X34" s="1340"/>
      <c r="Y34" s="3665"/>
      <c r="Z34" s="1354" t="str">
        <f t="shared" si="15"/>
        <v>建筑结构</v>
      </c>
      <c r="AA34" s="1355">
        <f t="shared" si="3"/>
        <v>1</v>
      </c>
      <c r="AB34" s="1355">
        <f t="shared" si="4"/>
        <v>1</v>
      </c>
      <c r="AC34" s="1355">
        <f t="shared" si="5"/>
        <v>1</v>
      </c>
    </row>
    <row r="35" spans="1:29" ht="15">
      <c r="A35" s="161"/>
      <c r="B35" s="12" t="s">
        <v>1024</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63"/>
      <c r="Q35" s="1351" t="str">
        <f t="shared" si="11"/>
        <v>公共部分装修</v>
      </c>
      <c r="R35" s="1352" t="s">
        <v>65</v>
      </c>
      <c r="S35" s="1353">
        <f t="shared" si="12"/>
        <v>100</v>
      </c>
      <c r="T35" s="1352" t="s">
        <v>65</v>
      </c>
      <c r="U35" s="1353">
        <f t="shared" si="13"/>
        <v>100</v>
      </c>
      <c r="V35" s="1352" t="s">
        <v>65</v>
      </c>
      <c r="W35" s="1353">
        <f t="shared" si="14"/>
        <v>100</v>
      </c>
      <c r="X35" s="1340"/>
      <c r="Y35" s="3665"/>
      <c r="Z35" s="1354" t="str">
        <f t="shared" si="15"/>
        <v>公共部分装修</v>
      </c>
      <c r="AA35" s="1355">
        <f t="shared" si="3"/>
        <v>1</v>
      </c>
      <c r="AB35" s="1355">
        <f t="shared" si="4"/>
        <v>1</v>
      </c>
      <c r="AC35" s="1355">
        <f t="shared" si="5"/>
        <v>1</v>
      </c>
    </row>
    <row r="36" spans="1:29" ht="15">
      <c r="A36" s="161"/>
      <c r="B36" s="12" t="s">
        <v>1025</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63"/>
      <c r="Q36" s="1351" t="str">
        <f t="shared" si="11"/>
        <v>成新度</v>
      </c>
      <c r="R36" s="1352" t="s">
        <v>65</v>
      </c>
      <c r="S36" s="1353" t="e">
        <f t="shared" si="12"/>
        <v>#N/A</v>
      </c>
      <c r="T36" s="1352" t="s">
        <v>65</v>
      </c>
      <c r="U36" s="1353" t="e">
        <f t="shared" si="13"/>
        <v>#N/A</v>
      </c>
      <c r="V36" s="1352" t="s">
        <v>65</v>
      </c>
      <c r="W36" s="1353" t="e">
        <f t="shared" si="14"/>
        <v>#N/A</v>
      </c>
      <c r="X36" s="1340"/>
      <c r="Y36" s="3665"/>
      <c r="Z36" s="1354" t="str">
        <f t="shared" si="15"/>
        <v>成新度</v>
      </c>
      <c r="AA36" s="1355" t="e">
        <f t="shared" si="3"/>
        <v>#N/A</v>
      </c>
      <c r="AB36" s="1355" t="e">
        <f t="shared" si="4"/>
        <v>#N/A</v>
      </c>
      <c r="AC36" s="1355" t="e">
        <f t="shared" si="5"/>
        <v>#N/A</v>
      </c>
    </row>
    <row r="37" spans="1:29" s="40" customFormat="1" ht="15">
      <c r="A37" s="1041"/>
      <c r="B37" s="12" t="s">
        <v>2650</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63"/>
      <c r="Q37" s="7" t="str">
        <f t="shared" si="11"/>
        <v>市政基础设施</v>
      </c>
      <c r="R37" s="1342" t="s">
        <v>65</v>
      </c>
      <c r="S37" s="1343">
        <f t="shared" si="12"/>
        <v>100</v>
      </c>
      <c r="T37" s="1342" t="s">
        <v>65</v>
      </c>
      <c r="U37" s="1343">
        <f t="shared" si="13"/>
        <v>100</v>
      </c>
      <c r="V37" s="1342" t="s">
        <v>65</v>
      </c>
      <c r="W37" s="1343">
        <f t="shared" si="14"/>
        <v>100</v>
      </c>
      <c r="X37" s="287"/>
      <c r="Y37" s="3665"/>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63" t="s">
        <v>1026</v>
      </c>
      <c r="Q38" s="1351" t="str">
        <f t="shared" si="11"/>
        <v>业态</v>
      </c>
      <c r="R38" s="1352" t="s">
        <v>65</v>
      </c>
      <c r="S38" s="1353">
        <f t="shared" si="12"/>
        <v>100</v>
      </c>
      <c r="T38" s="1352" t="s">
        <v>65</v>
      </c>
      <c r="U38" s="1353">
        <f t="shared" si="13"/>
        <v>100</v>
      </c>
      <c r="V38" s="1352" t="s">
        <v>65</v>
      </c>
      <c r="W38" s="1353">
        <f t="shared" si="14"/>
        <v>100</v>
      </c>
      <c r="X38" s="1340"/>
      <c r="Y38" s="3665" t="s">
        <v>1026</v>
      </c>
      <c r="Z38" s="1354" t="str">
        <f t="shared" si="15"/>
        <v>业态</v>
      </c>
      <c r="AA38" s="1355">
        <f t="shared" si="3"/>
        <v>1</v>
      </c>
      <c r="AB38" s="1355">
        <f t="shared" si="4"/>
        <v>1</v>
      </c>
      <c r="AC38" s="1355">
        <f t="shared" si="5"/>
        <v>1</v>
      </c>
    </row>
    <row r="39" spans="1:29" ht="15">
      <c r="A39" s="161"/>
      <c r="B39" s="12" t="s">
        <v>1027</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63"/>
      <c r="Q39" s="1351" t="str">
        <f t="shared" si="11"/>
        <v>层高</v>
      </c>
      <c r="R39" s="1352" t="s">
        <v>65</v>
      </c>
      <c r="S39" s="1353">
        <f t="shared" si="12"/>
        <v>100</v>
      </c>
      <c r="T39" s="1352" t="s">
        <v>65</v>
      </c>
      <c r="U39" s="1353">
        <f t="shared" si="13"/>
        <v>100</v>
      </c>
      <c r="V39" s="1352" t="s">
        <v>65</v>
      </c>
      <c r="W39" s="1353">
        <f t="shared" si="14"/>
        <v>100</v>
      </c>
      <c r="X39" s="1340"/>
      <c r="Y39" s="3665"/>
      <c r="Z39" s="1354" t="str">
        <f t="shared" si="15"/>
        <v>层高</v>
      </c>
      <c r="AA39" s="1355">
        <f t="shared" si="3"/>
        <v>1</v>
      </c>
      <c r="AB39" s="1355">
        <f t="shared" si="4"/>
        <v>1</v>
      </c>
      <c r="AC39" s="1355">
        <f t="shared" si="5"/>
        <v>1</v>
      </c>
    </row>
    <row r="40" spans="1:29" ht="14.25">
      <c r="A40" s="161"/>
      <c r="B40" s="12" t="s">
        <v>1028</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63"/>
      <c r="Q40" s="1351" t="str">
        <f t="shared" si="11"/>
        <v>单套建筑面积</v>
      </c>
      <c r="R40" s="1352" t="s">
        <v>65</v>
      </c>
      <c r="S40" s="1353">
        <f t="shared" si="12"/>
        <v>100</v>
      </c>
      <c r="T40" s="1352" t="s">
        <v>65</v>
      </c>
      <c r="U40" s="1353">
        <f t="shared" si="13"/>
        <v>100</v>
      </c>
      <c r="V40" s="1352" t="s">
        <v>65</v>
      </c>
      <c r="W40" s="1353">
        <f t="shared" si="14"/>
        <v>100</v>
      </c>
      <c r="X40" s="1340"/>
      <c r="Y40" s="3665"/>
      <c r="Z40" s="1354" t="str">
        <f t="shared" si="15"/>
        <v>单套建筑面积</v>
      </c>
      <c r="AA40" s="1355">
        <f t="shared" si="3"/>
        <v>1</v>
      </c>
      <c r="AB40" s="1355">
        <f t="shared" si="4"/>
        <v>1</v>
      </c>
      <c r="AC40" s="1355">
        <f t="shared" si="5"/>
        <v>1</v>
      </c>
    </row>
    <row r="41" spans="1:29" s="1039" customFormat="1" ht="15">
      <c r="A41" s="1043"/>
      <c r="B41" s="191" t="s">
        <v>1029</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63"/>
      <c r="Q41" s="1359" t="str">
        <f t="shared" si="11"/>
        <v>进深比</v>
      </c>
      <c r="R41" s="1360" t="s">
        <v>65</v>
      </c>
      <c r="S41" s="1361">
        <f t="shared" si="12"/>
        <v>100</v>
      </c>
      <c r="T41" s="1360" t="s">
        <v>65</v>
      </c>
      <c r="U41" s="1361">
        <f t="shared" si="13"/>
        <v>100</v>
      </c>
      <c r="V41" s="1360" t="s">
        <v>65</v>
      </c>
      <c r="W41" s="1361">
        <f t="shared" si="14"/>
        <v>100</v>
      </c>
      <c r="X41" s="1362"/>
      <c r="Y41" s="3665"/>
      <c r="Z41" s="1363" t="str">
        <f t="shared" si="15"/>
        <v>进深比</v>
      </c>
      <c r="AA41" s="1355">
        <f t="shared" si="3"/>
        <v>1</v>
      </c>
      <c r="AB41" s="1355">
        <f t="shared" si="4"/>
        <v>1</v>
      </c>
      <c r="AC41" s="1355">
        <f t="shared" si="5"/>
        <v>1</v>
      </c>
    </row>
    <row r="42" spans="1:29" ht="15">
      <c r="A42" s="161"/>
      <c r="B42" s="12" t="s">
        <v>1030</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63"/>
      <c r="Q42" s="1351" t="str">
        <f t="shared" si="11"/>
        <v>内部装修</v>
      </c>
      <c r="R42" s="1352" t="s">
        <v>65</v>
      </c>
      <c r="S42" s="1353">
        <f t="shared" si="12"/>
        <v>100</v>
      </c>
      <c r="T42" s="1352" t="s">
        <v>65</v>
      </c>
      <c r="U42" s="1353">
        <f t="shared" si="13"/>
        <v>100</v>
      </c>
      <c r="V42" s="1352" t="s">
        <v>65</v>
      </c>
      <c r="W42" s="1353">
        <f t="shared" si="14"/>
        <v>100</v>
      </c>
      <c r="X42" s="1340"/>
      <c r="Y42" s="3665"/>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63"/>
      <c r="Q43" s="1351" t="str">
        <f t="shared" si="11"/>
        <v>内部装修维护情况</v>
      </c>
      <c r="R43" s="1352" t="s">
        <v>65</v>
      </c>
      <c r="S43" s="1353">
        <f t="shared" si="12"/>
        <v>100</v>
      </c>
      <c r="T43" s="1352" t="s">
        <v>65</v>
      </c>
      <c r="U43" s="1353">
        <f t="shared" si="13"/>
        <v>100</v>
      </c>
      <c r="V43" s="1352" t="s">
        <v>65</v>
      </c>
      <c r="W43" s="1353">
        <f t="shared" si="14"/>
        <v>100</v>
      </c>
      <c r="X43" s="1340"/>
      <c r="Y43" s="3665"/>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63"/>
      <c r="Q44" s="7">
        <f t="shared" si="11"/>
        <v>111</v>
      </c>
      <c r="R44" s="1342" t="s">
        <v>65</v>
      </c>
      <c r="S44" s="1343">
        <f t="shared" si="12"/>
        <v>100</v>
      </c>
      <c r="T44" s="1342" t="s">
        <v>65</v>
      </c>
      <c r="U44" s="1343">
        <f t="shared" si="13"/>
        <v>100</v>
      </c>
      <c r="V44" s="1342" t="s">
        <v>65</v>
      </c>
      <c r="W44" s="1343">
        <f t="shared" si="14"/>
        <v>100</v>
      </c>
      <c r="X44" s="287"/>
      <c r="Y44" s="3665"/>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63"/>
      <c r="Q45" s="1351">
        <f t="shared" si="11"/>
        <v>111</v>
      </c>
      <c r="R45" s="1352" t="s">
        <v>65</v>
      </c>
      <c r="S45" s="1353">
        <f t="shared" si="12"/>
        <v>100</v>
      </c>
      <c r="T45" s="1352" t="s">
        <v>65</v>
      </c>
      <c r="U45" s="1353">
        <f t="shared" si="13"/>
        <v>100</v>
      </c>
      <c r="V45" s="1352" t="s">
        <v>65</v>
      </c>
      <c r="W45" s="1353">
        <f t="shared" si="14"/>
        <v>100</v>
      </c>
      <c r="X45" s="1340"/>
      <c r="Y45" s="3665"/>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64"/>
      <c r="Q46" s="1351">
        <f t="shared" si="11"/>
        <v>111</v>
      </c>
      <c r="R46" s="1352" t="s">
        <v>65</v>
      </c>
      <c r="S46" s="1353">
        <f t="shared" si="12"/>
        <v>100</v>
      </c>
      <c r="T46" s="1352" t="s">
        <v>65</v>
      </c>
      <c r="U46" s="1353">
        <f t="shared" si="13"/>
        <v>100</v>
      </c>
      <c r="V46" s="1352" t="s">
        <v>65</v>
      </c>
      <c r="W46" s="1353">
        <f t="shared" si="14"/>
        <v>100</v>
      </c>
      <c r="X46" s="1340"/>
      <c r="Y46" s="3666"/>
      <c r="Z46" s="1354">
        <f t="shared" si="15"/>
        <v>111</v>
      </c>
      <c r="AA46" s="1355">
        <f t="shared" si="3"/>
        <v>1</v>
      </c>
      <c r="AB46" s="1355">
        <f t="shared" si="4"/>
        <v>1</v>
      </c>
      <c r="AC46" s="1355">
        <f t="shared" si="5"/>
        <v>1</v>
      </c>
    </row>
    <row r="47" spans="1:29" ht="15">
      <c r="A47" s="163" t="s">
        <v>1031</v>
      </c>
      <c r="B47" s="164"/>
      <c r="C47" s="2834" t="s">
        <v>23</v>
      </c>
      <c r="D47" s="2835"/>
      <c r="E47" s="2836"/>
      <c r="F47" s="2837"/>
      <c r="G47" s="2838"/>
      <c r="H47" s="2839"/>
      <c r="I47" s="2836"/>
      <c r="J47" s="2839"/>
      <c r="K47" s="1393"/>
      <c r="L47" s="2304"/>
      <c r="M47" s="2305"/>
      <c r="N47" s="2297"/>
      <c r="O47" s="2305"/>
      <c r="P47" s="3658" t="str">
        <f>A47</f>
        <v>成交单价（元/平方米）</v>
      </c>
      <c r="Q47" s="3658"/>
      <c r="R47" s="3653">
        <f>E47</f>
        <v>0</v>
      </c>
      <c r="S47" s="3653"/>
      <c r="T47" s="3653">
        <f>G47</f>
        <v>0</v>
      </c>
      <c r="U47" s="3653"/>
      <c r="V47" s="3653">
        <f>I47</f>
        <v>0</v>
      </c>
      <c r="W47" s="3653"/>
      <c r="X47" s="1365"/>
      <c r="Y47" s="1366"/>
      <c r="Z47" s="1365"/>
      <c r="AA47" s="1365"/>
      <c r="AB47" s="1365"/>
      <c r="AC47" s="1365"/>
    </row>
    <row r="48" spans="1:29" ht="15.75" thickBot="1">
      <c r="A48" s="165" t="s">
        <v>1032</v>
      </c>
      <c r="B48" s="166"/>
      <c r="C48" s="2840" t="e">
        <f>R49</f>
        <v>#DIV/0!</v>
      </c>
      <c r="D48" s="2841"/>
      <c r="E48" s="2842" t="e">
        <f>R48</f>
        <v>#DIV/0!</v>
      </c>
      <c r="F48" s="2842"/>
      <c r="G48" s="2840" t="e">
        <f>T48</f>
        <v>#DIV/0!</v>
      </c>
      <c r="H48" s="2841"/>
      <c r="I48" s="2842" t="e">
        <f>V48</f>
        <v>#DIV/0!</v>
      </c>
      <c r="J48" s="2841"/>
      <c r="K48" s="1394"/>
      <c r="L48" s="2304"/>
      <c r="M48" s="2305"/>
      <c r="N48" s="2297"/>
      <c r="O48" s="230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365"/>
      <c r="Y48" s="1365"/>
      <c r="Z48" s="1365"/>
      <c r="AA48" s="1365"/>
      <c r="AB48" s="1365"/>
      <c r="AC48" s="1365"/>
    </row>
    <row r="49" spans="1:29" ht="15.75" thickBot="1">
      <c r="A49" s="115" t="s">
        <v>3011</v>
      </c>
      <c r="B49" s="116"/>
      <c r="C49" s="2844" t="e">
        <f>R49</f>
        <v>#DIV/0!</v>
      </c>
      <c r="D49" s="2844"/>
      <c r="E49" s="2844"/>
      <c r="F49" s="2844"/>
      <c r="G49" s="2844"/>
      <c r="H49" s="2844"/>
      <c r="I49" s="2844"/>
      <c r="J49" s="2844"/>
      <c r="K49" s="1395"/>
      <c r="L49" s="2304"/>
      <c r="M49" s="2305"/>
      <c r="N49" s="2297"/>
      <c r="O49" s="2305"/>
      <c r="P49" s="3655" t="str">
        <f>A49</f>
        <v>估价对象XX用房的比较价值（楼面单价，元/平方米）</v>
      </c>
      <c r="Q49" s="3656"/>
      <c r="R49" s="3657" t="e">
        <f>IF(F1="售价",ROUND(AVERAGE(R48:V48),0),ROUND(AVERAGE(R48:V48),1))</f>
        <v>#DIV/0!</v>
      </c>
      <c r="S49" s="3657"/>
      <c r="T49" s="3657"/>
      <c r="U49" s="3657"/>
      <c r="V49" s="3657"/>
      <c r="W49" s="365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1001</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1002</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1003</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1033</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2787</v>
      </c>
      <c r="B58" s="849"/>
      <c r="C58" s="3042" t="str">
        <f>YEAR(C7)&amp;"-"&amp;MONTH(C7)</f>
        <v>2017-8</v>
      </c>
      <c r="D58" s="3043">
        <f>EDATE(C58,-1)</f>
        <v>42917</v>
      </c>
      <c r="E58" s="3043">
        <f t="shared" ref="E58:N58" si="16">EDATE(D58,-1)</f>
        <v>42887</v>
      </c>
      <c r="F58" s="3043">
        <f t="shared" si="16"/>
        <v>42856</v>
      </c>
      <c r="G58" s="3043">
        <f t="shared" si="16"/>
        <v>42826</v>
      </c>
      <c r="H58" s="3043">
        <f t="shared" si="16"/>
        <v>42795</v>
      </c>
      <c r="I58" s="3043">
        <f t="shared" si="16"/>
        <v>42767</v>
      </c>
      <c r="J58" s="3043">
        <f t="shared" si="16"/>
        <v>42736</v>
      </c>
      <c r="K58" s="3043">
        <f t="shared" si="16"/>
        <v>42705</v>
      </c>
      <c r="L58" s="3043">
        <f t="shared" si="16"/>
        <v>42675</v>
      </c>
      <c r="M58" s="3043">
        <f t="shared" si="16"/>
        <v>42644</v>
      </c>
      <c r="N58" s="3043">
        <f t="shared" si="16"/>
        <v>42614</v>
      </c>
      <c r="O58" s="3043">
        <f>EDATE(N58,-1)</f>
        <v>42583</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1034</v>
      </c>
      <c r="B60" s="1048"/>
      <c r="C60" s="860"/>
      <c r="D60" s="861"/>
      <c r="E60" s="861"/>
      <c r="F60" s="861"/>
      <c r="G60" s="861"/>
      <c r="H60" s="861"/>
      <c r="I60" s="861"/>
      <c r="J60" s="861"/>
      <c r="K60" s="861"/>
      <c r="L60" s="861"/>
      <c r="M60" s="862"/>
      <c r="N60" s="861"/>
      <c r="O60" s="862"/>
      <c r="P60" s="1377"/>
      <c r="Q60" s="121"/>
    </row>
    <row r="61" spans="1:29" s="40" customFormat="1">
      <c r="A61" s="1049" t="s">
        <v>1035</v>
      </c>
      <c r="B61" s="1046"/>
      <c r="C61" s="1050" t="s">
        <v>1036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1037</v>
      </c>
      <c r="B63" s="286" t="s">
        <v>1038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1039</v>
      </c>
      <c r="C65" s="882" t="s">
        <v>1004</v>
      </c>
      <c r="D65" s="882" t="s">
        <v>1005</v>
      </c>
      <c r="E65" s="882" t="s">
        <v>1006</v>
      </c>
      <c r="F65" s="882" t="s">
        <v>1007</v>
      </c>
      <c r="G65" s="882" t="s">
        <v>1008</v>
      </c>
      <c r="H65" s="882" t="s">
        <v>1009</v>
      </c>
      <c r="I65" s="882" t="s">
        <v>1010</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1040</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1041</v>
      </c>
      <c r="B76" s="286" t="s">
        <v>1042</v>
      </c>
      <c r="C76" s="916" t="s">
        <v>1011</v>
      </c>
      <c r="D76" s="916" t="s">
        <v>1012</v>
      </c>
      <c r="E76" s="916" t="s">
        <v>1013</v>
      </c>
      <c r="F76" s="916" t="s">
        <v>1014</v>
      </c>
      <c r="G76" s="916" t="s">
        <v>1015</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1048</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2651</v>
      </c>
      <c r="C82" s="213" t="s">
        <v>2652</v>
      </c>
      <c r="D82" s="213" t="s">
        <v>2653</v>
      </c>
      <c r="E82" s="213" t="s">
        <v>2654</v>
      </c>
      <c r="F82" s="213" t="s">
        <v>2655</v>
      </c>
      <c r="G82" s="213" t="s">
        <v>2656</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1049</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1050</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1051</v>
      </c>
      <c r="B100" s="286" t="s">
        <v>1052</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1053</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1054</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1055</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1056</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2634</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1057</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1058</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1059</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1060</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1061</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1062</v>
      </c>
      <c r="C124" s="181" t="s">
        <v>1043</v>
      </c>
      <c r="D124" s="181" t="s">
        <v>1044</v>
      </c>
      <c r="E124" s="181" t="s">
        <v>1045</v>
      </c>
      <c r="F124" s="181" t="s">
        <v>1046</v>
      </c>
      <c r="G124" s="181" t="s">
        <v>1047</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1063</v>
      </c>
      <c r="B1" s="3119" t="s">
        <v>1064</v>
      </c>
      <c r="C1" s="3113" t="s">
        <v>1065</v>
      </c>
      <c r="D1" s="3104"/>
      <c r="E1" s="3109"/>
      <c r="F1" s="3106"/>
      <c r="G1" s="3108" t="s">
        <v>1066</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1067</v>
      </c>
      <c r="B2" s="2845" t="e">
        <f ca="1">IF(C2="——",ROUND(C50*D3/10000,0),ROUND(C50*D3/10000,0)-D2)</f>
        <v>#DIV/0!</v>
      </c>
      <c r="C2" s="3098"/>
      <c r="D2" s="2725" t="e">
        <f ca="1">SUMIF(INDIRECT("'"&amp;F2&amp;"'"&amp;"!A:A"),"承租人权益价值",INDIRECT("'"&amp;F2&amp;"'"&amp;"!c:c"))</f>
        <v>#REF!</v>
      </c>
      <c r="E2" s="3099" t="s">
        <v>863</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1068</v>
      </c>
      <c r="B3" s="952" t="e">
        <f ca="1">IF(C2="——",C50,ROUND(B2*10000/D3,0))</f>
        <v>#DIV/0!</v>
      </c>
      <c r="C3" s="142" t="s">
        <v>1069</v>
      </c>
      <c r="D3" s="742">
        <f>IF(D1="",'数据-汇总表'!E3,SUMIF('数据-汇总表'!$C19:$C33,D1,'数据-汇总表'!$E19:$E33))</f>
        <v>92501.329999999987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1070</v>
      </c>
      <c r="B4" s="144"/>
      <c r="C4" s="3641" t="s">
        <v>1071</v>
      </c>
      <c r="D4" s="3642"/>
      <c r="E4" s="3643" t="s">
        <v>1072</v>
      </c>
      <c r="F4" s="3644"/>
      <c r="G4" s="3641" t="s">
        <v>1073</v>
      </c>
      <c r="H4" s="3642"/>
      <c r="I4" s="3641" t="s">
        <v>1074</v>
      </c>
      <c r="J4" s="3642"/>
      <c r="K4" s="187" t="s">
        <v>1075</v>
      </c>
      <c r="L4" s="2296"/>
      <c r="M4" s="2297"/>
      <c r="N4" s="2297"/>
      <c r="O4" s="2297"/>
      <c r="P4" s="3675" t="s">
        <v>1070</v>
      </c>
      <c r="Q4" s="3676"/>
      <c r="R4" s="3670" t="s">
        <v>1072</v>
      </c>
      <c r="S4" s="3671"/>
      <c r="T4" s="3670" t="s">
        <v>1073</v>
      </c>
      <c r="U4" s="3671"/>
      <c r="V4" s="3679" t="s">
        <v>1074</v>
      </c>
      <c r="W4" s="3679"/>
      <c r="X4" s="2336"/>
      <c r="Y4" s="3670" t="s">
        <v>1070</v>
      </c>
      <c r="Z4" s="3671"/>
      <c r="AA4" s="3669" t="s">
        <v>1072</v>
      </c>
      <c r="AB4" s="3669" t="s">
        <v>1073</v>
      </c>
      <c r="AC4" s="3672" t="s">
        <v>1074</v>
      </c>
    </row>
    <row r="5" spans="1:29">
      <c r="A5" s="146"/>
      <c r="B5" s="147"/>
      <c r="C5" s="3634" t="s">
        <v>1076</v>
      </c>
      <c r="D5" s="3635"/>
      <c r="E5" s="3632" t="s">
        <v>1077</v>
      </c>
      <c r="F5" s="3633"/>
      <c r="G5" s="3634" t="s">
        <v>1078</v>
      </c>
      <c r="H5" s="3635"/>
      <c r="I5" s="3634" t="s">
        <v>1079</v>
      </c>
      <c r="J5" s="3635"/>
      <c r="K5" s="187"/>
      <c r="L5" s="2296"/>
      <c r="M5" s="2297"/>
      <c r="N5" s="2297"/>
      <c r="O5" s="2297"/>
      <c r="P5" s="3677"/>
      <c r="Q5" s="3648"/>
      <c r="R5" s="3630"/>
      <c r="S5" s="3631"/>
      <c r="T5" s="3630"/>
      <c r="U5" s="3631"/>
      <c r="V5" s="3653"/>
      <c r="W5" s="3653"/>
      <c r="X5" s="2222"/>
      <c r="Y5" s="3630"/>
      <c r="Z5" s="3631"/>
      <c r="AA5" s="3624"/>
      <c r="AB5" s="3624"/>
      <c r="AC5" s="3673"/>
    </row>
    <row r="6" spans="1:29" ht="14.25" thickBot="1">
      <c r="A6" s="148"/>
      <c r="B6" s="149"/>
      <c r="C6" s="3636" t="s">
        <v>1080</v>
      </c>
      <c r="D6" s="3637"/>
      <c r="E6" s="3638" t="s">
        <v>1080</v>
      </c>
      <c r="F6" s="3639"/>
      <c r="G6" s="3636" t="s">
        <v>1080</v>
      </c>
      <c r="H6" s="3637"/>
      <c r="I6" s="3636" t="s">
        <v>1080</v>
      </c>
      <c r="J6" s="3637"/>
      <c r="K6" s="187" t="s">
        <v>1081</v>
      </c>
      <c r="L6" s="2296"/>
      <c r="M6" s="2297"/>
      <c r="N6" s="2297"/>
      <c r="O6" s="2297"/>
      <c r="P6" s="3678"/>
      <c r="Q6" s="3650"/>
      <c r="R6" s="3630"/>
      <c r="S6" s="3631"/>
      <c r="T6" s="3651"/>
      <c r="U6" s="3652"/>
      <c r="V6" s="3653"/>
      <c r="W6" s="3653"/>
      <c r="X6" s="2222"/>
      <c r="Y6" s="3651"/>
      <c r="Z6" s="3652"/>
      <c r="AA6" s="3625"/>
      <c r="AB6" s="3625"/>
      <c r="AC6" s="3674"/>
    </row>
    <row r="7" spans="1:29" s="40" customFormat="1" ht="15" thickBot="1">
      <c r="A7" s="1014" t="s">
        <v>1082</v>
      </c>
      <c r="B7" s="1015"/>
      <c r="C7" s="753">
        <f>'数据-取费表'!B2</f>
        <v>42964</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80" t="s">
        <v>1082</v>
      </c>
      <c r="Q7" s="3654"/>
      <c r="R7" s="1342" t="s">
        <v>65</v>
      </c>
      <c r="S7" s="1343">
        <f t="shared" ref="S7:S15" si="0">F7</f>
        <v>0</v>
      </c>
      <c r="T7" s="1342" t="s">
        <v>65</v>
      </c>
      <c r="U7" s="1343">
        <f t="shared" ref="U7:U15" si="1">H7</f>
        <v>0</v>
      </c>
      <c r="V7" s="1342" t="s">
        <v>65</v>
      </c>
      <c r="W7" s="1343">
        <f t="shared" ref="W7:W15" si="2">J7</f>
        <v>0</v>
      </c>
      <c r="X7" s="287"/>
      <c r="Y7" s="3626" t="s">
        <v>1082</v>
      </c>
      <c r="Z7" s="3627"/>
      <c r="AA7" s="1344" t="e">
        <f>D7/F7</f>
        <v>#DIV/0!</v>
      </c>
      <c r="AB7" s="1344" t="e">
        <f>D7/H7</f>
        <v>#DIV/0!</v>
      </c>
      <c r="AC7" s="2337" t="e">
        <f>D7/J7</f>
        <v>#DIV/0!</v>
      </c>
    </row>
    <row r="8" spans="1:29" s="40" customFormat="1" ht="15" thickBot="1">
      <c r="A8" s="1014" t="s">
        <v>1083</v>
      </c>
      <c r="B8" s="1015"/>
      <c r="C8" s="1020" t="s">
        <v>1084</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80" t="s">
        <v>1016</v>
      </c>
      <c r="Q8" s="3627"/>
      <c r="R8" s="1342" t="s">
        <v>65</v>
      </c>
      <c r="S8" s="1343">
        <f t="shared" si="0"/>
        <v>0</v>
      </c>
      <c r="T8" s="1342" t="s">
        <v>65</v>
      </c>
      <c r="U8" s="1343">
        <f t="shared" si="1"/>
        <v>0</v>
      </c>
      <c r="V8" s="1342" t="s">
        <v>65</v>
      </c>
      <c r="W8" s="1343">
        <f t="shared" si="2"/>
        <v>0</v>
      </c>
      <c r="X8" s="287"/>
      <c r="Y8" s="3626" t="s">
        <v>1016</v>
      </c>
      <c r="Z8" s="3627"/>
      <c r="AA8" s="1344" t="e">
        <f t="shared" ref="AA8:AA47" si="3">D8/F8</f>
        <v>#DIV/0!</v>
      </c>
      <c r="AB8" s="1344" t="e">
        <f t="shared" ref="AB8:AB47" si="4">D8/H8</f>
        <v>#DIV/0!</v>
      </c>
      <c r="AC8" s="2337" t="e">
        <f t="shared" ref="AC8:AC47" si="5">D8/J8</f>
        <v>#DIV/0!</v>
      </c>
    </row>
    <row r="9" spans="1:29" s="40" customFormat="1" ht="14.25">
      <c r="A9" s="1021" t="s">
        <v>1017</v>
      </c>
      <c r="B9" s="62" t="s">
        <v>1018</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40" t="s">
        <v>67</v>
      </c>
      <c r="Q9" s="2213" t="str">
        <f t="shared" ref="Q9:Q15" si="6">B9</f>
        <v>用途</v>
      </c>
      <c r="R9" s="1342" t="s">
        <v>65</v>
      </c>
      <c r="S9" s="1343">
        <f t="shared" si="0"/>
        <v>100</v>
      </c>
      <c r="T9" s="1342" t="s">
        <v>65</v>
      </c>
      <c r="U9" s="1343">
        <f t="shared" si="1"/>
        <v>100</v>
      </c>
      <c r="V9" s="1342" t="s">
        <v>65</v>
      </c>
      <c r="W9" s="1343">
        <f t="shared" si="2"/>
        <v>100</v>
      </c>
      <c r="X9" s="287"/>
      <c r="Y9" s="3443"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40"/>
      <c r="Q10" s="2213" t="str">
        <f t="shared" si="6"/>
        <v>土地使用年限（年）</v>
      </c>
      <c r="R10" s="1342" t="s">
        <v>65</v>
      </c>
      <c r="S10" s="1343">
        <f t="shared" si="0"/>
        <v>100</v>
      </c>
      <c r="T10" s="1342" t="s">
        <v>65</v>
      </c>
      <c r="U10" s="1343">
        <f t="shared" si="1"/>
        <v>100</v>
      </c>
      <c r="V10" s="1342" t="s">
        <v>65</v>
      </c>
      <c r="W10" s="1343">
        <f t="shared" si="2"/>
        <v>100</v>
      </c>
      <c r="X10" s="287"/>
      <c r="Y10" s="3443"/>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40"/>
      <c r="Q11" s="2213" t="str">
        <f t="shared" si="6"/>
        <v>容积率</v>
      </c>
      <c r="R11" s="1342" t="s">
        <v>65</v>
      </c>
      <c r="S11" s="1343" t="e">
        <f t="shared" si="0"/>
        <v>#N/A</v>
      </c>
      <c r="T11" s="1342" t="s">
        <v>65</v>
      </c>
      <c r="U11" s="1343" t="e">
        <f t="shared" si="1"/>
        <v>#N/A</v>
      </c>
      <c r="V11" s="1342" t="s">
        <v>65</v>
      </c>
      <c r="W11" s="1343" t="e">
        <f t="shared" si="2"/>
        <v>#N/A</v>
      </c>
      <c r="X11" s="287"/>
      <c r="Y11" s="3443"/>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40"/>
      <c r="Q12" s="2213">
        <f t="shared" si="6"/>
        <v>111</v>
      </c>
      <c r="R12" s="1342" t="s">
        <v>65</v>
      </c>
      <c r="S12" s="1343">
        <f t="shared" si="0"/>
        <v>100</v>
      </c>
      <c r="T12" s="1342" t="s">
        <v>65</v>
      </c>
      <c r="U12" s="1343">
        <f t="shared" si="1"/>
        <v>100</v>
      </c>
      <c r="V12" s="1342" t="s">
        <v>65</v>
      </c>
      <c r="W12" s="1343">
        <f t="shared" si="2"/>
        <v>100</v>
      </c>
      <c r="X12" s="287"/>
      <c r="Y12" s="3443"/>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40"/>
      <c r="Q13" s="2213">
        <f t="shared" si="6"/>
        <v>111</v>
      </c>
      <c r="R13" s="1342" t="s">
        <v>65</v>
      </c>
      <c r="S13" s="1343">
        <f t="shared" si="0"/>
        <v>100</v>
      </c>
      <c r="T13" s="1342" t="s">
        <v>65</v>
      </c>
      <c r="U13" s="1343">
        <f t="shared" si="1"/>
        <v>100</v>
      </c>
      <c r="V13" s="1342" t="s">
        <v>65</v>
      </c>
      <c r="W13" s="1343">
        <f t="shared" si="2"/>
        <v>100</v>
      </c>
      <c r="X13" s="287"/>
      <c r="Y13" s="3443"/>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40"/>
      <c r="Q14" s="2213">
        <f t="shared" si="6"/>
        <v>111</v>
      </c>
      <c r="R14" s="1342" t="s">
        <v>65</v>
      </c>
      <c r="S14" s="1343">
        <f t="shared" si="0"/>
        <v>100</v>
      </c>
      <c r="T14" s="1342" t="s">
        <v>65</v>
      </c>
      <c r="U14" s="1343">
        <f t="shared" si="1"/>
        <v>100</v>
      </c>
      <c r="V14" s="1342" t="s">
        <v>65</v>
      </c>
      <c r="W14" s="1343">
        <f t="shared" si="2"/>
        <v>100</v>
      </c>
      <c r="X14" s="287"/>
      <c r="Y14" s="3443"/>
      <c r="Z14" s="2212">
        <f t="shared" si="7"/>
        <v>111</v>
      </c>
      <c r="AA14" s="1344">
        <f t="shared" si="3"/>
        <v>1</v>
      </c>
      <c r="AB14" s="1344">
        <f t="shared" si="4"/>
        <v>1</v>
      </c>
      <c r="AC14" s="2337">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67" t="s">
        <v>69</v>
      </c>
      <c r="Q15" s="2220" t="str">
        <f t="shared" si="6"/>
        <v>办公集聚程度</v>
      </c>
      <c r="R15" s="1352" t="s">
        <v>65</v>
      </c>
      <c r="S15" s="1353">
        <f t="shared" si="0"/>
        <v>100</v>
      </c>
      <c r="T15" s="1352" t="s">
        <v>65</v>
      </c>
      <c r="U15" s="1353">
        <f t="shared" si="1"/>
        <v>100</v>
      </c>
      <c r="V15" s="1352" t="s">
        <v>65</v>
      </c>
      <c r="W15" s="1353">
        <f t="shared" si="2"/>
        <v>100</v>
      </c>
      <c r="X15" s="2222"/>
      <c r="Y15" s="3660"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68"/>
      <c r="Q16" s="2220"/>
      <c r="R16" s="1352"/>
      <c r="S16" s="1353"/>
      <c r="T16" s="1352"/>
      <c r="U16" s="1353"/>
      <c r="V16" s="1352"/>
      <c r="W16" s="1353"/>
      <c r="X16" s="2222"/>
      <c r="Y16" s="3661"/>
      <c r="Z16" s="2221"/>
      <c r="AA16" s="1355">
        <v>1</v>
      </c>
      <c r="AB16" s="1355">
        <v>1</v>
      </c>
      <c r="AC16" s="2338">
        <v>1</v>
      </c>
    </row>
    <row r="17" spans="1:29" ht="81">
      <c r="A17" s="151"/>
      <c r="B17" s="1034" t="s">
        <v>72</v>
      </c>
      <c r="C17" s="210" t="str">
        <f>估价对象房地状况!C6</f>
        <v>估价对象周边道路状况、公共交通通达情况、停车便捷程度一般，综合评价交通便捷度较好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68"/>
      <c r="Q17" s="2220" t="str">
        <f>B17</f>
        <v>交通便捷度</v>
      </c>
      <c r="R17" s="1352" t="s">
        <v>65</v>
      </c>
      <c r="S17" s="1353">
        <f>F17</f>
        <v>100</v>
      </c>
      <c r="T17" s="1352" t="s">
        <v>65</v>
      </c>
      <c r="U17" s="1353">
        <f>H17</f>
        <v>100</v>
      </c>
      <c r="V17" s="1352" t="s">
        <v>65</v>
      </c>
      <c r="W17" s="1353">
        <f>J17</f>
        <v>100</v>
      </c>
      <c r="X17" s="2222"/>
      <c r="Y17" s="3661"/>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68"/>
      <c r="Q18" s="2220"/>
      <c r="R18" s="1352"/>
      <c r="S18" s="1353"/>
      <c r="T18" s="1352"/>
      <c r="U18" s="1353"/>
      <c r="V18" s="1352"/>
      <c r="W18" s="1353"/>
      <c r="X18" s="2222"/>
      <c r="Y18" s="3661"/>
      <c r="Z18" s="2221"/>
      <c r="AA18" s="1355">
        <v>1</v>
      </c>
      <c r="AB18" s="1355">
        <v>1</v>
      </c>
      <c r="AC18" s="2338">
        <v>1</v>
      </c>
    </row>
    <row r="19" spans="1:29" ht="15">
      <c r="A19" s="151"/>
      <c r="B19" s="1034" t="s">
        <v>2657</v>
      </c>
      <c r="C19" s="210" t="str">
        <f>估价对象房地状况!C7</f>
        <v>较好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68"/>
      <c r="Q19" s="2220" t="str">
        <f>B19</f>
        <v>公共配套设施</v>
      </c>
      <c r="R19" s="1352" t="s">
        <v>65</v>
      </c>
      <c r="S19" s="1353">
        <f>F19</f>
        <v>100</v>
      </c>
      <c r="T19" s="1352" t="s">
        <v>65</v>
      </c>
      <c r="U19" s="1353">
        <f>H19</f>
        <v>100</v>
      </c>
      <c r="V19" s="1352" t="s">
        <v>65</v>
      </c>
      <c r="W19" s="1353">
        <f>J19</f>
        <v>100</v>
      </c>
      <c r="X19" s="2222"/>
      <c r="Y19" s="3661"/>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68"/>
      <c r="Q20" s="2220"/>
      <c r="R20" s="1352"/>
      <c r="S20" s="1353"/>
      <c r="T20" s="1352"/>
      <c r="U20" s="1353"/>
      <c r="V20" s="1352"/>
      <c r="W20" s="1353"/>
      <c r="X20" s="2222"/>
      <c r="Y20" s="3661"/>
      <c r="Z20" s="2221"/>
      <c r="AA20" s="1355">
        <v>1</v>
      </c>
      <c r="AB20" s="1355">
        <v>1</v>
      </c>
      <c r="AC20" s="2338">
        <v>1</v>
      </c>
    </row>
    <row r="21" spans="1:29" ht="15">
      <c r="A21" s="151"/>
      <c r="B21" s="1036" t="s">
        <v>2658</v>
      </c>
      <c r="C21" s="210" t="str">
        <f>估价对象房地状况!C8</f>
        <v>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68"/>
      <c r="Q22" s="2747"/>
      <c r="R22" s="1352"/>
      <c r="S22" s="1353"/>
      <c r="T22" s="1352"/>
      <c r="U22" s="1353"/>
      <c r="V22" s="1352"/>
      <c r="W22" s="1353"/>
      <c r="X22" s="2749"/>
      <c r="Y22" s="3661"/>
      <c r="Z22" s="2748"/>
      <c r="AA22" s="1355">
        <v>1</v>
      </c>
      <c r="AB22" s="1355">
        <v>1</v>
      </c>
      <c r="AC22" s="2338">
        <v>1</v>
      </c>
    </row>
    <row r="23" spans="1:29" ht="15">
      <c r="A23" s="151"/>
      <c r="B23" s="1034" t="s">
        <v>143</v>
      </c>
      <c r="C23" s="210" t="str">
        <f>估价对象房地状况!C9</f>
        <v>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68"/>
      <c r="Q23" s="2220" t="str">
        <f>B23</f>
        <v>环境质量</v>
      </c>
      <c r="R23" s="1352" t="s">
        <v>65</v>
      </c>
      <c r="S23" s="1353">
        <f>F23</f>
        <v>100</v>
      </c>
      <c r="T23" s="1352" t="s">
        <v>65</v>
      </c>
      <c r="U23" s="1353">
        <f>H23</f>
        <v>100</v>
      </c>
      <c r="V23" s="1352" t="s">
        <v>65</v>
      </c>
      <c r="W23" s="1353">
        <f>J23</f>
        <v>100</v>
      </c>
      <c r="X23" s="2222"/>
      <c r="Y23" s="3661"/>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68"/>
      <c r="Q24" s="2220"/>
      <c r="R24" s="1352"/>
      <c r="S24" s="1353"/>
      <c r="T24" s="1352"/>
      <c r="U24" s="1353"/>
      <c r="V24" s="1352"/>
      <c r="W24" s="1353"/>
      <c r="X24" s="2222"/>
      <c r="Y24" s="3661"/>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68"/>
      <c r="Q25" s="2220" t="str">
        <f>B25</f>
        <v>毗邻道路的类型与等级</v>
      </c>
      <c r="R25" s="1352" t="s">
        <v>65</v>
      </c>
      <c r="S25" s="1353">
        <f>F25</f>
        <v>100</v>
      </c>
      <c r="T25" s="1352" t="s">
        <v>65</v>
      </c>
      <c r="U25" s="1353">
        <f>H25</f>
        <v>100</v>
      </c>
      <c r="V25" s="1352" t="s">
        <v>65</v>
      </c>
      <c r="W25" s="1353">
        <f>J25</f>
        <v>100</v>
      </c>
      <c r="X25" s="2222"/>
      <c r="Y25" s="3661"/>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68"/>
      <c r="Q26" s="2220"/>
      <c r="R26" s="1352"/>
      <c r="S26" s="1353"/>
      <c r="T26" s="1352"/>
      <c r="U26" s="1353"/>
      <c r="V26" s="1352"/>
      <c r="W26" s="1353"/>
      <c r="X26" s="2222"/>
      <c r="Y26" s="3661"/>
      <c r="Z26" s="2221"/>
      <c r="AA26" s="1355">
        <v>1</v>
      </c>
      <c r="AB26" s="1355">
        <v>1</v>
      </c>
      <c r="AC26" s="2338">
        <v>1</v>
      </c>
    </row>
    <row r="27" spans="1:29" ht="15">
      <c r="A27" s="151"/>
      <c r="B27" s="1035" t="s">
        <v>1085</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68"/>
      <c r="Q27" s="2220" t="str">
        <f t="shared" ref="Q27:Q47" si="11">B27</f>
        <v>楼层</v>
      </c>
      <c r="R27" s="1352" t="s">
        <v>65</v>
      </c>
      <c r="S27" s="1353">
        <f>F27</f>
        <v>100</v>
      </c>
      <c r="T27" s="1352" t="s">
        <v>65</v>
      </c>
      <c r="U27" s="1353">
        <f>H27</f>
        <v>100</v>
      </c>
      <c r="V27" s="1352" t="s">
        <v>65</v>
      </c>
      <c r="W27" s="1353">
        <f>J27</f>
        <v>100</v>
      </c>
      <c r="X27" s="2222"/>
      <c r="Y27" s="3661"/>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68"/>
      <c r="Q28" s="2213" t="str">
        <f t="shared" si="11"/>
        <v>朝向</v>
      </c>
      <c r="R28" s="1342" t="s">
        <v>65</v>
      </c>
      <c r="S28" s="1343">
        <f>F28</f>
        <v>100</v>
      </c>
      <c r="T28" s="1342" t="s">
        <v>65</v>
      </c>
      <c r="U28" s="1343">
        <f>H28</f>
        <v>100</v>
      </c>
      <c r="V28" s="1342" t="s">
        <v>65</v>
      </c>
      <c r="W28" s="1343">
        <f>J28</f>
        <v>100</v>
      </c>
      <c r="X28" s="287"/>
      <c r="Y28" s="3661"/>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68"/>
      <c r="Q29" s="2220">
        <f t="shared" si="11"/>
        <v>111</v>
      </c>
      <c r="R29" s="1352" t="s">
        <v>65</v>
      </c>
      <c r="S29" s="1353">
        <f t="shared" ref="S29:S47" si="12">F29</f>
        <v>100</v>
      </c>
      <c r="T29" s="1352" t="s">
        <v>65</v>
      </c>
      <c r="U29" s="1353">
        <f t="shared" ref="U29:U47" si="13">H29</f>
        <v>100</v>
      </c>
      <c r="V29" s="1352" t="s">
        <v>65</v>
      </c>
      <c r="W29" s="1353">
        <f t="shared" ref="W29:W47" si="14">J29</f>
        <v>100</v>
      </c>
      <c r="X29" s="2222"/>
      <c r="Y29" s="3661"/>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68"/>
      <c r="Q30" s="2220">
        <f t="shared" si="11"/>
        <v>111</v>
      </c>
      <c r="R30" s="1352" t="s">
        <v>65</v>
      </c>
      <c r="S30" s="1353">
        <f t="shared" si="12"/>
        <v>100</v>
      </c>
      <c r="T30" s="1352" t="s">
        <v>65</v>
      </c>
      <c r="U30" s="1353">
        <f t="shared" si="13"/>
        <v>100</v>
      </c>
      <c r="V30" s="1352" t="s">
        <v>65</v>
      </c>
      <c r="W30" s="1353">
        <f t="shared" si="14"/>
        <v>100</v>
      </c>
      <c r="X30" s="2222"/>
      <c r="Y30" s="3661"/>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68"/>
      <c r="Q31" s="2220">
        <f t="shared" si="11"/>
        <v>111</v>
      </c>
      <c r="R31" s="1352" t="s">
        <v>65</v>
      </c>
      <c r="S31" s="1353">
        <f t="shared" si="12"/>
        <v>100</v>
      </c>
      <c r="T31" s="1352" t="s">
        <v>65</v>
      </c>
      <c r="U31" s="1353">
        <f t="shared" si="13"/>
        <v>100</v>
      </c>
      <c r="V31" s="1352" t="s">
        <v>65</v>
      </c>
      <c r="W31" s="1353">
        <f t="shared" si="14"/>
        <v>100</v>
      </c>
      <c r="X31" s="2222"/>
      <c r="Y31" s="3661"/>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68"/>
      <c r="Q32" s="2220">
        <f t="shared" si="11"/>
        <v>111</v>
      </c>
      <c r="R32" s="1352" t="s">
        <v>65</v>
      </c>
      <c r="S32" s="1353">
        <f t="shared" si="12"/>
        <v>100</v>
      </c>
      <c r="T32" s="1352" t="s">
        <v>65</v>
      </c>
      <c r="U32" s="1353">
        <f t="shared" si="13"/>
        <v>100</v>
      </c>
      <c r="V32" s="1352" t="s">
        <v>65</v>
      </c>
      <c r="W32" s="1353">
        <f t="shared" si="14"/>
        <v>100</v>
      </c>
      <c r="X32" s="2222"/>
      <c r="Y32" s="3661"/>
      <c r="Z32" s="2221">
        <f t="shared" si="15"/>
        <v>111</v>
      </c>
      <c r="AA32" s="1355">
        <f t="shared" si="3"/>
        <v>1</v>
      </c>
      <c r="AB32" s="1355">
        <f t="shared" si="4"/>
        <v>1</v>
      </c>
      <c r="AC32" s="2338">
        <f t="shared" si="5"/>
        <v>1</v>
      </c>
    </row>
    <row r="33" spans="1:29" ht="15">
      <c r="A33" s="155" t="s">
        <v>1086</v>
      </c>
      <c r="B33" s="62" t="s">
        <v>1087</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62" t="s">
        <v>1088</v>
      </c>
      <c r="Q33" s="2220" t="str">
        <f t="shared" si="11"/>
        <v>建筑类型</v>
      </c>
      <c r="R33" s="1352" t="s">
        <v>65</v>
      </c>
      <c r="S33" s="1353">
        <f t="shared" si="12"/>
        <v>100</v>
      </c>
      <c r="T33" s="1352" t="s">
        <v>65</v>
      </c>
      <c r="U33" s="1353">
        <f t="shared" si="13"/>
        <v>100</v>
      </c>
      <c r="V33" s="1352" t="s">
        <v>65</v>
      </c>
      <c r="W33" s="1353">
        <f t="shared" si="14"/>
        <v>100</v>
      </c>
      <c r="X33" s="2222"/>
      <c r="Y33" s="3665" t="s">
        <v>1088</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63"/>
      <c r="Q34" s="1359" t="str">
        <f t="shared" si="11"/>
        <v>项目建筑规模</v>
      </c>
      <c r="R34" s="1360" t="s">
        <v>65</v>
      </c>
      <c r="S34" s="1361" t="e">
        <f t="shared" si="12"/>
        <v>#N/A</v>
      </c>
      <c r="T34" s="1360" t="s">
        <v>65</v>
      </c>
      <c r="U34" s="1361" t="e">
        <f t="shared" si="13"/>
        <v>#N/A</v>
      </c>
      <c r="V34" s="1360" t="s">
        <v>65</v>
      </c>
      <c r="W34" s="1361" t="e">
        <f t="shared" si="14"/>
        <v>#N/A</v>
      </c>
      <c r="X34" s="1362"/>
      <c r="Y34" s="3665"/>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63"/>
      <c r="Q35" s="2220" t="str">
        <f t="shared" si="11"/>
        <v>建筑结构</v>
      </c>
      <c r="R35" s="1352" t="s">
        <v>65</v>
      </c>
      <c r="S35" s="1353">
        <f t="shared" si="12"/>
        <v>100</v>
      </c>
      <c r="T35" s="1352" t="s">
        <v>65</v>
      </c>
      <c r="U35" s="1353">
        <f t="shared" si="13"/>
        <v>100</v>
      </c>
      <c r="V35" s="1352" t="s">
        <v>65</v>
      </c>
      <c r="W35" s="1353">
        <f t="shared" si="14"/>
        <v>100</v>
      </c>
      <c r="X35" s="2222"/>
      <c r="Y35" s="3665"/>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63"/>
      <c r="Q36" s="2220" t="str">
        <f t="shared" si="11"/>
        <v>公共部分装修</v>
      </c>
      <c r="R36" s="1352" t="s">
        <v>65</v>
      </c>
      <c r="S36" s="1353">
        <f t="shared" si="12"/>
        <v>100</v>
      </c>
      <c r="T36" s="1352" t="s">
        <v>65</v>
      </c>
      <c r="U36" s="1353">
        <f t="shared" si="13"/>
        <v>100</v>
      </c>
      <c r="V36" s="1352" t="s">
        <v>65</v>
      </c>
      <c r="W36" s="1353">
        <f t="shared" si="14"/>
        <v>100</v>
      </c>
      <c r="X36" s="2222"/>
      <c r="Y36" s="3665"/>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63"/>
      <c r="Q37" s="2220" t="str">
        <f t="shared" si="11"/>
        <v>成新度</v>
      </c>
      <c r="R37" s="1352" t="s">
        <v>65</v>
      </c>
      <c r="S37" s="1353" t="e">
        <f t="shared" si="12"/>
        <v>#N/A</v>
      </c>
      <c r="T37" s="1352" t="s">
        <v>65</v>
      </c>
      <c r="U37" s="1353" t="e">
        <f t="shared" si="13"/>
        <v>#N/A</v>
      </c>
      <c r="V37" s="1352" t="s">
        <v>65</v>
      </c>
      <c r="W37" s="1353" t="e">
        <f t="shared" si="14"/>
        <v>#N/A</v>
      </c>
      <c r="X37" s="2222"/>
      <c r="Y37" s="3665"/>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63"/>
      <c r="Q38" s="2213" t="str">
        <f t="shared" si="11"/>
        <v>写字楼等级</v>
      </c>
      <c r="R38" s="1342" t="s">
        <v>65</v>
      </c>
      <c r="S38" s="1343">
        <f t="shared" si="12"/>
        <v>100</v>
      </c>
      <c r="T38" s="1342" t="s">
        <v>65</v>
      </c>
      <c r="U38" s="1343">
        <f t="shared" si="13"/>
        <v>100</v>
      </c>
      <c r="V38" s="1342" t="s">
        <v>65</v>
      </c>
      <c r="W38" s="1343">
        <f t="shared" si="14"/>
        <v>100</v>
      </c>
      <c r="X38" s="287"/>
      <c r="Y38" s="3665"/>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63" t="s">
        <v>70</v>
      </c>
      <c r="Q39" s="2220" t="str">
        <f t="shared" si="11"/>
        <v>物业管理</v>
      </c>
      <c r="R39" s="1352" t="s">
        <v>65</v>
      </c>
      <c r="S39" s="1353">
        <f t="shared" si="12"/>
        <v>100</v>
      </c>
      <c r="T39" s="1352" t="s">
        <v>65</v>
      </c>
      <c r="U39" s="1353">
        <f t="shared" si="13"/>
        <v>100</v>
      </c>
      <c r="V39" s="1352" t="s">
        <v>65</v>
      </c>
      <c r="W39" s="1353">
        <f t="shared" si="14"/>
        <v>100</v>
      </c>
      <c r="X39" s="2222"/>
      <c r="Y39" s="3665" t="s">
        <v>70</v>
      </c>
      <c r="Z39" s="2221" t="str">
        <f t="shared" si="15"/>
        <v>物业管理</v>
      </c>
      <c r="AA39" s="1355">
        <f t="shared" si="3"/>
        <v>1</v>
      </c>
      <c r="AB39" s="1355">
        <f t="shared" si="4"/>
        <v>1</v>
      </c>
      <c r="AC39" s="2338">
        <f t="shared" si="5"/>
        <v>1</v>
      </c>
    </row>
    <row r="40" spans="1:29" ht="15">
      <c r="A40" s="161"/>
      <c r="B40" s="12" t="s">
        <v>2650</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63"/>
      <c r="Q40" s="2220" t="str">
        <f t="shared" si="11"/>
        <v>市政基础设施</v>
      </c>
      <c r="R40" s="1352" t="s">
        <v>65</v>
      </c>
      <c r="S40" s="1353">
        <f t="shared" si="12"/>
        <v>100</v>
      </c>
      <c r="T40" s="1352" t="s">
        <v>65</v>
      </c>
      <c r="U40" s="1353">
        <f t="shared" si="13"/>
        <v>100</v>
      </c>
      <c r="V40" s="1352" t="s">
        <v>65</v>
      </c>
      <c r="W40" s="1353">
        <f t="shared" si="14"/>
        <v>100</v>
      </c>
      <c r="X40" s="2222"/>
      <c r="Y40" s="3665"/>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63"/>
      <c r="Q41" s="2220" t="str">
        <f t="shared" si="11"/>
        <v>层高</v>
      </c>
      <c r="R41" s="1352" t="s">
        <v>65</v>
      </c>
      <c r="S41" s="1353">
        <f t="shared" si="12"/>
        <v>100</v>
      </c>
      <c r="T41" s="1352" t="s">
        <v>65</v>
      </c>
      <c r="U41" s="1353">
        <f t="shared" si="13"/>
        <v>100</v>
      </c>
      <c r="V41" s="1352" t="s">
        <v>65</v>
      </c>
      <c r="W41" s="1353">
        <f t="shared" si="14"/>
        <v>100</v>
      </c>
      <c r="X41" s="2222"/>
      <c r="Y41" s="3665"/>
      <c r="Z41" s="2221" t="str">
        <f t="shared" si="15"/>
        <v>层高</v>
      </c>
      <c r="AA41" s="1355">
        <f t="shared" si="3"/>
        <v>1</v>
      </c>
      <c r="AB41" s="1355">
        <f t="shared" si="4"/>
        <v>1</v>
      </c>
      <c r="AC41" s="2338">
        <f t="shared" si="5"/>
        <v>1</v>
      </c>
    </row>
    <row r="42" spans="1:29" s="1039" customFormat="1" ht="14.25">
      <c r="A42" s="1043"/>
      <c r="B42" s="191" t="s">
        <v>1089</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63"/>
      <c r="Q42" s="1359" t="str">
        <f t="shared" si="11"/>
        <v>单套建筑面积</v>
      </c>
      <c r="R42" s="1360" t="s">
        <v>65</v>
      </c>
      <c r="S42" s="1361">
        <f t="shared" si="12"/>
        <v>100</v>
      </c>
      <c r="T42" s="1360" t="s">
        <v>65</v>
      </c>
      <c r="U42" s="1361">
        <f t="shared" si="13"/>
        <v>100</v>
      </c>
      <c r="V42" s="1360" t="s">
        <v>65</v>
      </c>
      <c r="W42" s="1361">
        <f t="shared" si="14"/>
        <v>100</v>
      </c>
      <c r="X42" s="1362"/>
      <c r="Y42" s="3665"/>
      <c r="Z42" s="1363" t="str">
        <f t="shared" si="15"/>
        <v>单套建筑面积</v>
      </c>
      <c r="AA42" s="1355">
        <f t="shared" si="3"/>
        <v>1</v>
      </c>
      <c r="AB42" s="1355">
        <f t="shared" si="4"/>
        <v>1</v>
      </c>
      <c r="AC42" s="2338">
        <f t="shared" si="5"/>
        <v>1</v>
      </c>
    </row>
    <row r="43" spans="1:29" ht="15">
      <c r="A43" s="161"/>
      <c r="B43" s="12" t="s">
        <v>1090</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63"/>
      <c r="Q43" s="2220" t="str">
        <f t="shared" si="11"/>
        <v>内部装修</v>
      </c>
      <c r="R43" s="1352" t="s">
        <v>65</v>
      </c>
      <c r="S43" s="1353">
        <f t="shared" si="12"/>
        <v>100</v>
      </c>
      <c r="T43" s="1352" t="s">
        <v>65</v>
      </c>
      <c r="U43" s="1353">
        <f t="shared" si="13"/>
        <v>100</v>
      </c>
      <c r="V43" s="1352" t="s">
        <v>65</v>
      </c>
      <c r="W43" s="1353">
        <f t="shared" si="14"/>
        <v>100</v>
      </c>
      <c r="X43" s="2222"/>
      <c r="Y43" s="3665"/>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63"/>
      <c r="Q44" s="2220" t="str">
        <f t="shared" si="11"/>
        <v>内部装修维护情况</v>
      </c>
      <c r="R44" s="1352" t="s">
        <v>65</v>
      </c>
      <c r="S44" s="1353">
        <f t="shared" si="12"/>
        <v>100</v>
      </c>
      <c r="T44" s="1352" t="s">
        <v>65</v>
      </c>
      <c r="U44" s="1353">
        <f t="shared" si="13"/>
        <v>100</v>
      </c>
      <c r="V44" s="1352" t="s">
        <v>65</v>
      </c>
      <c r="W44" s="1353">
        <f t="shared" si="14"/>
        <v>100</v>
      </c>
      <c r="X44" s="2222"/>
      <c r="Y44" s="3665"/>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63"/>
      <c r="Q45" s="2213">
        <f t="shared" si="11"/>
        <v>111</v>
      </c>
      <c r="R45" s="1342" t="s">
        <v>65</v>
      </c>
      <c r="S45" s="1343">
        <f t="shared" si="12"/>
        <v>100</v>
      </c>
      <c r="T45" s="1342" t="s">
        <v>65</v>
      </c>
      <c r="U45" s="1343">
        <f t="shared" si="13"/>
        <v>100</v>
      </c>
      <c r="V45" s="1342" t="s">
        <v>65</v>
      </c>
      <c r="W45" s="1343">
        <f t="shared" si="14"/>
        <v>100</v>
      </c>
      <c r="X45" s="287"/>
      <c r="Y45" s="3665"/>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63"/>
      <c r="Q46" s="2220">
        <f t="shared" si="11"/>
        <v>111</v>
      </c>
      <c r="R46" s="1352" t="s">
        <v>65</v>
      </c>
      <c r="S46" s="1353">
        <f t="shared" si="12"/>
        <v>100</v>
      </c>
      <c r="T46" s="1352" t="s">
        <v>65</v>
      </c>
      <c r="U46" s="1353">
        <f t="shared" si="13"/>
        <v>100</v>
      </c>
      <c r="V46" s="1352" t="s">
        <v>65</v>
      </c>
      <c r="W46" s="1353">
        <f t="shared" si="14"/>
        <v>100</v>
      </c>
      <c r="X46" s="2222"/>
      <c r="Y46" s="3665"/>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64"/>
      <c r="Q47" s="2220">
        <f t="shared" si="11"/>
        <v>111</v>
      </c>
      <c r="R47" s="1352" t="s">
        <v>65</v>
      </c>
      <c r="S47" s="1353">
        <f t="shared" si="12"/>
        <v>100</v>
      </c>
      <c r="T47" s="1352" t="s">
        <v>65</v>
      </c>
      <c r="U47" s="1353">
        <f t="shared" si="13"/>
        <v>100</v>
      </c>
      <c r="V47" s="1352" t="s">
        <v>65</v>
      </c>
      <c r="W47" s="1353">
        <f t="shared" si="14"/>
        <v>100</v>
      </c>
      <c r="X47" s="2222"/>
      <c r="Y47" s="3666"/>
      <c r="Z47" s="2221">
        <f t="shared" si="15"/>
        <v>111</v>
      </c>
      <c r="AA47" s="1355">
        <f t="shared" si="3"/>
        <v>1</v>
      </c>
      <c r="AB47" s="1355">
        <f t="shared" si="4"/>
        <v>1</v>
      </c>
      <c r="AC47" s="2338">
        <f t="shared" si="5"/>
        <v>1</v>
      </c>
    </row>
    <row r="48" spans="1:29" ht="15">
      <c r="A48" s="163" t="s">
        <v>1031</v>
      </c>
      <c r="B48" s="164"/>
      <c r="C48" s="2834" t="s">
        <v>23</v>
      </c>
      <c r="D48" s="2835"/>
      <c r="E48" s="2836"/>
      <c r="F48" s="2837"/>
      <c r="G48" s="2838"/>
      <c r="H48" s="2839"/>
      <c r="I48" s="2836"/>
      <c r="J48" s="828"/>
      <c r="K48" s="1393"/>
      <c r="L48" s="2304"/>
      <c r="M48" s="2297"/>
      <c r="N48" s="2297"/>
      <c r="O48" s="2297"/>
      <c r="P48" s="3640" t="str">
        <f>A48</f>
        <v>成交单价（元/平方米）</v>
      </c>
      <c r="Q48" s="3658"/>
      <c r="R48" s="3659">
        <f>E48</f>
        <v>0</v>
      </c>
      <c r="S48" s="3659"/>
      <c r="T48" s="3659">
        <f>G48</f>
        <v>0</v>
      </c>
      <c r="U48" s="3659"/>
      <c r="V48" s="3659">
        <f>I48</f>
        <v>0</v>
      </c>
      <c r="W48" s="3659"/>
      <c r="X48" s="156"/>
      <c r="Y48" s="1366"/>
      <c r="Z48" s="156"/>
      <c r="AA48" s="156"/>
      <c r="AB48" s="156"/>
      <c r="AC48" s="209"/>
    </row>
    <row r="49" spans="1:29" ht="15.75" thickBot="1">
      <c r="A49" s="165" t="s">
        <v>1032</v>
      </c>
      <c r="B49" s="166"/>
      <c r="C49" s="2840" t="e">
        <f>R50</f>
        <v>#DIV/0!</v>
      </c>
      <c r="D49" s="2841"/>
      <c r="E49" s="2842" t="e">
        <f>R49</f>
        <v>#DIV/0!</v>
      </c>
      <c r="F49" s="2842"/>
      <c r="G49" s="2840" t="e">
        <f>T49</f>
        <v>#DIV/0!</v>
      </c>
      <c r="H49" s="2841"/>
      <c r="I49" s="2842" t="e">
        <f>V49</f>
        <v>#DIV/0!</v>
      </c>
      <c r="J49" s="832"/>
      <c r="K49" s="1394"/>
      <c r="L49" s="2304"/>
      <c r="M49" s="2297"/>
      <c r="N49" s="2297"/>
      <c r="O49" s="2297"/>
      <c r="P49" s="3640" t="str">
        <f>A49</f>
        <v>比较价值（元/平方米）</v>
      </c>
      <c r="Q49" s="3658"/>
      <c r="R49" s="3659" t="e">
        <f>IF(F1="售价",ROUND(PRODUCT(R48,AA7:AA47),0),ROUND(PRODUCT(R48,AA7:AA47),1))</f>
        <v>#DIV/0!</v>
      </c>
      <c r="S49" s="3659"/>
      <c r="T49" s="3659" t="e">
        <f>IF(F1="售价",ROUND(PRODUCT(T48,AB7:AB47),0),ROUND(PRODUCT(T48,AB7:AB47),1))</f>
        <v>#DIV/0!</v>
      </c>
      <c r="U49" s="3659"/>
      <c r="V49" s="3659" t="e">
        <f>IF(F1="售价",ROUND(PRODUCT(V48,AC7:AC47),0),ROUND(PRODUCT(V48,AC7:AC47),1))</f>
        <v>#DIV/0!</v>
      </c>
      <c r="W49" s="3659"/>
      <c r="X49" s="156"/>
      <c r="Y49" s="156"/>
      <c r="Z49" s="156"/>
      <c r="AA49" s="156"/>
      <c r="AB49" s="156"/>
      <c r="AC49" s="209"/>
    </row>
    <row r="50" spans="1:29" ht="15.75" thickBot="1">
      <c r="A50" s="115" t="s">
        <v>3011</v>
      </c>
      <c r="B50" s="116"/>
      <c r="C50" s="2844" t="e">
        <f>R50</f>
        <v>#DIV/0!</v>
      </c>
      <c r="D50" s="2844"/>
      <c r="E50" s="2844"/>
      <c r="F50" s="2844"/>
      <c r="G50" s="2844"/>
      <c r="H50" s="2844"/>
      <c r="I50" s="2844"/>
      <c r="J50" s="837"/>
      <c r="K50" s="1395"/>
      <c r="L50" s="2304"/>
      <c r="M50" s="2297"/>
      <c r="N50" s="2297"/>
      <c r="O50" s="2297"/>
      <c r="P50" s="3681" t="str">
        <f>A50</f>
        <v>估价对象XX用房的比较价值（楼面单价，元/平方米）</v>
      </c>
      <c r="Q50" s="3682"/>
      <c r="R50" s="3683" t="e">
        <f>IF(F1="售价",ROUND(AVERAGE(R49:V49),0),ROUND(AVERAGE(R49:V49),1))</f>
        <v>#DIV/0!</v>
      </c>
      <c r="S50" s="3683"/>
      <c r="T50" s="3683"/>
      <c r="U50" s="3683"/>
      <c r="V50" s="3683"/>
      <c r="W50" s="3683"/>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1001</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1002</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1003</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1033</v>
      </c>
      <c r="B58" s="1365"/>
      <c r="C58" s="1373"/>
      <c r="D58" s="1373"/>
      <c r="E58" s="1373"/>
      <c r="F58" s="1374"/>
      <c r="G58" s="1374"/>
      <c r="H58" s="1373"/>
      <c r="I58" s="1373"/>
      <c r="J58" s="1373"/>
      <c r="K58" s="1375"/>
      <c r="L58" s="2312"/>
      <c r="M58" s="2313"/>
      <c r="N58" s="2313"/>
      <c r="O58" s="2313"/>
      <c r="P58" s="2327"/>
      <c r="Q58" s="121"/>
    </row>
    <row r="59" spans="1:29" s="851" customFormat="1" ht="15">
      <c r="A59" s="848" t="s">
        <v>2788</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1034</v>
      </c>
      <c r="B61" s="1048"/>
      <c r="C61" s="860"/>
      <c r="D61" s="861"/>
      <c r="E61" s="861"/>
      <c r="F61" s="861"/>
      <c r="G61" s="861"/>
      <c r="H61" s="861"/>
      <c r="I61" s="861"/>
      <c r="J61" s="861"/>
      <c r="K61" s="861"/>
      <c r="L61" s="861"/>
      <c r="M61" s="862"/>
      <c r="N61" s="861"/>
      <c r="O61" s="862"/>
      <c r="P61" s="2328"/>
      <c r="Q61" s="121"/>
    </row>
    <row r="62" spans="1:29" s="40" customFormat="1">
      <c r="A62" s="1049" t="s">
        <v>1035</v>
      </c>
      <c r="B62" s="1046"/>
      <c r="C62" s="1050" t="s">
        <v>1036</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1037</v>
      </c>
      <c r="B64" s="286" t="s">
        <v>1038</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1039</v>
      </c>
      <c r="C66" s="882" t="s">
        <v>1004</v>
      </c>
      <c r="D66" s="882" t="s">
        <v>1005</v>
      </c>
      <c r="E66" s="882" t="s">
        <v>1006</v>
      </c>
      <c r="F66" s="882" t="s">
        <v>1007</v>
      </c>
      <c r="G66" s="882" t="s">
        <v>1008</v>
      </c>
      <c r="H66" s="882" t="s">
        <v>1009</v>
      </c>
      <c r="I66" s="882" t="s">
        <v>1010</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1040</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1041</v>
      </c>
      <c r="B77" s="286" t="s">
        <v>1091</v>
      </c>
      <c r="C77" s="916" t="s">
        <v>1011</v>
      </c>
      <c r="D77" s="916" t="s">
        <v>1012</v>
      </c>
      <c r="E77" s="916" t="s">
        <v>1013</v>
      </c>
      <c r="F77" s="916" t="s">
        <v>1014</v>
      </c>
      <c r="G77" s="916" t="s">
        <v>1015</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1048</v>
      </c>
      <c r="C79" s="921" t="s">
        <v>1011</v>
      </c>
      <c r="D79" s="921" t="s">
        <v>1012</v>
      </c>
      <c r="E79" s="921" t="s">
        <v>1013</v>
      </c>
      <c r="F79" s="921" t="s">
        <v>1100</v>
      </c>
      <c r="G79" s="921" t="s">
        <v>1015</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1011</v>
      </c>
      <c r="D81" s="921" t="s">
        <v>1012</v>
      </c>
      <c r="E81" s="921" t="s">
        <v>1013</v>
      </c>
      <c r="F81" s="921" t="s">
        <v>1014</v>
      </c>
      <c r="G81" s="921" t="s">
        <v>1015</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2659</v>
      </c>
      <c r="C83" s="213" t="s">
        <v>2652</v>
      </c>
      <c r="D83" s="213" t="s">
        <v>2653</v>
      </c>
      <c r="E83" s="213" t="s">
        <v>2654</v>
      </c>
      <c r="F83" s="213" t="s">
        <v>2655</v>
      </c>
      <c r="G83" s="213" t="s">
        <v>2656</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1092</v>
      </c>
      <c r="C85" s="921" t="s">
        <v>1011</v>
      </c>
      <c r="D85" s="921" t="s">
        <v>1012</v>
      </c>
      <c r="E85" s="921" t="s">
        <v>1013</v>
      </c>
      <c r="F85" s="921" t="s">
        <v>1014</v>
      </c>
      <c r="G85" s="921" t="s">
        <v>1015</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1093</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1051</v>
      </c>
      <c r="B101" s="286" t="s">
        <v>1094</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1053</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1054</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1055</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1056</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1095</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1096</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2634</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1058</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1059</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1061</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1062</v>
      </c>
      <c r="C125" s="921" t="s">
        <v>1011</v>
      </c>
      <c r="D125" s="921" t="s">
        <v>1012</v>
      </c>
      <c r="E125" s="921" t="s">
        <v>1013</v>
      </c>
      <c r="F125" s="921" t="s">
        <v>1014</v>
      </c>
      <c r="G125" s="921" t="s">
        <v>1015</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1101</v>
      </c>
      <c r="B1" s="3119" t="s">
        <v>1102</v>
      </c>
      <c r="C1" s="3113" t="s">
        <v>1103</v>
      </c>
      <c r="D1" s="3104"/>
      <c r="E1" s="3109"/>
      <c r="F1" s="3106"/>
      <c r="G1" s="3108" t="s">
        <v>1104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1105</v>
      </c>
      <c r="B2" s="2845" t="e">
        <f ca="1">IF(C2="——",ROUND(C43*D3/10000,0),ROUND(C43*D3/10000,0)-D2)</f>
        <v>#DIV/0!</v>
      </c>
      <c r="C2" s="3098"/>
      <c r="D2" s="2343" t="e">
        <f ca="1">SUMIF(INDIRECT("'"&amp;F2&amp;"'"&amp;"!A:A"),"承租人权益价值",INDIRECT("'"&amp;F2&amp;"'"&amp;"!c:c"))</f>
        <v>#REF!</v>
      </c>
      <c r="E2" s="3099" t="s">
        <v>863</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1106</v>
      </c>
      <c r="B3" s="952" t="e">
        <f ca="1">IF(C2="——",C43,ROUND(B2*10000/D3,0))</f>
        <v>#DIV/0!</v>
      </c>
      <c r="C3" s="142" t="s">
        <v>1107</v>
      </c>
      <c r="D3" s="742">
        <f>IF(D1="",'数据-汇总表'!E3,SUMIF('数据-汇总表'!$C19:$C33,D1,'数据-汇总表'!$E19:$E33))</f>
        <v>92501.329999999987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1108</v>
      </c>
      <c r="B4" s="144"/>
      <c r="C4" s="3641" t="s">
        <v>1109</v>
      </c>
      <c r="D4" s="3642"/>
      <c r="E4" s="3643" t="s">
        <v>1110</v>
      </c>
      <c r="F4" s="3644"/>
      <c r="G4" s="3641" t="s">
        <v>1111</v>
      </c>
      <c r="H4" s="3642"/>
      <c r="I4" s="3641" t="s">
        <v>1112</v>
      </c>
      <c r="J4" s="3642"/>
      <c r="K4" s="187" t="s">
        <v>1113</v>
      </c>
      <c r="L4" s="2296"/>
      <c r="M4" s="2297"/>
      <c r="N4" s="2297"/>
      <c r="O4" s="2297"/>
      <c r="P4" s="3645" t="s">
        <v>1108</v>
      </c>
      <c r="Q4" s="3646"/>
      <c r="R4" s="3628" t="s">
        <v>1110</v>
      </c>
      <c r="S4" s="3629"/>
      <c r="T4" s="3628" t="s">
        <v>1111</v>
      </c>
      <c r="U4" s="3629"/>
      <c r="V4" s="3653" t="s">
        <v>1112</v>
      </c>
      <c r="W4" s="3653"/>
      <c r="X4" s="1340"/>
      <c r="Y4" s="3628" t="s">
        <v>1108</v>
      </c>
      <c r="Z4" s="3629"/>
      <c r="AA4" s="3623" t="s">
        <v>1110</v>
      </c>
      <c r="AB4" s="3624" t="s">
        <v>1111</v>
      </c>
      <c r="AC4" s="3623" t="s">
        <v>1112</v>
      </c>
    </row>
    <row r="5" spans="1:29">
      <c r="A5" s="146"/>
      <c r="B5" s="147"/>
      <c r="C5" s="3634" t="s">
        <v>1114</v>
      </c>
      <c r="D5" s="3635"/>
      <c r="E5" s="3632" t="s">
        <v>1115</v>
      </c>
      <c r="F5" s="3633"/>
      <c r="G5" s="3634" t="s">
        <v>1116</v>
      </c>
      <c r="H5" s="3635"/>
      <c r="I5" s="3634" t="s">
        <v>1117</v>
      </c>
      <c r="J5" s="3635"/>
      <c r="K5" s="187"/>
      <c r="L5" s="2296"/>
      <c r="M5" s="2297"/>
      <c r="N5" s="2297"/>
      <c r="O5" s="2297"/>
      <c r="P5" s="3647"/>
      <c r="Q5" s="3648"/>
      <c r="R5" s="3630"/>
      <c r="S5" s="3631"/>
      <c r="T5" s="3630"/>
      <c r="U5" s="3631"/>
      <c r="V5" s="3653"/>
      <c r="W5" s="3653"/>
      <c r="X5" s="1340"/>
      <c r="Y5" s="3630"/>
      <c r="Z5" s="3631"/>
      <c r="AA5" s="3624"/>
      <c r="AB5" s="3624"/>
      <c r="AC5" s="3624"/>
    </row>
    <row r="6" spans="1:29" ht="14.25" thickBot="1">
      <c r="A6" s="148"/>
      <c r="B6" s="149"/>
      <c r="C6" s="3636" t="s">
        <v>1118</v>
      </c>
      <c r="D6" s="3637"/>
      <c r="E6" s="3638" t="s">
        <v>1118</v>
      </c>
      <c r="F6" s="3639"/>
      <c r="G6" s="3636" t="s">
        <v>1118</v>
      </c>
      <c r="H6" s="3637"/>
      <c r="I6" s="3636" t="s">
        <v>1118</v>
      </c>
      <c r="J6" s="3637"/>
      <c r="K6" s="187" t="s">
        <v>1119</v>
      </c>
      <c r="L6" s="2296"/>
      <c r="M6" s="2297"/>
      <c r="N6" s="2297"/>
      <c r="O6" s="2297"/>
      <c r="P6" s="3649"/>
      <c r="Q6" s="3650"/>
      <c r="R6" s="3630"/>
      <c r="S6" s="3631"/>
      <c r="T6" s="3651"/>
      <c r="U6" s="3652"/>
      <c r="V6" s="3653"/>
      <c r="W6" s="3653"/>
      <c r="X6" s="1340"/>
      <c r="Y6" s="3651"/>
      <c r="Z6" s="3652"/>
      <c r="AA6" s="3625"/>
      <c r="AB6" s="3625"/>
      <c r="AC6" s="3625"/>
    </row>
    <row r="7" spans="1:29" s="40" customFormat="1" ht="15" thickBot="1">
      <c r="A7" s="1014" t="s">
        <v>1120</v>
      </c>
      <c r="B7" s="1015"/>
      <c r="C7" s="753">
        <f>'数据-取费表'!B2</f>
        <v>42964</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26" t="s">
        <v>1120</v>
      </c>
      <c r="Q7" s="3654"/>
      <c r="R7" s="1342" t="s">
        <v>65</v>
      </c>
      <c r="S7" s="1343">
        <f t="shared" ref="S7:S15" si="0">F7</f>
        <v>0</v>
      </c>
      <c r="T7" s="1342" t="s">
        <v>65</v>
      </c>
      <c r="U7" s="1343">
        <f t="shared" ref="U7:U15" si="1">H7</f>
        <v>0</v>
      </c>
      <c r="V7" s="1342" t="s">
        <v>65</v>
      </c>
      <c r="W7" s="1343">
        <f t="shared" ref="W7:W15" si="2">J7</f>
        <v>0</v>
      </c>
      <c r="X7" s="287"/>
      <c r="Y7" s="3626" t="s">
        <v>1120</v>
      </c>
      <c r="Z7" s="3627"/>
      <c r="AA7" s="1344" t="e">
        <f>D7/F7</f>
        <v>#DIV/0!</v>
      </c>
      <c r="AB7" s="1344" t="e">
        <f>D7/H7</f>
        <v>#DIV/0!</v>
      </c>
      <c r="AC7" s="1344" t="e">
        <f>D7/J7</f>
        <v>#DIV/0!</v>
      </c>
    </row>
    <row r="8" spans="1:29" s="40" customFormat="1" ht="15" thickBot="1">
      <c r="A8" s="1014" t="s">
        <v>1121</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26" t="s">
        <v>1016</v>
      </c>
      <c r="Q8" s="3627"/>
      <c r="R8" s="1342" t="s">
        <v>65</v>
      </c>
      <c r="S8" s="1343">
        <f t="shared" si="0"/>
        <v>0</v>
      </c>
      <c r="T8" s="1342" t="s">
        <v>65</v>
      </c>
      <c r="U8" s="1343">
        <f t="shared" si="1"/>
        <v>0</v>
      </c>
      <c r="V8" s="1342" t="s">
        <v>65</v>
      </c>
      <c r="W8" s="1343">
        <f t="shared" si="2"/>
        <v>0</v>
      </c>
      <c r="X8" s="287"/>
      <c r="Y8" s="3626" t="s">
        <v>1016</v>
      </c>
      <c r="Z8" s="3627"/>
      <c r="AA8" s="1344" t="e">
        <f t="shared" ref="AA8:AA40" si="3">D8/F8</f>
        <v>#DIV/0!</v>
      </c>
      <c r="AB8" s="1344" t="e">
        <f t="shared" ref="AB8:AB40" si="4">D8/H8</f>
        <v>#DIV/0!</v>
      </c>
      <c r="AC8" s="1344" t="e">
        <f t="shared" ref="AC8:AC40" si="5">D8/J8</f>
        <v>#DIV/0!</v>
      </c>
    </row>
    <row r="9" spans="1:29" s="40" customFormat="1" ht="14.25">
      <c r="A9" s="1021" t="s">
        <v>1017</v>
      </c>
      <c r="B9" s="62" t="s">
        <v>1018</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58"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58"/>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58"/>
      <c r="Q11" s="7" t="str">
        <f t="shared" si="6"/>
        <v>容积率</v>
      </c>
      <c r="R11" s="1342" t="s">
        <v>65</v>
      </c>
      <c r="S11" s="1343" t="e">
        <f t="shared" si="0"/>
        <v>#N/A</v>
      </c>
      <c r="T11" s="1342" t="s">
        <v>65</v>
      </c>
      <c r="U11" s="1343" t="e">
        <f t="shared" si="1"/>
        <v>#N/A</v>
      </c>
      <c r="V11" s="1342" t="s">
        <v>65</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58"/>
      <c r="Q12" s="7">
        <f t="shared" si="6"/>
        <v>111</v>
      </c>
      <c r="R12" s="1342" t="s">
        <v>65</v>
      </c>
      <c r="S12" s="1343">
        <f t="shared" si="0"/>
        <v>100</v>
      </c>
      <c r="T12" s="1342" t="s">
        <v>65</v>
      </c>
      <c r="U12" s="1343">
        <f t="shared" si="1"/>
        <v>100</v>
      </c>
      <c r="V12" s="1342" t="s">
        <v>65</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58"/>
      <c r="Q13" s="7">
        <f t="shared" si="6"/>
        <v>111</v>
      </c>
      <c r="R13" s="1342" t="s">
        <v>65</v>
      </c>
      <c r="S13" s="1343">
        <f t="shared" si="0"/>
        <v>100</v>
      </c>
      <c r="T13" s="1342" t="s">
        <v>65</v>
      </c>
      <c r="U13" s="1343">
        <f t="shared" si="1"/>
        <v>100</v>
      </c>
      <c r="V13" s="1342" t="s">
        <v>65</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58"/>
      <c r="Q14" s="7">
        <f t="shared" si="6"/>
        <v>111</v>
      </c>
      <c r="R14" s="1342" t="s">
        <v>65</v>
      </c>
      <c r="S14" s="1343">
        <f t="shared" si="0"/>
        <v>100</v>
      </c>
      <c r="T14" s="1342" t="s">
        <v>65</v>
      </c>
      <c r="U14" s="1343">
        <f t="shared" si="1"/>
        <v>100</v>
      </c>
      <c r="V14" s="1342" t="s">
        <v>65</v>
      </c>
      <c r="W14" s="1343">
        <f t="shared" si="2"/>
        <v>100</v>
      </c>
      <c r="X14" s="287"/>
      <c r="Y14" s="3443"/>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60" t="s">
        <v>69</v>
      </c>
      <c r="Q15" s="1351" t="str">
        <f t="shared" si="6"/>
        <v>产业集聚程度</v>
      </c>
      <c r="R15" s="1352" t="s">
        <v>65</v>
      </c>
      <c r="S15" s="1353">
        <f t="shared" si="0"/>
        <v>100</v>
      </c>
      <c r="T15" s="1352" t="s">
        <v>65</v>
      </c>
      <c r="U15" s="1353">
        <f t="shared" si="1"/>
        <v>100</v>
      </c>
      <c r="V15" s="1352" t="s">
        <v>65</v>
      </c>
      <c r="W15" s="1353">
        <f t="shared" si="2"/>
        <v>100</v>
      </c>
      <c r="X15" s="1340"/>
      <c r="Y15" s="3660"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61"/>
      <c r="Q16" s="1351"/>
      <c r="R16" s="1352"/>
      <c r="S16" s="1353"/>
      <c r="T16" s="1352"/>
      <c r="U16" s="1353"/>
      <c r="V16" s="1352"/>
      <c r="W16" s="1353"/>
      <c r="X16" s="1340"/>
      <c r="Y16" s="3661"/>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61"/>
      <c r="Q17" s="1351" t="str">
        <f>B17</f>
        <v>交通便捷度</v>
      </c>
      <c r="R17" s="1352" t="s">
        <v>65</v>
      </c>
      <c r="S17" s="1353">
        <f>F17</f>
        <v>100</v>
      </c>
      <c r="T17" s="1352" t="s">
        <v>65</v>
      </c>
      <c r="U17" s="1353">
        <f>H17</f>
        <v>100</v>
      </c>
      <c r="V17" s="1352" t="s">
        <v>65</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61"/>
      <c r="Q18" s="1351"/>
      <c r="R18" s="1352"/>
      <c r="S18" s="1353"/>
      <c r="T18" s="1352"/>
      <c r="U18" s="1353"/>
      <c r="V18" s="1352"/>
      <c r="W18" s="1353"/>
      <c r="X18" s="1340"/>
      <c r="Y18" s="3661"/>
      <c r="Z18" s="1354"/>
      <c r="AA18" s="1355">
        <v>1</v>
      </c>
      <c r="AB18" s="1355">
        <v>1</v>
      </c>
      <c r="AC18" s="1355">
        <v>1</v>
      </c>
    </row>
    <row r="19" spans="1:29" ht="40.5">
      <c r="A19" s="151"/>
      <c r="B19" s="1356" t="s">
        <v>2657</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61"/>
      <c r="Q19" s="1351" t="str">
        <f>B19</f>
        <v>公共配套设施</v>
      </c>
      <c r="R19" s="1352" t="s">
        <v>65</v>
      </c>
      <c r="S19" s="1353">
        <f>F19</f>
        <v>100</v>
      </c>
      <c r="T19" s="1352" t="s">
        <v>65</v>
      </c>
      <c r="U19" s="1353">
        <f>H19</f>
        <v>100</v>
      </c>
      <c r="V19" s="1352" t="s">
        <v>65</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61"/>
      <c r="Q20" s="1351"/>
      <c r="R20" s="1352"/>
      <c r="S20" s="1353"/>
      <c r="T20" s="1352"/>
      <c r="U20" s="1353"/>
      <c r="V20" s="1352"/>
      <c r="W20" s="1353"/>
      <c r="X20" s="1340"/>
      <c r="Y20" s="3661"/>
      <c r="Z20" s="1354"/>
      <c r="AA20" s="1355">
        <v>1</v>
      </c>
      <c r="AB20" s="1355">
        <v>1</v>
      </c>
      <c r="AC20" s="1355">
        <v>1</v>
      </c>
    </row>
    <row r="21" spans="1:29" ht="40.5">
      <c r="A21" s="151"/>
      <c r="B21" s="1412" t="s">
        <v>2660</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61"/>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61"/>
      <c r="Q22" s="2747"/>
      <c r="R22" s="1352"/>
      <c r="S22" s="1353"/>
      <c r="T22" s="1352"/>
      <c r="U22" s="1353"/>
      <c r="V22" s="1352"/>
      <c r="W22" s="1353"/>
      <c r="X22" s="2749"/>
      <c r="Y22" s="3661"/>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61"/>
      <c r="Q23" s="1351" t="str">
        <f>B23</f>
        <v>环境质量</v>
      </c>
      <c r="R23" s="1352" t="s">
        <v>65</v>
      </c>
      <c r="S23" s="1353">
        <f>F23</f>
        <v>100</v>
      </c>
      <c r="T23" s="1352" t="s">
        <v>65</v>
      </c>
      <c r="U23" s="1353">
        <f>H23</f>
        <v>100</v>
      </c>
      <c r="V23" s="1352" t="s">
        <v>65</v>
      </c>
      <c r="W23" s="1353">
        <f>J23</f>
        <v>100</v>
      </c>
      <c r="X23" s="1340"/>
      <c r="Y23" s="3661"/>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61"/>
      <c r="Q24" s="1351"/>
      <c r="R24" s="1352"/>
      <c r="S24" s="1353"/>
      <c r="T24" s="1352"/>
      <c r="U24" s="1353"/>
      <c r="V24" s="1352"/>
      <c r="W24" s="1353"/>
      <c r="X24" s="1340"/>
      <c r="Y24" s="3661"/>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61"/>
      <c r="Q25" s="1351">
        <f>B25</f>
        <v>111</v>
      </c>
      <c r="R25" s="1352" t="s">
        <v>65</v>
      </c>
      <c r="S25" s="1353">
        <f>F25</f>
        <v>100</v>
      </c>
      <c r="T25" s="1352" t="s">
        <v>65</v>
      </c>
      <c r="U25" s="1353">
        <f>H25</f>
        <v>100</v>
      </c>
      <c r="V25" s="1352" t="s">
        <v>65</v>
      </c>
      <c r="W25" s="1353">
        <f>J25</f>
        <v>100</v>
      </c>
      <c r="X25" s="1340"/>
      <c r="Y25" s="3661"/>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61"/>
      <c r="Q26" s="1351">
        <f t="shared" ref="Q26:Q40" si="11">B26</f>
        <v>111</v>
      </c>
      <c r="R26" s="1352" t="s">
        <v>65</v>
      </c>
      <c r="S26" s="1353">
        <f>F26</f>
        <v>100</v>
      </c>
      <c r="T26" s="1352" t="s">
        <v>65</v>
      </c>
      <c r="U26" s="1353">
        <f>H26</f>
        <v>100</v>
      </c>
      <c r="V26" s="1352" t="s">
        <v>65</v>
      </c>
      <c r="W26" s="1353">
        <f>J26</f>
        <v>100</v>
      </c>
      <c r="X26" s="1340"/>
      <c r="Y26" s="3661"/>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61"/>
      <c r="Q27" s="7">
        <f t="shared" si="11"/>
        <v>111</v>
      </c>
      <c r="R27" s="1342" t="s">
        <v>65</v>
      </c>
      <c r="S27" s="1343">
        <f>F27</f>
        <v>100</v>
      </c>
      <c r="T27" s="1342" t="s">
        <v>65</v>
      </c>
      <c r="U27" s="1343">
        <f>H27</f>
        <v>100</v>
      </c>
      <c r="V27" s="1342" t="s">
        <v>65</v>
      </c>
      <c r="W27" s="1343">
        <f>J27</f>
        <v>100</v>
      </c>
      <c r="X27" s="287"/>
      <c r="Y27" s="3661"/>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61"/>
      <c r="Q28" s="1351">
        <f t="shared" si="11"/>
        <v>111</v>
      </c>
      <c r="R28" s="1352" t="s">
        <v>65</v>
      </c>
      <c r="S28" s="1353">
        <f t="shared" ref="S28:S40" si="12">F28</f>
        <v>100</v>
      </c>
      <c r="T28" s="1352" t="s">
        <v>65</v>
      </c>
      <c r="U28" s="1353">
        <f t="shared" ref="U28:U40" si="13">H28</f>
        <v>100</v>
      </c>
      <c r="V28" s="1352" t="s">
        <v>65</v>
      </c>
      <c r="W28" s="1353">
        <f t="shared" ref="W28:W40" si="14">J28</f>
        <v>100</v>
      </c>
      <c r="X28" s="1340"/>
      <c r="Y28" s="3661"/>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84" t="s">
        <v>1122</v>
      </c>
      <c r="Q29" s="1351" t="str">
        <f t="shared" si="11"/>
        <v>建筑类型</v>
      </c>
      <c r="R29" s="1352" t="s">
        <v>65</v>
      </c>
      <c r="S29" s="1353">
        <f t="shared" si="12"/>
        <v>100</v>
      </c>
      <c r="T29" s="1352" t="s">
        <v>65</v>
      </c>
      <c r="U29" s="1353">
        <f t="shared" si="13"/>
        <v>100</v>
      </c>
      <c r="V29" s="1352" t="s">
        <v>65</v>
      </c>
      <c r="W29" s="1353">
        <f t="shared" si="14"/>
        <v>100</v>
      </c>
      <c r="X29" s="1340"/>
      <c r="Y29" s="3665" t="s">
        <v>1122</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65"/>
      <c r="Q30" s="1359" t="str">
        <f t="shared" si="11"/>
        <v>项目建筑规模</v>
      </c>
      <c r="R30" s="1360" t="s">
        <v>65</v>
      </c>
      <c r="S30" s="1361" t="e">
        <f t="shared" si="12"/>
        <v>#N/A</v>
      </c>
      <c r="T30" s="1360" t="s">
        <v>65</v>
      </c>
      <c r="U30" s="1361" t="e">
        <f t="shared" si="13"/>
        <v>#N/A</v>
      </c>
      <c r="V30" s="1360" t="s">
        <v>65</v>
      </c>
      <c r="W30" s="1361" t="e">
        <f t="shared" si="14"/>
        <v>#N/A</v>
      </c>
      <c r="X30" s="1362"/>
      <c r="Y30" s="3665"/>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65"/>
      <c r="Q31" s="1351" t="str">
        <f t="shared" si="11"/>
        <v>建筑结构</v>
      </c>
      <c r="R31" s="1352" t="s">
        <v>65</v>
      </c>
      <c r="S31" s="1353">
        <f t="shared" si="12"/>
        <v>100</v>
      </c>
      <c r="T31" s="1352" t="s">
        <v>65</v>
      </c>
      <c r="U31" s="1353">
        <f t="shared" si="13"/>
        <v>100</v>
      </c>
      <c r="V31" s="1352" t="s">
        <v>65</v>
      </c>
      <c r="W31" s="1353">
        <f t="shared" si="14"/>
        <v>100</v>
      </c>
      <c r="X31" s="1340"/>
      <c r="Y31" s="3665"/>
      <c r="Z31" s="1354" t="str">
        <f t="shared" si="15"/>
        <v>建筑结构</v>
      </c>
      <c r="AA31" s="1355">
        <f t="shared" si="3"/>
        <v>1</v>
      </c>
      <c r="AB31" s="1355">
        <f t="shared" si="4"/>
        <v>1</v>
      </c>
      <c r="AC31" s="1355">
        <f t="shared" si="5"/>
        <v>1</v>
      </c>
    </row>
    <row r="32" spans="1:29" ht="15">
      <c r="A32" s="161"/>
      <c r="B32" s="12" t="s">
        <v>1024</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65"/>
      <c r="Q32" s="1351" t="str">
        <f t="shared" si="11"/>
        <v>公共部分装修</v>
      </c>
      <c r="R32" s="1352" t="s">
        <v>65</v>
      </c>
      <c r="S32" s="1353">
        <f t="shared" si="12"/>
        <v>100</v>
      </c>
      <c r="T32" s="1352" t="s">
        <v>65</v>
      </c>
      <c r="U32" s="1353">
        <f t="shared" si="13"/>
        <v>100</v>
      </c>
      <c r="V32" s="1352" t="s">
        <v>65</v>
      </c>
      <c r="W32" s="1353">
        <f t="shared" si="14"/>
        <v>100</v>
      </c>
      <c r="X32" s="1340"/>
      <c r="Y32" s="3665"/>
      <c r="Z32" s="1354" t="str">
        <f t="shared" si="15"/>
        <v>公共部分装修</v>
      </c>
      <c r="AA32" s="1355">
        <f t="shared" si="3"/>
        <v>1</v>
      </c>
      <c r="AB32" s="1355">
        <f t="shared" si="4"/>
        <v>1</v>
      </c>
      <c r="AC32" s="1355">
        <f t="shared" si="5"/>
        <v>1</v>
      </c>
    </row>
    <row r="33" spans="1:29" ht="15">
      <c r="A33" s="161"/>
      <c r="B33" s="12" t="s">
        <v>1025</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65"/>
      <c r="Q33" s="1351" t="str">
        <f t="shared" si="11"/>
        <v>成新度</v>
      </c>
      <c r="R33" s="1352" t="s">
        <v>65</v>
      </c>
      <c r="S33" s="1353" t="e">
        <f t="shared" si="12"/>
        <v>#N/A</v>
      </c>
      <c r="T33" s="1352" t="s">
        <v>65</v>
      </c>
      <c r="U33" s="1353" t="e">
        <f t="shared" si="13"/>
        <v>#N/A</v>
      </c>
      <c r="V33" s="1352" t="s">
        <v>65</v>
      </c>
      <c r="W33" s="1353" t="e">
        <f t="shared" si="14"/>
        <v>#N/A</v>
      </c>
      <c r="X33" s="1340"/>
      <c r="Y33" s="3665"/>
      <c r="Z33" s="1354" t="str">
        <f t="shared" si="15"/>
        <v>成新度</v>
      </c>
      <c r="AA33" s="1355" t="e">
        <f t="shared" si="3"/>
        <v>#N/A</v>
      </c>
      <c r="AB33" s="1355" t="e">
        <f t="shared" si="4"/>
        <v>#N/A</v>
      </c>
      <c r="AC33" s="1355" t="e">
        <f t="shared" si="5"/>
        <v>#N/A</v>
      </c>
    </row>
    <row r="34" spans="1:29" s="40" customFormat="1" ht="15">
      <c r="A34" s="1041"/>
      <c r="B34" s="12" t="s">
        <v>1123</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65"/>
      <c r="Q34" s="7" t="str">
        <f t="shared" si="11"/>
        <v>物业管理</v>
      </c>
      <c r="R34" s="1342" t="s">
        <v>65</v>
      </c>
      <c r="S34" s="1343">
        <f t="shared" si="12"/>
        <v>100</v>
      </c>
      <c r="T34" s="1342" t="s">
        <v>65</v>
      </c>
      <c r="U34" s="1343">
        <f t="shared" si="13"/>
        <v>100</v>
      </c>
      <c r="V34" s="1342" t="s">
        <v>65</v>
      </c>
      <c r="W34" s="1343">
        <f t="shared" si="14"/>
        <v>100</v>
      </c>
      <c r="X34" s="287"/>
      <c r="Y34" s="3665"/>
      <c r="Z34" s="288" t="str">
        <f t="shared" si="15"/>
        <v>物业管理</v>
      </c>
      <c r="AA34" s="1344">
        <f t="shared" si="3"/>
        <v>1</v>
      </c>
      <c r="AB34" s="1344">
        <f t="shared" si="4"/>
        <v>1</v>
      </c>
      <c r="AC34" s="1344">
        <f t="shared" si="5"/>
        <v>1</v>
      </c>
    </row>
    <row r="35" spans="1:29" ht="15">
      <c r="A35" s="161"/>
      <c r="B35" s="12" t="s">
        <v>2650</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65" t="s">
        <v>70</v>
      </c>
      <c r="Q35" s="1351" t="str">
        <f t="shared" si="11"/>
        <v>市政基础设施</v>
      </c>
      <c r="R35" s="1352" t="s">
        <v>65</v>
      </c>
      <c r="S35" s="1353">
        <f t="shared" si="12"/>
        <v>100</v>
      </c>
      <c r="T35" s="1352" t="s">
        <v>65</v>
      </c>
      <c r="U35" s="1353">
        <f t="shared" si="13"/>
        <v>100</v>
      </c>
      <c r="V35" s="1352" t="s">
        <v>65</v>
      </c>
      <c r="W35" s="1353">
        <f t="shared" si="14"/>
        <v>100</v>
      </c>
      <c r="X35" s="1340"/>
      <c r="Y35" s="3665"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65"/>
      <c r="Q36" s="1351" t="str">
        <f t="shared" si="11"/>
        <v>内部装修</v>
      </c>
      <c r="R36" s="1352" t="s">
        <v>65</v>
      </c>
      <c r="S36" s="1353">
        <f t="shared" si="12"/>
        <v>100</v>
      </c>
      <c r="T36" s="1352" t="s">
        <v>65</v>
      </c>
      <c r="U36" s="1353">
        <f t="shared" si="13"/>
        <v>100</v>
      </c>
      <c r="V36" s="1352" t="s">
        <v>65</v>
      </c>
      <c r="W36" s="1353">
        <f t="shared" si="14"/>
        <v>100</v>
      </c>
      <c r="X36" s="1340"/>
      <c r="Y36" s="3665"/>
      <c r="Z36" s="1354" t="str">
        <f t="shared" si="15"/>
        <v>内部装修</v>
      </c>
      <c r="AA36" s="1355">
        <f t="shared" si="3"/>
        <v>1</v>
      </c>
      <c r="AB36" s="1355">
        <f t="shared" si="4"/>
        <v>1</v>
      </c>
      <c r="AC36" s="1355">
        <f t="shared" si="5"/>
        <v>1</v>
      </c>
    </row>
    <row r="37" spans="1:29" ht="15">
      <c r="A37" s="161"/>
      <c r="B37" s="12" t="s">
        <v>1124</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65"/>
      <c r="Q37" s="1351" t="str">
        <f t="shared" si="11"/>
        <v>内部装修状况</v>
      </c>
      <c r="R37" s="1352" t="s">
        <v>65</v>
      </c>
      <c r="S37" s="1353">
        <f t="shared" si="12"/>
        <v>100</v>
      </c>
      <c r="T37" s="1352" t="s">
        <v>65</v>
      </c>
      <c r="U37" s="1353">
        <f t="shared" si="13"/>
        <v>100</v>
      </c>
      <c r="V37" s="1352" t="s">
        <v>65</v>
      </c>
      <c r="W37" s="1353">
        <f t="shared" si="14"/>
        <v>100</v>
      </c>
      <c r="X37" s="1340"/>
      <c r="Y37" s="3665"/>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65"/>
      <c r="Q38" s="1359">
        <f t="shared" si="11"/>
        <v>111</v>
      </c>
      <c r="R38" s="1360" t="s">
        <v>65</v>
      </c>
      <c r="S38" s="1361">
        <f t="shared" si="12"/>
        <v>100</v>
      </c>
      <c r="T38" s="1360" t="s">
        <v>65</v>
      </c>
      <c r="U38" s="1361">
        <f t="shared" si="13"/>
        <v>100</v>
      </c>
      <c r="V38" s="1360" t="s">
        <v>65</v>
      </c>
      <c r="W38" s="1361">
        <f t="shared" si="14"/>
        <v>100</v>
      </c>
      <c r="X38" s="1362"/>
      <c r="Y38" s="3665"/>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65"/>
      <c r="Q39" s="1351">
        <f t="shared" si="11"/>
        <v>111</v>
      </c>
      <c r="R39" s="1352" t="s">
        <v>65</v>
      </c>
      <c r="S39" s="1353">
        <f t="shared" si="12"/>
        <v>100</v>
      </c>
      <c r="T39" s="1352" t="s">
        <v>65</v>
      </c>
      <c r="U39" s="1353">
        <f t="shared" si="13"/>
        <v>100</v>
      </c>
      <c r="V39" s="1352" t="s">
        <v>65</v>
      </c>
      <c r="W39" s="1353">
        <f t="shared" si="14"/>
        <v>100</v>
      </c>
      <c r="X39" s="1340"/>
      <c r="Y39" s="3665"/>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66"/>
      <c r="Q40" s="1351">
        <f t="shared" si="11"/>
        <v>111</v>
      </c>
      <c r="R40" s="1352" t="s">
        <v>65</v>
      </c>
      <c r="S40" s="1353">
        <f t="shared" si="12"/>
        <v>100</v>
      </c>
      <c r="T40" s="1352" t="s">
        <v>65</v>
      </c>
      <c r="U40" s="1353">
        <f t="shared" si="13"/>
        <v>100</v>
      </c>
      <c r="V40" s="1352" t="s">
        <v>65</v>
      </c>
      <c r="W40" s="1353">
        <f t="shared" si="14"/>
        <v>100</v>
      </c>
      <c r="X40" s="1340"/>
      <c r="Y40" s="3666"/>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58" t="str">
        <f>A41</f>
        <v>成交单价（元/平方米）</v>
      </c>
      <c r="Q41" s="3658"/>
      <c r="R41" s="3659">
        <f>E41</f>
        <v>0</v>
      </c>
      <c r="S41" s="3659"/>
      <c r="T41" s="3659">
        <f>G41</f>
        <v>0</v>
      </c>
      <c r="U41" s="3659"/>
      <c r="V41" s="3659">
        <f>I41</f>
        <v>0</v>
      </c>
      <c r="W41" s="3659"/>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58" t="str">
        <f>A42</f>
        <v>比较价值（元/平方米）</v>
      </c>
      <c r="Q42" s="3658"/>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1365"/>
      <c r="Y42" s="1365"/>
      <c r="Z42" s="1365"/>
      <c r="AA42" s="1365"/>
      <c r="AB42" s="1365"/>
      <c r="AC42" s="1365"/>
    </row>
    <row r="43" spans="1:29" ht="15.75" thickBot="1">
      <c r="A43" s="115" t="s">
        <v>3011</v>
      </c>
      <c r="B43" s="116"/>
      <c r="C43" s="2844" t="e">
        <f>R43</f>
        <v>#DIV/0!</v>
      </c>
      <c r="D43" s="2844"/>
      <c r="E43" s="2844"/>
      <c r="F43" s="2844"/>
      <c r="G43" s="2844"/>
      <c r="H43" s="2844"/>
      <c r="I43" s="2844"/>
      <c r="J43" s="2844"/>
      <c r="K43" s="1395"/>
      <c r="L43" s="2304"/>
      <c r="M43" s="2305"/>
      <c r="N43" s="2305"/>
      <c r="O43" s="2305"/>
      <c r="P43" s="3655" t="str">
        <f>A43</f>
        <v>估价对象XX用房的比较价值（楼面单价，元/平方米）</v>
      </c>
      <c r="Q43" s="3656"/>
      <c r="R43" s="3657" t="e">
        <f>IF(F1="售价",ROUND(AVERAGE(R42:V42),0),ROUND(AVERAGE(R42:V42),1))</f>
        <v>#DIV/0!</v>
      </c>
      <c r="S43" s="3657"/>
      <c r="T43" s="3657"/>
      <c r="U43" s="3657"/>
      <c r="V43" s="3657"/>
      <c r="W43" s="3657"/>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998</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999</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1000</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2788</v>
      </c>
      <c r="B52" s="849"/>
      <c r="C52" s="3042" t="str">
        <f>YEAR(C7)&amp;"-"&amp;MONTH(C7)</f>
        <v>2017-8</v>
      </c>
      <c r="D52" s="3043">
        <f>EDATE(C52,-1)</f>
        <v>42917</v>
      </c>
      <c r="E52" s="3043">
        <f t="shared" ref="E52:O52" si="16">EDATE(D52,-1)</f>
        <v>42887</v>
      </c>
      <c r="F52" s="3043">
        <f t="shared" si="16"/>
        <v>42856</v>
      </c>
      <c r="G52" s="3043">
        <f t="shared" si="16"/>
        <v>42826</v>
      </c>
      <c r="H52" s="3043">
        <f t="shared" si="16"/>
        <v>42795</v>
      </c>
      <c r="I52" s="3043">
        <f t="shared" si="16"/>
        <v>42767</v>
      </c>
      <c r="J52" s="3043">
        <f t="shared" si="16"/>
        <v>42736</v>
      </c>
      <c r="K52" s="3043">
        <f t="shared" si="16"/>
        <v>42705</v>
      </c>
      <c r="L52" s="3043">
        <f t="shared" si="16"/>
        <v>42675</v>
      </c>
      <c r="M52" s="3043">
        <f t="shared" si="16"/>
        <v>42644</v>
      </c>
      <c r="N52" s="3043">
        <f t="shared" si="16"/>
        <v>42614</v>
      </c>
      <c r="O52" s="3043">
        <f t="shared" si="16"/>
        <v>42583</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1004</v>
      </c>
      <c r="D59" s="882" t="s">
        <v>1005</v>
      </c>
      <c r="E59" s="882" t="s">
        <v>1006</v>
      </c>
      <c r="F59" s="882" t="s">
        <v>1007</v>
      </c>
      <c r="G59" s="882" t="s">
        <v>1008</v>
      </c>
      <c r="H59" s="882" t="s">
        <v>1009</v>
      </c>
      <c r="I59" s="882" t="s">
        <v>1010</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1011</v>
      </c>
      <c r="D70" s="916" t="s">
        <v>1012</v>
      </c>
      <c r="E70" s="916" t="s">
        <v>1013</v>
      </c>
      <c r="F70" s="916" t="s">
        <v>1014</v>
      </c>
      <c r="G70" s="916" t="s">
        <v>1015</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1011</v>
      </c>
      <c r="D72" s="921" t="s">
        <v>1012</v>
      </c>
      <c r="E72" s="921" t="s">
        <v>1013</v>
      </c>
      <c r="F72" s="921" t="s">
        <v>1014</v>
      </c>
      <c r="G72" s="921" t="s">
        <v>1015</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2632</v>
      </c>
      <c r="C74" s="921" t="s">
        <v>1011</v>
      </c>
      <c r="D74" s="921" t="s">
        <v>1012</v>
      </c>
      <c r="E74" s="921" t="s">
        <v>1013</v>
      </c>
      <c r="F74" s="921" t="s">
        <v>1014</v>
      </c>
      <c r="G74" s="921" t="s">
        <v>1015</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2660</v>
      </c>
      <c r="C76" s="213" t="s">
        <v>2652</v>
      </c>
      <c r="D76" s="213" t="s">
        <v>2653</v>
      </c>
      <c r="E76" s="213" t="s">
        <v>2654</v>
      </c>
      <c r="F76" s="213" t="s">
        <v>2655</v>
      </c>
      <c r="G76" s="213" t="s">
        <v>2656</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1011</v>
      </c>
      <c r="D78" s="921" t="s">
        <v>1012</v>
      </c>
      <c r="E78" s="921" t="s">
        <v>1013</v>
      </c>
      <c r="F78" s="921" t="s">
        <v>1014</v>
      </c>
      <c r="G78" s="921" t="s">
        <v>1015</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2634</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1011</v>
      </c>
      <c r="D106" s="921" t="s">
        <v>1012</v>
      </c>
      <c r="E106" s="921" t="s">
        <v>1013</v>
      </c>
      <c r="F106" s="921" t="s">
        <v>1014</v>
      </c>
      <c r="G106" s="921" t="s">
        <v>1015</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22"/>
      <c r="C1" s="3123" t="s">
        <v>444</v>
      </c>
      <c r="D1" s="3124"/>
      <c r="E1" s="3125"/>
      <c r="F1" s="3106"/>
      <c r="G1" s="3126" t="s">
        <v>445</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446</v>
      </c>
      <c r="B2" s="2845" t="e">
        <f ca="1">IF(C2="——",IF(B37="元/平方米",ROUND(C39*D3/10000,0),ROUND(F3*C39/10000,0)),IF(B37="元/平方米",ROUND(C39*D3/10000,0),ROUND(F3*C39/10000,0))-D2)</f>
        <v>#DIV/0!</v>
      </c>
      <c r="C2" s="3098"/>
      <c r="D2" s="2343" t="e">
        <f ca="1">SUMIF(INDIRECT("'"&amp;F2&amp;"'"&amp;"!A:A"),"承租人权益价值",INDIRECT("'"&amp;F2&amp;"'"&amp;"!c:c"))</f>
        <v>#REF!</v>
      </c>
      <c r="E2" s="3099" t="s">
        <v>863</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2128</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449</v>
      </c>
      <c r="B4" s="745"/>
      <c r="C4" s="3703" t="s">
        <v>450</v>
      </c>
      <c r="D4" s="3704"/>
      <c r="E4" s="3705" t="s">
        <v>451</v>
      </c>
      <c r="F4" s="3706"/>
      <c r="G4" s="3703" t="s">
        <v>452</v>
      </c>
      <c r="H4" s="3704"/>
      <c r="I4" s="3703" t="s">
        <v>453</v>
      </c>
      <c r="J4" s="3704"/>
      <c r="K4" s="953" t="s">
        <v>454</v>
      </c>
      <c r="L4" s="2349"/>
      <c r="M4" s="2350"/>
      <c r="N4" s="2350"/>
      <c r="O4" s="2350"/>
      <c r="P4" s="3707" t="s">
        <v>455</v>
      </c>
      <c r="Q4" s="3708"/>
      <c r="R4" s="3690" t="s">
        <v>451</v>
      </c>
      <c r="S4" s="3691"/>
      <c r="T4" s="3690" t="s">
        <v>452</v>
      </c>
      <c r="U4" s="3691"/>
      <c r="V4" s="3715" t="s">
        <v>453</v>
      </c>
      <c r="W4" s="3715"/>
      <c r="X4" s="2831"/>
      <c r="Y4" s="3690" t="s">
        <v>455</v>
      </c>
      <c r="Z4" s="3691"/>
      <c r="AA4" s="3685" t="s">
        <v>451</v>
      </c>
      <c r="AB4" s="3686" t="s">
        <v>452</v>
      </c>
      <c r="AC4" s="3685" t="s">
        <v>453</v>
      </c>
    </row>
    <row r="5" spans="1:29" ht="15">
      <c r="A5" s="747"/>
      <c r="B5" s="748"/>
      <c r="C5" s="3696" t="s">
        <v>3012</v>
      </c>
      <c r="D5" s="3697"/>
      <c r="E5" s="3694" t="s">
        <v>3013</v>
      </c>
      <c r="F5" s="3695"/>
      <c r="G5" s="3696" t="s">
        <v>3014</v>
      </c>
      <c r="H5" s="3697"/>
      <c r="I5" s="3696" t="s">
        <v>3015</v>
      </c>
      <c r="J5" s="3697"/>
      <c r="K5" s="953"/>
      <c r="L5" s="2349"/>
      <c r="M5" s="2350"/>
      <c r="N5" s="2350"/>
      <c r="O5" s="2350"/>
      <c r="P5" s="3709"/>
      <c r="Q5" s="3710"/>
      <c r="R5" s="3692"/>
      <c r="S5" s="3693"/>
      <c r="T5" s="3692"/>
      <c r="U5" s="3693"/>
      <c r="V5" s="3715"/>
      <c r="W5" s="3715"/>
      <c r="X5" s="2831"/>
      <c r="Y5" s="3692"/>
      <c r="Z5" s="3693"/>
      <c r="AA5" s="3686"/>
      <c r="AB5" s="3686"/>
      <c r="AC5" s="3686"/>
    </row>
    <row r="6" spans="1:29" ht="15.75" thickBot="1">
      <c r="A6" s="749"/>
      <c r="B6" s="750"/>
      <c r="C6" s="3698" t="s">
        <v>3016</v>
      </c>
      <c r="D6" s="3699"/>
      <c r="E6" s="3700" t="s">
        <v>3016</v>
      </c>
      <c r="F6" s="3701"/>
      <c r="G6" s="3698" t="s">
        <v>3016</v>
      </c>
      <c r="H6" s="3699"/>
      <c r="I6" s="3698" t="s">
        <v>3016</v>
      </c>
      <c r="J6" s="3699"/>
      <c r="K6" s="953" t="s">
        <v>397</v>
      </c>
      <c r="L6" s="2349"/>
      <c r="M6" s="2350"/>
      <c r="N6" s="2350"/>
      <c r="O6" s="2350"/>
      <c r="P6" s="3711"/>
      <c r="Q6" s="3712"/>
      <c r="R6" s="3692"/>
      <c r="S6" s="3693"/>
      <c r="T6" s="3713"/>
      <c r="U6" s="3714"/>
      <c r="V6" s="3715"/>
      <c r="W6" s="3715"/>
      <c r="X6" s="2831"/>
      <c r="Y6" s="3713"/>
      <c r="Z6" s="3714"/>
      <c r="AA6" s="3687"/>
      <c r="AB6" s="3687"/>
      <c r="AC6" s="3687"/>
    </row>
    <row r="7" spans="1:29" s="407" customFormat="1" ht="15.75" thickBot="1">
      <c r="A7" s="751" t="s">
        <v>398</v>
      </c>
      <c r="B7" s="752"/>
      <c r="C7" s="753">
        <f>'数据-取费表'!B2</f>
        <v>42964</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88" t="s">
        <v>399</v>
      </c>
      <c r="Q7" s="3716"/>
      <c r="R7" s="1319" t="s">
        <v>65</v>
      </c>
      <c r="S7" s="1320">
        <f t="shared" ref="S7:S14" si="0">F7</f>
        <v>0</v>
      </c>
      <c r="T7" s="1319" t="s">
        <v>65</v>
      </c>
      <c r="U7" s="1320">
        <f t="shared" ref="U7:U14" si="1">H7</f>
        <v>0</v>
      </c>
      <c r="V7" s="1319" t="s">
        <v>65</v>
      </c>
      <c r="W7" s="1320">
        <f t="shared" ref="W7:W14" si="2">J7</f>
        <v>0</v>
      </c>
      <c r="X7" s="1321"/>
      <c r="Y7" s="3688" t="s">
        <v>399</v>
      </c>
      <c r="Z7" s="368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702" t="s">
        <v>402</v>
      </c>
      <c r="Q9" s="2830" t="str">
        <f t="shared" ref="Q9:Q14" si="6">B9</f>
        <v>用途</v>
      </c>
      <c r="R9" s="1319" t="s">
        <v>65</v>
      </c>
      <c r="S9" s="1320">
        <f t="shared" si="0"/>
        <v>100</v>
      </c>
      <c r="T9" s="1319" t="s">
        <v>65</v>
      </c>
      <c r="U9" s="1320">
        <f t="shared" si="1"/>
        <v>100</v>
      </c>
      <c r="V9" s="1319" t="s">
        <v>65</v>
      </c>
      <c r="W9" s="1320">
        <f t="shared" si="2"/>
        <v>100</v>
      </c>
      <c r="X9" s="1321"/>
      <c r="Y9" s="3551"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702"/>
      <c r="Q10" s="2830" t="str">
        <f t="shared" si="6"/>
        <v>土地使用年限（年）</v>
      </c>
      <c r="R10" s="1319" t="s">
        <v>65</v>
      </c>
      <c r="S10" s="1320">
        <f t="shared" si="0"/>
        <v>100</v>
      </c>
      <c r="T10" s="1319" t="s">
        <v>65</v>
      </c>
      <c r="U10" s="1320">
        <f t="shared" si="1"/>
        <v>100</v>
      </c>
      <c r="V10" s="1319" t="s">
        <v>65</v>
      </c>
      <c r="W10" s="1320">
        <f t="shared" si="2"/>
        <v>100</v>
      </c>
      <c r="X10" s="1321"/>
      <c r="Y10" s="3551"/>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702"/>
      <c r="Q11" s="2830">
        <f t="shared" si="6"/>
        <v>111</v>
      </c>
      <c r="R11" s="1319" t="s">
        <v>65</v>
      </c>
      <c r="S11" s="1320">
        <f t="shared" si="0"/>
        <v>100</v>
      </c>
      <c r="T11" s="1319" t="s">
        <v>65</v>
      </c>
      <c r="U11" s="1320">
        <f t="shared" si="1"/>
        <v>100</v>
      </c>
      <c r="V11" s="1319" t="s">
        <v>65</v>
      </c>
      <c r="W11" s="1320">
        <f t="shared" si="2"/>
        <v>100</v>
      </c>
      <c r="X11" s="1321"/>
      <c r="Y11" s="3551"/>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702"/>
      <c r="Q12" s="2830">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702"/>
      <c r="Q13" s="2830">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估价对象周边道路状况、公共交通通达情况、停车便捷程度一般，综合评价交通便捷度较好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717" t="s">
        <v>407</v>
      </c>
      <c r="Q14" s="2832" t="str">
        <f t="shared" si="6"/>
        <v>交通便捷度</v>
      </c>
      <c r="R14" s="1324" t="s">
        <v>65</v>
      </c>
      <c r="S14" s="1325">
        <f t="shared" si="0"/>
        <v>100</v>
      </c>
      <c r="T14" s="1324" t="s">
        <v>65</v>
      </c>
      <c r="U14" s="1325">
        <f t="shared" si="1"/>
        <v>100</v>
      </c>
      <c r="V14" s="1324" t="s">
        <v>65</v>
      </c>
      <c r="W14" s="1325">
        <f t="shared" si="2"/>
        <v>100</v>
      </c>
      <c r="X14" s="2831"/>
      <c r="Y14" s="3717" t="s">
        <v>407</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718"/>
      <c r="Q15" s="2832"/>
      <c r="R15" s="1324"/>
      <c r="S15" s="1325"/>
      <c r="T15" s="1324"/>
      <c r="U15" s="1325"/>
      <c r="V15" s="1324"/>
      <c r="W15" s="1325"/>
      <c r="X15" s="2831"/>
      <c r="Y15" s="3718"/>
      <c r="Z15" s="2833"/>
      <c r="AA15" s="1327">
        <v>1</v>
      </c>
      <c r="AB15" s="1327">
        <v>1</v>
      </c>
      <c r="AC15" s="1327">
        <v>1</v>
      </c>
    </row>
    <row r="16" spans="1:29" ht="15">
      <c r="A16" s="747"/>
      <c r="B16" s="1034" t="s">
        <v>2661</v>
      </c>
      <c r="C16" s="158" t="str">
        <f>IF(B1="工业",估价对象房地状况!G5,估价对象房地状况!C7)</f>
        <v>较好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718"/>
      <c r="Q16" s="2832" t="str">
        <f>B16</f>
        <v>公共配套设施</v>
      </c>
      <c r="R16" s="1324" t="s">
        <v>65</v>
      </c>
      <c r="S16" s="1325">
        <f>F16</f>
        <v>100</v>
      </c>
      <c r="T16" s="1324" t="s">
        <v>65</v>
      </c>
      <c r="U16" s="1325">
        <f>H16</f>
        <v>100</v>
      </c>
      <c r="V16" s="1324" t="s">
        <v>65</v>
      </c>
      <c r="W16" s="1325">
        <f>J16</f>
        <v>100</v>
      </c>
      <c r="X16" s="2831"/>
      <c r="Y16" s="3718"/>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718"/>
      <c r="Q17" s="2832"/>
      <c r="R17" s="1324"/>
      <c r="S17" s="1325"/>
      <c r="T17" s="1324"/>
      <c r="U17" s="1325"/>
      <c r="V17" s="1324"/>
      <c r="W17" s="1325"/>
      <c r="X17" s="2831"/>
      <c r="Y17" s="3718"/>
      <c r="Z17" s="2833"/>
      <c r="AA17" s="1327">
        <v>1</v>
      </c>
      <c r="AB17" s="1327">
        <v>1</v>
      </c>
      <c r="AC17" s="1327">
        <v>1</v>
      </c>
    </row>
    <row r="18" spans="1:29" ht="15">
      <c r="A18" s="747"/>
      <c r="B18" s="1036" t="s">
        <v>2660</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718"/>
      <c r="Q18" s="2832" t="str">
        <f>B18</f>
        <v>基础设施水平</v>
      </c>
      <c r="R18" s="1324" t="s">
        <v>65</v>
      </c>
      <c r="S18" s="1325">
        <f>F18</f>
        <v>100</v>
      </c>
      <c r="T18" s="1324" t="s">
        <v>65</v>
      </c>
      <c r="U18" s="1325">
        <f>H18</f>
        <v>100</v>
      </c>
      <c r="V18" s="1324" t="s">
        <v>65</v>
      </c>
      <c r="W18" s="1325">
        <f>J18</f>
        <v>100</v>
      </c>
      <c r="X18" s="2831"/>
      <c r="Y18" s="3718"/>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718"/>
      <c r="Q19" s="2832"/>
      <c r="R19" s="1324"/>
      <c r="S19" s="1325"/>
      <c r="T19" s="1324"/>
      <c r="U19" s="1325"/>
      <c r="V19" s="1324"/>
      <c r="W19" s="1325"/>
      <c r="X19" s="2831"/>
      <c r="Y19" s="3718"/>
      <c r="Z19" s="2833"/>
      <c r="AA19" s="1327">
        <v>1</v>
      </c>
      <c r="AB19" s="1327">
        <v>1</v>
      </c>
      <c r="AC19" s="1327">
        <v>1</v>
      </c>
    </row>
    <row r="20" spans="1:29" ht="15">
      <c r="A20" s="747"/>
      <c r="B20" s="974" t="s">
        <v>457</v>
      </c>
      <c r="C20" s="158" t="str">
        <f>IF(B1="工业",估价对象房地状况!G7,估价对象房地状况!C9)</f>
        <v>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718"/>
      <c r="Q20" s="2832" t="str">
        <f>B20</f>
        <v>自然及人文环境</v>
      </c>
      <c r="R20" s="1324" t="s">
        <v>65</v>
      </c>
      <c r="S20" s="1325">
        <f>F20</f>
        <v>100</v>
      </c>
      <c r="T20" s="1324" t="s">
        <v>65</v>
      </c>
      <c r="U20" s="1325">
        <f>H20</f>
        <v>100</v>
      </c>
      <c r="V20" s="1324" t="s">
        <v>65</v>
      </c>
      <c r="W20" s="1325">
        <f>J20</f>
        <v>100</v>
      </c>
      <c r="X20" s="2831"/>
      <c r="Y20" s="3718"/>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718"/>
      <c r="Q21" s="2832"/>
      <c r="R21" s="1324"/>
      <c r="S21" s="1325"/>
      <c r="T21" s="1324"/>
      <c r="U21" s="1325"/>
      <c r="V21" s="1324"/>
      <c r="W21" s="1325"/>
      <c r="X21" s="2831"/>
      <c r="Y21" s="3718"/>
      <c r="Z21" s="2833"/>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718"/>
      <c r="Q22" s="2832" t="str">
        <f>B22</f>
        <v>楼层</v>
      </c>
      <c r="R22" s="1324" t="s">
        <v>65</v>
      </c>
      <c r="S22" s="1325">
        <f>F22</f>
        <v>100</v>
      </c>
      <c r="T22" s="1324" t="s">
        <v>65</v>
      </c>
      <c r="U22" s="1325">
        <f>H22</f>
        <v>100</v>
      </c>
      <c r="V22" s="1324" t="s">
        <v>65</v>
      </c>
      <c r="W22" s="1325">
        <f>J22</f>
        <v>100</v>
      </c>
      <c r="X22" s="2831"/>
      <c r="Y22" s="3718"/>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718"/>
      <c r="Q23" s="2832">
        <f>B23</f>
        <v>111</v>
      </c>
      <c r="R23" s="1324" t="s">
        <v>65</v>
      </c>
      <c r="S23" s="1325">
        <f>F23</f>
        <v>100</v>
      </c>
      <c r="T23" s="1324" t="s">
        <v>65</v>
      </c>
      <c r="U23" s="1325">
        <f>H23</f>
        <v>100</v>
      </c>
      <c r="V23" s="1324" t="s">
        <v>65</v>
      </c>
      <c r="W23" s="1325">
        <f>J23</f>
        <v>100</v>
      </c>
      <c r="X23" s="2831"/>
      <c r="Y23" s="3718"/>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718"/>
      <c r="Q24" s="2832">
        <f t="shared" ref="Q24:Q36" si="11">B24</f>
        <v>111</v>
      </c>
      <c r="R24" s="1324" t="s">
        <v>65</v>
      </c>
      <c r="S24" s="1325">
        <f>F24</f>
        <v>100</v>
      </c>
      <c r="T24" s="1324" t="s">
        <v>65</v>
      </c>
      <c r="U24" s="1325">
        <f>H24</f>
        <v>100</v>
      </c>
      <c r="V24" s="1324" t="s">
        <v>65</v>
      </c>
      <c r="W24" s="1325">
        <f>J24</f>
        <v>100</v>
      </c>
      <c r="X24" s="2831"/>
      <c r="Y24" s="3718"/>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718"/>
      <c r="Q25" s="2830">
        <f t="shared" si="11"/>
        <v>111</v>
      </c>
      <c r="R25" s="1319" t="s">
        <v>65</v>
      </c>
      <c r="S25" s="1320">
        <f>F25</f>
        <v>100</v>
      </c>
      <c r="T25" s="1319" t="s">
        <v>65</v>
      </c>
      <c r="U25" s="1320">
        <f>H25</f>
        <v>100</v>
      </c>
      <c r="V25" s="1319" t="s">
        <v>65</v>
      </c>
      <c r="W25" s="1320">
        <f>J25</f>
        <v>100</v>
      </c>
      <c r="X25" s="1321"/>
      <c r="Y25" s="3718"/>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719" t="s">
        <v>409</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720" t="s">
        <v>409</v>
      </c>
      <c r="Z26" s="2833"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720"/>
      <c r="Q27" s="1328" t="str">
        <f t="shared" si="11"/>
        <v>项目停车位配比</v>
      </c>
      <c r="R27" s="1329" t="s">
        <v>65</v>
      </c>
      <c r="S27" s="1330">
        <f t="shared" si="12"/>
        <v>100</v>
      </c>
      <c r="T27" s="1329" t="s">
        <v>65</v>
      </c>
      <c r="U27" s="1330">
        <f t="shared" si="13"/>
        <v>100</v>
      </c>
      <c r="V27" s="1329" t="s">
        <v>65</v>
      </c>
      <c r="W27" s="1330">
        <f t="shared" si="14"/>
        <v>100</v>
      </c>
      <c r="X27" s="1331"/>
      <c r="Y27" s="3720"/>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720"/>
      <c r="Q28" s="2832" t="str">
        <f t="shared" si="11"/>
        <v>公共部分装修</v>
      </c>
      <c r="R28" s="1324" t="s">
        <v>65</v>
      </c>
      <c r="S28" s="1325">
        <f t="shared" si="12"/>
        <v>100</v>
      </c>
      <c r="T28" s="1324" t="s">
        <v>65</v>
      </c>
      <c r="U28" s="1325">
        <f t="shared" si="13"/>
        <v>100</v>
      </c>
      <c r="V28" s="1324" t="s">
        <v>65</v>
      </c>
      <c r="W28" s="1325">
        <f t="shared" si="14"/>
        <v>100</v>
      </c>
      <c r="X28" s="2831"/>
      <c r="Y28" s="3720"/>
      <c r="Z28" s="2833"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720"/>
      <c r="Q29" s="2832" t="str">
        <f t="shared" si="11"/>
        <v>成新率</v>
      </c>
      <c r="R29" s="1324" t="s">
        <v>65</v>
      </c>
      <c r="S29" s="1325" t="e">
        <f t="shared" si="12"/>
        <v>#N/A</v>
      </c>
      <c r="T29" s="1324" t="s">
        <v>65</v>
      </c>
      <c r="U29" s="1325" t="e">
        <f t="shared" si="13"/>
        <v>#N/A</v>
      </c>
      <c r="V29" s="1324" t="s">
        <v>65</v>
      </c>
      <c r="W29" s="1325" t="e">
        <f t="shared" si="14"/>
        <v>#N/A</v>
      </c>
      <c r="X29" s="2831"/>
      <c r="Y29" s="3720"/>
      <c r="Z29" s="2833"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720"/>
      <c r="Q30" s="2832" t="str">
        <f t="shared" si="11"/>
        <v>物业等级</v>
      </c>
      <c r="R30" s="1324" t="s">
        <v>65</v>
      </c>
      <c r="S30" s="1325">
        <f t="shared" si="12"/>
        <v>100</v>
      </c>
      <c r="T30" s="1324" t="s">
        <v>65</v>
      </c>
      <c r="U30" s="1325">
        <f t="shared" si="13"/>
        <v>100</v>
      </c>
      <c r="V30" s="1324" t="s">
        <v>65</v>
      </c>
      <c r="W30" s="1325">
        <f t="shared" si="14"/>
        <v>100</v>
      </c>
      <c r="X30" s="2831"/>
      <c r="Y30" s="3720"/>
      <c r="Z30" s="2833"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720"/>
      <c r="Q31" s="2830" t="str">
        <f t="shared" si="11"/>
        <v>停车位面积</v>
      </c>
      <c r="R31" s="1319" t="s">
        <v>65</v>
      </c>
      <c r="S31" s="1320" t="e">
        <f t="shared" si="12"/>
        <v>#N/A</v>
      </c>
      <c r="T31" s="1319" t="s">
        <v>65</v>
      </c>
      <c r="U31" s="1320" t="e">
        <f t="shared" si="13"/>
        <v>#N/A</v>
      </c>
      <c r="V31" s="1319" t="s">
        <v>65</v>
      </c>
      <c r="W31" s="1320" t="e">
        <f t="shared" si="14"/>
        <v>#N/A</v>
      </c>
      <c r="X31" s="1321"/>
      <c r="Y31" s="3720"/>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720" t="s">
        <v>409</v>
      </c>
      <c r="Q32" s="2832" t="str">
        <f t="shared" si="11"/>
        <v>车位类型</v>
      </c>
      <c r="R32" s="1324" t="s">
        <v>65</v>
      </c>
      <c r="S32" s="1325">
        <f t="shared" si="12"/>
        <v>100</v>
      </c>
      <c r="T32" s="1324" t="s">
        <v>65</v>
      </c>
      <c r="U32" s="1325">
        <f t="shared" si="13"/>
        <v>100</v>
      </c>
      <c r="V32" s="1324" t="s">
        <v>65</v>
      </c>
      <c r="W32" s="1325">
        <f t="shared" si="14"/>
        <v>100</v>
      </c>
      <c r="X32" s="2831"/>
      <c r="Y32" s="3720" t="s">
        <v>409</v>
      </c>
      <c r="Z32" s="2833"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720"/>
      <c r="Q33" s="2832" t="str">
        <f t="shared" si="11"/>
        <v>是否直接入户</v>
      </c>
      <c r="R33" s="1324" t="s">
        <v>65</v>
      </c>
      <c r="S33" s="1325">
        <f t="shared" si="12"/>
        <v>100</v>
      </c>
      <c r="T33" s="1324" t="s">
        <v>65</v>
      </c>
      <c r="U33" s="1325">
        <f t="shared" si="13"/>
        <v>100</v>
      </c>
      <c r="V33" s="1324" t="s">
        <v>65</v>
      </c>
      <c r="W33" s="1325">
        <f t="shared" si="14"/>
        <v>100</v>
      </c>
      <c r="X33" s="2831"/>
      <c r="Y33" s="3720"/>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720"/>
      <c r="Q34" s="2832">
        <f t="shared" si="11"/>
        <v>111</v>
      </c>
      <c r="R34" s="1324" t="s">
        <v>65</v>
      </c>
      <c r="S34" s="1325">
        <f t="shared" si="12"/>
        <v>100</v>
      </c>
      <c r="T34" s="1324" t="s">
        <v>65</v>
      </c>
      <c r="U34" s="1325">
        <f t="shared" si="13"/>
        <v>100</v>
      </c>
      <c r="V34" s="1324" t="s">
        <v>65</v>
      </c>
      <c r="W34" s="1325">
        <f t="shared" si="14"/>
        <v>100</v>
      </c>
      <c r="X34" s="2831"/>
      <c r="Y34" s="3720"/>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720"/>
      <c r="Q35" s="1328">
        <f t="shared" si="11"/>
        <v>111</v>
      </c>
      <c r="R35" s="1329" t="s">
        <v>65</v>
      </c>
      <c r="S35" s="1330">
        <f t="shared" si="12"/>
        <v>100</v>
      </c>
      <c r="T35" s="1329" t="s">
        <v>65</v>
      </c>
      <c r="U35" s="1330">
        <f t="shared" si="13"/>
        <v>100</v>
      </c>
      <c r="V35" s="1329" t="s">
        <v>65</v>
      </c>
      <c r="W35" s="1330">
        <f t="shared" si="14"/>
        <v>100</v>
      </c>
      <c r="X35" s="1331"/>
      <c r="Y35" s="3720"/>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720"/>
      <c r="Q36" s="2832">
        <f t="shared" si="11"/>
        <v>111</v>
      </c>
      <c r="R36" s="1324" t="s">
        <v>65</v>
      </c>
      <c r="S36" s="1325">
        <f t="shared" si="12"/>
        <v>100</v>
      </c>
      <c r="T36" s="1324" t="s">
        <v>65</v>
      </c>
      <c r="U36" s="1325">
        <f t="shared" si="13"/>
        <v>100</v>
      </c>
      <c r="V36" s="1324" t="s">
        <v>65</v>
      </c>
      <c r="W36" s="1325">
        <f t="shared" si="14"/>
        <v>100</v>
      </c>
      <c r="X36" s="2831"/>
      <c r="Y36" s="3720"/>
      <c r="Z36" s="2833">
        <f t="shared" si="15"/>
        <v>111</v>
      </c>
      <c r="AA36" s="1327">
        <f t="shared" si="3"/>
        <v>1</v>
      </c>
      <c r="AB36" s="1327">
        <f t="shared" si="4"/>
        <v>1</v>
      </c>
      <c r="AC36" s="1327">
        <f t="shared" si="5"/>
        <v>1</v>
      </c>
    </row>
    <row r="37" spans="1:29" ht="15">
      <c r="A37" s="163" t="s">
        <v>2129</v>
      </c>
      <c r="B37" s="2100" t="s">
        <v>2130</v>
      </c>
      <c r="C37" s="2834" t="s">
        <v>23</v>
      </c>
      <c r="D37" s="2835"/>
      <c r="E37" s="2836"/>
      <c r="F37" s="2837"/>
      <c r="G37" s="2838"/>
      <c r="H37" s="2839"/>
      <c r="I37" s="2836"/>
      <c r="J37" s="2839"/>
      <c r="K37" s="962"/>
      <c r="L37" s="2362"/>
      <c r="M37" s="2363"/>
      <c r="N37" s="2350"/>
      <c r="O37" s="2363"/>
      <c r="P37" s="3702" t="str">
        <f>A37</f>
        <v>成交单价</v>
      </c>
      <c r="Q37" s="3702"/>
      <c r="R37" s="3721">
        <f>E37</f>
        <v>0</v>
      </c>
      <c r="S37" s="3721"/>
      <c r="T37" s="3721">
        <f>G37</f>
        <v>0</v>
      </c>
      <c r="U37" s="3721"/>
      <c r="V37" s="3721">
        <f>I37</f>
        <v>0</v>
      </c>
      <c r="W37" s="3721"/>
      <c r="X37" s="1307"/>
      <c r="Y37" s="1333"/>
      <c r="Z37" s="1307"/>
      <c r="AA37" s="1307"/>
      <c r="AB37" s="1307"/>
      <c r="AC37" s="1307"/>
    </row>
    <row r="38" spans="1:29" ht="15.75" thickBot="1">
      <c r="A38" s="829" t="s">
        <v>411</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702" t="str">
        <f>A38</f>
        <v>比较价值（元/平方米）</v>
      </c>
      <c r="Q38" s="3702"/>
      <c r="R38" s="3721" t="e">
        <f>IF(F1="售价",ROUND(PRODUCT(R37,AA7:AA36),0),ROUND(PRODUCT(R37,AA7:AA36),1))</f>
        <v>#DIV/0!</v>
      </c>
      <c r="S38" s="3721"/>
      <c r="T38" s="3721" t="e">
        <f>IF(F1="售价",ROUND(PRODUCT(T37,AB7:AB36),0),ROUND(PRODUCT(T37,AB7:AB36),1))</f>
        <v>#DIV/0!</v>
      </c>
      <c r="U38" s="3721"/>
      <c r="V38" s="3721" t="e">
        <f>IF(F1="售价",ROUND(PRODUCT(V37,AC7:AC36),0),ROUND(PRODUCT(V37,AC7:AC36),1))</f>
        <v>#DIV/0!</v>
      </c>
      <c r="W38" s="3721"/>
      <c r="X38" s="1307"/>
      <c r="Y38" s="1307"/>
      <c r="Z38" s="1307"/>
      <c r="AA38" s="1307"/>
      <c r="AB38" s="1307"/>
      <c r="AC38" s="1307"/>
    </row>
    <row r="39" spans="1:29" ht="15.75" thickBot="1">
      <c r="A39" s="835" t="s">
        <v>3017</v>
      </c>
      <c r="B39" s="836"/>
      <c r="C39" s="2844" t="e">
        <f>R39</f>
        <v>#DIV/0!</v>
      </c>
      <c r="D39" s="2844"/>
      <c r="E39" s="2844"/>
      <c r="F39" s="2844"/>
      <c r="G39" s="2844"/>
      <c r="H39" s="2844"/>
      <c r="I39" s="2844"/>
      <c r="J39" s="2844"/>
      <c r="K39" s="964"/>
      <c r="L39" s="2362"/>
      <c r="M39" s="2363"/>
      <c r="N39" s="2363"/>
      <c r="O39" s="2363"/>
      <c r="P39" s="3722" t="str">
        <f>A39</f>
        <v>估价对象XX用房的比较价值（楼面单价，元/平方米）</v>
      </c>
      <c r="Q39" s="3723"/>
      <c r="R39" s="3724" t="e">
        <f>IF(F1="售价",ROUND(AVERAGE(R38:V38),0),ROUND(AVERAGE(R38:V38),1))</f>
        <v>#DIV/0!</v>
      </c>
      <c r="S39" s="3724"/>
      <c r="T39" s="3724"/>
      <c r="U39" s="3724"/>
      <c r="V39" s="3724"/>
      <c r="W39" s="3724"/>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415</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2788</v>
      </c>
      <c r="B48" s="849"/>
      <c r="C48" s="3042" t="str">
        <f>YEAR(C7)&amp;"-"&amp;MONTH(C7)</f>
        <v>2017-8</v>
      </c>
      <c r="D48" s="3043">
        <f>EDATE(C48,-1)</f>
        <v>42917</v>
      </c>
      <c r="E48" s="3043">
        <f t="shared" ref="E48:O48" si="16">EDATE(D48,-1)</f>
        <v>42887</v>
      </c>
      <c r="F48" s="3043">
        <f t="shared" si="16"/>
        <v>42856</v>
      </c>
      <c r="G48" s="3043">
        <f t="shared" si="16"/>
        <v>42826</v>
      </c>
      <c r="H48" s="3043">
        <f t="shared" si="16"/>
        <v>42795</v>
      </c>
      <c r="I48" s="3043">
        <f t="shared" si="16"/>
        <v>42767</v>
      </c>
      <c r="J48" s="3043">
        <f t="shared" si="16"/>
        <v>42736</v>
      </c>
      <c r="K48" s="3043">
        <f t="shared" si="16"/>
        <v>42705</v>
      </c>
      <c r="L48" s="3043">
        <f t="shared" si="16"/>
        <v>42675</v>
      </c>
      <c r="M48" s="3043">
        <f t="shared" si="16"/>
        <v>42644</v>
      </c>
      <c r="N48" s="3043">
        <f t="shared" si="16"/>
        <v>42614</v>
      </c>
      <c r="O48" s="3043">
        <f t="shared" si="16"/>
        <v>42583</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416</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400</v>
      </c>
      <c r="B51" s="853"/>
      <c r="C51" s="865" t="s">
        <v>417</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418</v>
      </c>
      <c r="B53" s="871" t="s">
        <v>419</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2632</v>
      </c>
      <c r="C65" s="921" t="s">
        <v>425</v>
      </c>
      <c r="D65" s="921" t="s">
        <v>426</v>
      </c>
      <c r="E65" s="921" t="s">
        <v>427</v>
      </c>
      <c r="F65" s="921" t="s">
        <v>428</v>
      </c>
      <c r="G65" s="921" t="s">
        <v>429</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2662</v>
      </c>
      <c r="C67" s="213" t="s">
        <v>2652</v>
      </c>
      <c r="D67" s="213" t="s">
        <v>2653</v>
      </c>
      <c r="E67" s="213" t="s">
        <v>2654</v>
      </c>
      <c r="F67" s="213" t="s">
        <v>2655</v>
      </c>
      <c r="G67" s="213" t="s">
        <v>2656</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408</v>
      </c>
      <c r="B79" s="871" t="s">
        <v>467</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434</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472</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33"/>
      <c r="C1" s="3123" t="s">
        <v>444</v>
      </c>
      <c r="D1" s="3104"/>
      <c r="E1" s="3134"/>
      <c r="F1" s="3106"/>
      <c r="G1" s="3135" t="s">
        <v>445</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446</v>
      </c>
      <c r="B2" s="2845" t="e">
        <f ca="1">IF(C2="——",ROUND(C37*D3/10000,0),ROUND(C37*D3/10000,0)-D2)</f>
        <v>#DIV/0!</v>
      </c>
      <c r="C2" s="3098"/>
      <c r="D2" s="2343" t="e">
        <f ca="1">SUMIF(INDIRECT("'"&amp;F2&amp;"'"&amp;"!A:A"),"承租人权益价值",INDIRECT("'"&amp;F2&amp;"'"&amp;"!c:c"))</f>
        <v>#REF!</v>
      </c>
      <c r="E2" s="3099" t="s">
        <v>863</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703" t="s">
        <v>450</v>
      </c>
      <c r="D4" s="3704"/>
      <c r="E4" s="3705" t="s">
        <v>451</v>
      </c>
      <c r="F4" s="3706"/>
      <c r="G4" s="3703" t="s">
        <v>452</v>
      </c>
      <c r="H4" s="3704"/>
      <c r="I4" s="3703" t="s">
        <v>453</v>
      </c>
      <c r="J4" s="3704"/>
      <c r="K4" s="953" t="s">
        <v>454</v>
      </c>
      <c r="L4" s="2349"/>
      <c r="M4" s="2350"/>
      <c r="N4" s="2350"/>
      <c r="O4" s="2350"/>
      <c r="P4" s="3707" t="s">
        <v>455</v>
      </c>
      <c r="Q4" s="3708"/>
      <c r="R4" s="3690" t="s">
        <v>451</v>
      </c>
      <c r="S4" s="3691"/>
      <c r="T4" s="3690" t="s">
        <v>452</v>
      </c>
      <c r="U4" s="3691"/>
      <c r="V4" s="3715" t="s">
        <v>453</v>
      </c>
      <c r="W4" s="3715"/>
      <c r="X4" s="1318"/>
      <c r="Y4" s="3690" t="s">
        <v>455</v>
      </c>
      <c r="Z4" s="3691"/>
      <c r="AA4" s="3685" t="s">
        <v>451</v>
      </c>
      <c r="AB4" s="3686" t="s">
        <v>452</v>
      </c>
      <c r="AC4" s="3685" t="s">
        <v>453</v>
      </c>
    </row>
    <row r="5" spans="1:29" ht="15">
      <c r="A5" s="747"/>
      <c r="B5" s="748"/>
      <c r="C5" s="3634" t="s">
        <v>1125</v>
      </c>
      <c r="D5" s="3635"/>
      <c r="E5" s="3632" t="s">
        <v>1126</v>
      </c>
      <c r="F5" s="3633"/>
      <c r="G5" s="3634" t="s">
        <v>61</v>
      </c>
      <c r="H5" s="3635"/>
      <c r="I5" s="3634" t="s">
        <v>1127</v>
      </c>
      <c r="J5" s="3635"/>
      <c r="K5" s="953"/>
      <c r="L5" s="2349"/>
      <c r="M5" s="2350"/>
      <c r="N5" s="2350"/>
      <c r="O5" s="2350"/>
      <c r="P5" s="3709"/>
      <c r="Q5" s="3710"/>
      <c r="R5" s="3692"/>
      <c r="S5" s="3693"/>
      <c r="T5" s="3692"/>
      <c r="U5" s="3693"/>
      <c r="V5" s="3715"/>
      <c r="W5" s="3715"/>
      <c r="X5" s="1318"/>
      <c r="Y5" s="3692"/>
      <c r="Z5" s="3693"/>
      <c r="AA5" s="3686"/>
      <c r="AB5" s="3686"/>
      <c r="AC5" s="3686"/>
    </row>
    <row r="6" spans="1:29" ht="15.75" thickBot="1">
      <c r="A6" s="749"/>
      <c r="B6" s="750"/>
      <c r="C6" s="3636" t="s">
        <v>1128</v>
      </c>
      <c r="D6" s="3637"/>
      <c r="E6" s="3638" t="s">
        <v>1128</v>
      </c>
      <c r="F6" s="3639"/>
      <c r="G6" s="3636" t="s">
        <v>1128</v>
      </c>
      <c r="H6" s="3637"/>
      <c r="I6" s="3636" t="s">
        <v>1128</v>
      </c>
      <c r="J6" s="3637"/>
      <c r="K6" s="953" t="s">
        <v>397</v>
      </c>
      <c r="L6" s="2349"/>
      <c r="M6" s="2350"/>
      <c r="N6" s="2350"/>
      <c r="O6" s="2350"/>
      <c r="P6" s="3711"/>
      <c r="Q6" s="3712"/>
      <c r="R6" s="3692"/>
      <c r="S6" s="3693"/>
      <c r="T6" s="3713"/>
      <c r="U6" s="3714"/>
      <c r="V6" s="3715"/>
      <c r="W6" s="3715"/>
      <c r="X6" s="1318"/>
      <c r="Y6" s="3713"/>
      <c r="Z6" s="3714"/>
      <c r="AA6" s="3687"/>
      <c r="AB6" s="3687"/>
      <c r="AC6" s="3687"/>
    </row>
    <row r="7" spans="1:29" s="407" customFormat="1" ht="15.75" thickBot="1">
      <c r="A7" s="751" t="s">
        <v>398</v>
      </c>
      <c r="B7" s="752"/>
      <c r="C7" s="753">
        <f>'数据-取费表'!B2</f>
        <v>42964</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88" t="s">
        <v>399</v>
      </c>
      <c r="Q7" s="3716"/>
      <c r="R7" s="1319" t="s">
        <v>65</v>
      </c>
      <c r="S7" s="1320">
        <f t="shared" ref="S7:S14" si="0">F7</f>
        <v>0</v>
      </c>
      <c r="T7" s="1319" t="s">
        <v>65</v>
      </c>
      <c r="U7" s="1320">
        <f t="shared" ref="U7:U14" si="1">H7</f>
        <v>0</v>
      </c>
      <c r="V7" s="1319" t="s">
        <v>65</v>
      </c>
      <c r="W7" s="1320">
        <f t="shared" ref="W7:W14" si="2">J7</f>
        <v>0</v>
      </c>
      <c r="X7" s="1321"/>
      <c r="Y7" s="3688" t="s">
        <v>399</v>
      </c>
      <c r="Z7" s="368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702" t="s">
        <v>402</v>
      </c>
      <c r="Q9" s="296" t="str">
        <f t="shared" ref="Q9:Q14" si="6">B9</f>
        <v>用途</v>
      </c>
      <c r="R9" s="1319" t="s">
        <v>65</v>
      </c>
      <c r="S9" s="1320">
        <f t="shared" si="0"/>
        <v>100</v>
      </c>
      <c r="T9" s="1319" t="s">
        <v>65</v>
      </c>
      <c r="U9" s="1320">
        <f t="shared" si="1"/>
        <v>100</v>
      </c>
      <c r="V9" s="1319" t="s">
        <v>65</v>
      </c>
      <c r="W9" s="1320">
        <f t="shared" si="2"/>
        <v>100</v>
      </c>
      <c r="X9" s="1321"/>
      <c r="Y9" s="3551"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702"/>
      <c r="Q10" s="296" t="str">
        <f t="shared" si="6"/>
        <v>土地使用年限（年）</v>
      </c>
      <c r="R10" s="1319" t="s">
        <v>65</v>
      </c>
      <c r="S10" s="1320">
        <f t="shared" si="0"/>
        <v>100</v>
      </c>
      <c r="T10" s="1319" t="s">
        <v>65</v>
      </c>
      <c r="U10" s="1320">
        <f t="shared" si="1"/>
        <v>100</v>
      </c>
      <c r="V10" s="1319" t="s">
        <v>65</v>
      </c>
      <c r="W10" s="1320">
        <f t="shared" si="2"/>
        <v>100</v>
      </c>
      <c r="X10" s="1321"/>
      <c r="Y10" s="3551"/>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702"/>
      <c r="Q11" s="296">
        <f t="shared" si="6"/>
        <v>111</v>
      </c>
      <c r="R11" s="1319" t="s">
        <v>65</v>
      </c>
      <c r="S11" s="1320">
        <f t="shared" si="0"/>
        <v>100</v>
      </c>
      <c r="T11" s="1319" t="s">
        <v>65</v>
      </c>
      <c r="U11" s="1320">
        <f t="shared" si="1"/>
        <v>100</v>
      </c>
      <c r="V11" s="1319" t="s">
        <v>65</v>
      </c>
      <c r="W11" s="1320">
        <f t="shared" si="2"/>
        <v>100</v>
      </c>
      <c r="X11" s="1321"/>
      <c r="Y11" s="3551"/>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702"/>
      <c r="Q12" s="296">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估价对象周边道路状况、公共交通通达情况、停车便捷程度一般，综合评价交通便捷度较好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717" t="s">
        <v>407</v>
      </c>
      <c r="Q14" s="1323" t="str">
        <f t="shared" si="6"/>
        <v>交通便捷度</v>
      </c>
      <c r="R14" s="1324" t="s">
        <v>65</v>
      </c>
      <c r="S14" s="1325">
        <f t="shared" si="0"/>
        <v>100</v>
      </c>
      <c r="T14" s="1324" t="s">
        <v>65</v>
      </c>
      <c r="U14" s="1325">
        <f t="shared" si="1"/>
        <v>100</v>
      </c>
      <c r="V14" s="1324" t="s">
        <v>65</v>
      </c>
      <c r="W14" s="1325">
        <f t="shared" si="2"/>
        <v>100</v>
      </c>
      <c r="X14" s="1318"/>
      <c r="Y14" s="3717"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718"/>
      <c r="Q15" s="1323"/>
      <c r="R15" s="1324"/>
      <c r="S15" s="1325"/>
      <c r="T15" s="1324"/>
      <c r="U15" s="1325"/>
      <c r="V15" s="1324"/>
      <c r="W15" s="1325"/>
      <c r="X15" s="1318"/>
      <c r="Y15" s="3718"/>
      <c r="Z15" s="1326"/>
      <c r="AA15" s="1327">
        <v>1</v>
      </c>
      <c r="AB15" s="1327">
        <v>1</v>
      </c>
      <c r="AC15" s="1327">
        <v>1</v>
      </c>
    </row>
    <row r="16" spans="1:29" ht="15">
      <c r="A16" s="771"/>
      <c r="B16" s="1356" t="s">
        <v>2661</v>
      </c>
      <c r="C16" s="158" t="str">
        <f>IF(B1="工业",估价对象房地状况!G5,估价对象房地状况!C7)</f>
        <v>较好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718"/>
      <c r="Q16" s="1323" t="str">
        <f>B16</f>
        <v>公共配套设施</v>
      </c>
      <c r="R16" s="1324" t="s">
        <v>65</v>
      </c>
      <c r="S16" s="1325">
        <f>F16</f>
        <v>100</v>
      </c>
      <c r="T16" s="1324" t="s">
        <v>65</v>
      </c>
      <c r="U16" s="1325">
        <f>H16</f>
        <v>100</v>
      </c>
      <c r="V16" s="1324" t="s">
        <v>65</v>
      </c>
      <c r="W16" s="1325">
        <f>J16</f>
        <v>100</v>
      </c>
      <c r="X16" s="1318"/>
      <c r="Y16" s="3718"/>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718"/>
      <c r="Q17" s="1323"/>
      <c r="R17" s="1324"/>
      <c r="S17" s="1325"/>
      <c r="T17" s="1324"/>
      <c r="U17" s="1325"/>
      <c r="V17" s="1324"/>
      <c r="W17" s="1325"/>
      <c r="X17" s="1318"/>
      <c r="Y17" s="3718"/>
      <c r="Z17" s="1326"/>
      <c r="AA17" s="1327">
        <v>1</v>
      </c>
      <c r="AB17" s="1327">
        <v>1</v>
      </c>
      <c r="AC17" s="1327">
        <v>1</v>
      </c>
    </row>
    <row r="18" spans="1:29" ht="15">
      <c r="A18" s="771"/>
      <c r="B18" s="1412" t="s">
        <v>2663</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718"/>
      <c r="Q18" s="2750" t="str">
        <f>B18</f>
        <v>基础设施水平</v>
      </c>
      <c r="R18" s="1324" t="s">
        <v>65</v>
      </c>
      <c r="S18" s="1325">
        <f>F18</f>
        <v>100</v>
      </c>
      <c r="T18" s="1324" t="s">
        <v>65</v>
      </c>
      <c r="U18" s="1325">
        <f>H18</f>
        <v>100</v>
      </c>
      <c r="V18" s="1324" t="s">
        <v>65</v>
      </c>
      <c r="W18" s="1325">
        <f>J18</f>
        <v>100</v>
      </c>
      <c r="X18" s="2752"/>
      <c r="Y18" s="3718"/>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718"/>
      <c r="Q19" s="2750"/>
      <c r="R19" s="1324"/>
      <c r="S19" s="1325"/>
      <c r="T19" s="1324"/>
      <c r="U19" s="1325"/>
      <c r="V19" s="1324"/>
      <c r="W19" s="1325"/>
      <c r="X19" s="2752"/>
      <c r="Y19" s="3718"/>
      <c r="Z19" s="2751"/>
      <c r="AA19" s="1327">
        <v>1</v>
      </c>
      <c r="AB19" s="1327">
        <v>1</v>
      </c>
      <c r="AC19" s="1327">
        <v>1</v>
      </c>
    </row>
    <row r="20" spans="1:29" ht="15">
      <c r="A20" s="771"/>
      <c r="B20" s="794" t="s">
        <v>457</v>
      </c>
      <c r="C20" s="158" t="str">
        <f>IF(B1="工业",估价对象房地状况!G7,估价对象房地状况!C9)</f>
        <v>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718"/>
      <c r="Q20" s="1323" t="str">
        <f>B20</f>
        <v>自然及人文环境</v>
      </c>
      <c r="R20" s="1324" t="s">
        <v>65</v>
      </c>
      <c r="S20" s="1325">
        <f>F20</f>
        <v>100</v>
      </c>
      <c r="T20" s="1324" t="s">
        <v>65</v>
      </c>
      <c r="U20" s="1325">
        <f>H20</f>
        <v>100</v>
      </c>
      <c r="V20" s="1324" t="s">
        <v>65</v>
      </c>
      <c r="W20" s="1325">
        <f>J20</f>
        <v>100</v>
      </c>
      <c r="X20" s="1318"/>
      <c r="Y20" s="3718"/>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718"/>
      <c r="Q21" s="1323"/>
      <c r="R21" s="1324"/>
      <c r="S21" s="1325"/>
      <c r="T21" s="1324"/>
      <c r="U21" s="1325"/>
      <c r="V21" s="1324"/>
      <c r="W21" s="1325"/>
      <c r="X21" s="1318"/>
      <c r="Y21" s="3718"/>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718"/>
      <c r="Q22" s="1323" t="str">
        <f>B22</f>
        <v>楼层</v>
      </c>
      <c r="R22" s="1324" t="s">
        <v>65</v>
      </c>
      <c r="S22" s="1325">
        <f>F22</f>
        <v>100</v>
      </c>
      <c r="T22" s="1324" t="s">
        <v>65</v>
      </c>
      <c r="U22" s="1325">
        <f>H22</f>
        <v>100</v>
      </c>
      <c r="V22" s="1324" t="s">
        <v>65</v>
      </c>
      <c r="W22" s="1325">
        <f>J22</f>
        <v>100</v>
      </c>
      <c r="X22" s="1318"/>
      <c r="Y22" s="3718"/>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718"/>
      <c r="Q23" s="1323">
        <f>B23</f>
        <v>111</v>
      </c>
      <c r="R23" s="1324" t="s">
        <v>65</v>
      </c>
      <c r="S23" s="1325">
        <f>F23</f>
        <v>100</v>
      </c>
      <c r="T23" s="1324" t="s">
        <v>65</v>
      </c>
      <c r="U23" s="1325">
        <f>H23</f>
        <v>100</v>
      </c>
      <c r="V23" s="1324" t="s">
        <v>65</v>
      </c>
      <c r="W23" s="1325">
        <f>J23</f>
        <v>100</v>
      </c>
      <c r="X23" s="1318"/>
      <c r="Y23" s="3718"/>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718"/>
      <c r="Q24" s="1323">
        <f t="shared" ref="Q24:Q34" si="11">B24</f>
        <v>111</v>
      </c>
      <c r="R24" s="1324" t="s">
        <v>65</v>
      </c>
      <c r="S24" s="1325">
        <f>F24</f>
        <v>100</v>
      </c>
      <c r="T24" s="1324" t="s">
        <v>65</v>
      </c>
      <c r="U24" s="1325">
        <f>H24</f>
        <v>100</v>
      </c>
      <c r="V24" s="1324" t="s">
        <v>65</v>
      </c>
      <c r="W24" s="1325">
        <f>J24</f>
        <v>100</v>
      </c>
      <c r="X24" s="1318"/>
      <c r="Y24" s="3718"/>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718"/>
      <c r="Q25" s="296">
        <f t="shared" si="11"/>
        <v>111</v>
      </c>
      <c r="R25" s="1319" t="s">
        <v>65</v>
      </c>
      <c r="S25" s="1320">
        <f>F25</f>
        <v>100</v>
      </c>
      <c r="T25" s="1319" t="s">
        <v>65</v>
      </c>
      <c r="U25" s="1320">
        <f>H25</f>
        <v>100</v>
      </c>
      <c r="V25" s="1319" t="s">
        <v>65</v>
      </c>
      <c r="W25" s="1320">
        <f>J25</f>
        <v>100</v>
      </c>
      <c r="X25" s="1321"/>
      <c r="Y25" s="3718"/>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719"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720"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720"/>
      <c r="Q27" s="1328" t="str">
        <f t="shared" si="11"/>
        <v>成新率</v>
      </c>
      <c r="R27" s="1329" t="s">
        <v>65</v>
      </c>
      <c r="S27" s="1330" t="e">
        <f t="shared" si="12"/>
        <v>#N/A</v>
      </c>
      <c r="T27" s="1329" t="s">
        <v>65</v>
      </c>
      <c r="U27" s="1330" t="e">
        <f t="shared" si="13"/>
        <v>#N/A</v>
      </c>
      <c r="V27" s="1329" t="s">
        <v>65</v>
      </c>
      <c r="W27" s="1330" t="e">
        <f t="shared" si="14"/>
        <v>#N/A</v>
      </c>
      <c r="X27" s="1331"/>
      <c r="Y27" s="3720"/>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720"/>
      <c r="Q28" s="1323" t="str">
        <f t="shared" si="11"/>
        <v>物业等级</v>
      </c>
      <c r="R28" s="1324" t="s">
        <v>65</v>
      </c>
      <c r="S28" s="1325">
        <f t="shared" si="12"/>
        <v>100</v>
      </c>
      <c r="T28" s="1324" t="s">
        <v>65</v>
      </c>
      <c r="U28" s="1325">
        <f t="shared" si="13"/>
        <v>100</v>
      </c>
      <c r="V28" s="1324" t="s">
        <v>65</v>
      </c>
      <c r="W28" s="1325">
        <f t="shared" si="14"/>
        <v>100</v>
      </c>
      <c r="X28" s="1318"/>
      <c r="Y28" s="3720"/>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720"/>
      <c r="Q29" s="1323" t="str">
        <f t="shared" si="11"/>
        <v>有无电梯</v>
      </c>
      <c r="R29" s="1324" t="s">
        <v>65</v>
      </c>
      <c r="S29" s="1325">
        <f t="shared" si="12"/>
        <v>100</v>
      </c>
      <c r="T29" s="1324" t="s">
        <v>65</v>
      </c>
      <c r="U29" s="1325">
        <f t="shared" si="13"/>
        <v>100</v>
      </c>
      <c r="V29" s="1324" t="s">
        <v>65</v>
      </c>
      <c r="W29" s="1325">
        <f t="shared" si="14"/>
        <v>100</v>
      </c>
      <c r="X29" s="1318"/>
      <c r="Y29" s="3720"/>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720"/>
      <c r="Q30" s="1323" t="str">
        <f t="shared" si="11"/>
        <v>建筑面积</v>
      </c>
      <c r="R30" s="1324" t="s">
        <v>65</v>
      </c>
      <c r="S30" s="1325" t="e">
        <f t="shared" si="12"/>
        <v>#N/A</v>
      </c>
      <c r="T30" s="1324" t="s">
        <v>65</v>
      </c>
      <c r="U30" s="1325" t="e">
        <f t="shared" si="13"/>
        <v>#N/A</v>
      </c>
      <c r="V30" s="1324" t="s">
        <v>65</v>
      </c>
      <c r="W30" s="1325" t="e">
        <f t="shared" si="14"/>
        <v>#N/A</v>
      </c>
      <c r="X30" s="1318"/>
      <c r="Y30" s="3720"/>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720"/>
      <c r="Q31" s="296" t="str">
        <f t="shared" si="11"/>
        <v>是否封闭</v>
      </c>
      <c r="R31" s="1319" t="s">
        <v>65</v>
      </c>
      <c r="S31" s="1320">
        <f t="shared" si="12"/>
        <v>100</v>
      </c>
      <c r="T31" s="1319" t="s">
        <v>65</v>
      </c>
      <c r="U31" s="1320">
        <f t="shared" si="13"/>
        <v>100</v>
      </c>
      <c r="V31" s="1319" t="s">
        <v>65</v>
      </c>
      <c r="W31" s="1320">
        <f t="shared" si="14"/>
        <v>100</v>
      </c>
      <c r="X31" s="1321"/>
      <c r="Y31" s="3720"/>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720" t="s">
        <v>409</v>
      </c>
      <c r="Q32" s="1323">
        <f t="shared" si="11"/>
        <v>111</v>
      </c>
      <c r="R32" s="1324" t="s">
        <v>65</v>
      </c>
      <c r="S32" s="1325">
        <f t="shared" si="12"/>
        <v>100</v>
      </c>
      <c r="T32" s="1324" t="s">
        <v>65</v>
      </c>
      <c r="U32" s="1325">
        <f t="shared" si="13"/>
        <v>100</v>
      </c>
      <c r="V32" s="1324" t="s">
        <v>65</v>
      </c>
      <c r="W32" s="1325">
        <f t="shared" si="14"/>
        <v>100</v>
      </c>
      <c r="X32" s="1318"/>
      <c r="Y32" s="3720"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720"/>
      <c r="Q33" s="1323">
        <f t="shared" si="11"/>
        <v>111</v>
      </c>
      <c r="R33" s="1324" t="s">
        <v>65</v>
      </c>
      <c r="S33" s="1325">
        <f t="shared" si="12"/>
        <v>100</v>
      </c>
      <c r="T33" s="1324" t="s">
        <v>65</v>
      </c>
      <c r="U33" s="1325">
        <f t="shared" si="13"/>
        <v>100</v>
      </c>
      <c r="V33" s="1324" t="s">
        <v>65</v>
      </c>
      <c r="W33" s="1325">
        <f t="shared" si="14"/>
        <v>100</v>
      </c>
      <c r="X33" s="1318"/>
      <c r="Y33" s="3720"/>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720"/>
      <c r="Q34" s="1323">
        <f t="shared" si="11"/>
        <v>111</v>
      </c>
      <c r="R34" s="1324" t="s">
        <v>65</v>
      </c>
      <c r="S34" s="1325">
        <f t="shared" si="12"/>
        <v>100</v>
      </c>
      <c r="T34" s="1324" t="s">
        <v>65</v>
      </c>
      <c r="U34" s="1325">
        <f t="shared" si="13"/>
        <v>100</v>
      </c>
      <c r="V34" s="1324" t="s">
        <v>65</v>
      </c>
      <c r="W34" s="1325">
        <f t="shared" si="14"/>
        <v>100</v>
      </c>
      <c r="X34" s="1318"/>
      <c r="Y34" s="3720"/>
      <c r="Z34" s="1326">
        <f t="shared" si="15"/>
        <v>111</v>
      </c>
      <c r="AA34" s="1327">
        <f t="shared" si="3"/>
        <v>1</v>
      </c>
      <c r="AB34" s="1327">
        <f t="shared" si="4"/>
        <v>1</v>
      </c>
      <c r="AC34" s="1327">
        <f t="shared" si="5"/>
        <v>1</v>
      </c>
    </row>
    <row r="35" spans="1:29" ht="15">
      <c r="A35" s="822" t="s">
        <v>410</v>
      </c>
      <c r="B35" s="823"/>
      <c r="C35" s="2834" t="s">
        <v>23</v>
      </c>
      <c r="D35" s="2835"/>
      <c r="E35" s="2836"/>
      <c r="F35" s="2837"/>
      <c r="G35" s="2838"/>
      <c r="H35" s="2839"/>
      <c r="I35" s="2836"/>
      <c r="J35" s="2839"/>
      <c r="K35" s="1400"/>
      <c r="L35" s="2362"/>
      <c r="M35" s="2363"/>
      <c r="N35" s="2350"/>
      <c r="O35" s="2363"/>
      <c r="P35" s="3702" t="str">
        <f>A35</f>
        <v>成交单价（元/平方米）</v>
      </c>
      <c r="Q35" s="3702"/>
      <c r="R35" s="3721">
        <f>E35</f>
        <v>0</v>
      </c>
      <c r="S35" s="3721"/>
      <c r="T35" s="3721">
        <f>G35</f>
        <v>0</v>
      </c>
      <c r="U35" s="3721"/>
      <c r="V35" s="3721">
        <f>I35</f>
        <v>0</v>
      </c>
      <c r="W35" s="3721"/>
      <c r="X35" s="1307"/>
      <c r="Y35" s="1333"/>
      <c r="Z35" s="1307"/>
      <c r="AA35" s="1307"/>
      <c r="AB35" s="1307"/>
      <c r="AC35" s="1307"/>
    </row>
    <row r="36" spans="1:29" ht="15.75" thickBot="1">
      <c r="A36" s="829" t="s">
        <v>411</v>
      </c>
      <c r="B36" s="830"/>
      <c r="C36" s="2840" t="e">
        <f>R37</f>
        <v>#DIV/0!</v>
      </c>
      <c r="D36" s="2841"/>
      <c r="E36" s="2842" t="e">
        <f>R36</f>
        <v>#DIV/0!</v>
      </c>
      <c r="F36" s="2842"/>
      <c r="G36" s="2840" t="e">
        <f>T36</f>
        <v>#DIV/0!</v>
      </c>
      <c r="H36" s="2841"/>
      <c r="I36" s="2842" t="e">
        <f>V36</f>
        <v>#DIV/0!</v>
      </c>
      <c r="J36" s="2841"/>
      <c r="K36" s="1401"/>
      <c r="L36" s="2362"/>
      <c r="M36" s="2363"/>
      <c r="N36" s="2350"/>
      <c r="O36" s="2363"/>
      <c r="P36" s="3702" t="str">
        <f>A36</f>
        <v>比较价值（元/平方米）</v>
      </c>
      <c r="Q36" s="3702"/>
      <c r="R36" s="3721" t="e">
        <f>IF(F1="售价",ROUND(PRODUCT(R35,AA7:AA34),0),ROUND(PRODUCT(R35,AA7:AA34),1))</f>
        <v>#DIV/0!</v>
      </c>
      <c r="S36" s="3721"/>
      <c r="T36" s="3721" t="e">
        <f>IF(F1="售价",ROUND(PRODUCT(T35,AB7:AB34),0),ROUND(PRODUCT(T35,AB7:AB34),1))</f>
        <v>#DIV/0!</v>
      </c>
      <c r="U36" s="3721"/>
      <c r="V36" s="3721" t="e">
        <f>IF(F1="售价",ROUND(PRODUCT(V35,AC7:AC34),0),ROUND(PRODUCT(V35,AC7:AC34),1))</f>
        <v>#DIV/0!</v>
      </c>
      <c r="W36" s="3721"/>
      <c r="X36" s="1307"/>
      <c r="Y36" s="1307"/>
      <c r="Z36" s="1307"/>
      <c r="AA36" s="1307"/>
      <c r="AB36" s="1307"/>
      <c r="AC36" s="1307"/>
    </row>
    <row r="37" spans="1:29" ht="15.75" thickBot="1">
      <c r="A37" s="115" t="s">
        <v>3011</v>
      </c>
      <c r="B37" s="836"/>
      <c r="C37" s="2844" t="e">
        <f>R37</f>
        <v>#DIV/0!</v>
      </c>
      <c r="D37" s="2844"/>
      <c r="E37" s="2844"/>
      <c r="F37" s="2844"/>
      <c r="G37" s="2844"/>
      <c r="H37" s="2844"/>
      <c r="I37" s="2844"/>
      <c r="J37" s="2844"/>
      <c r="K37" s="1402"/>
      <c r="L37" s="2362"/>
      <c r="M37" s="2363"/>
      <c r="N37" s="2363"/>
      <c r="O37" s="2363"/>
      <c r="P37" s="3722" t="str">
        <f>A37</f>
        <v>估价对象XX用房的比较价值（楼面单价，元/平方米）</v>
      </c>
      <c r="Q37" s="3723"/>
      <c r="R37" s="3724" t="e">
        <f>IF(F1="售价",ROUND(AVERAGE(R36:V36),0),ROUND(AVERAGE(R36:V36),1))</f>
        <v>#DIV/0!</v>
      </c>
      <c r="S37" s="3724"/>
      <c r="T37" s="3724"/>
      <c r="U37" s="3724"/>
      <c r="V37" s="3724"/>
      <c r="W37" s="3724"/>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2" t="str">
        <f>YEAR(C7)&amp;"-"&amp;MONTH(C7)</f>
        <v>2017-8</v>
      </c>
      <c r="D46" s="3043">
        <f>EDATE(C46,-1)</f>
        <v>42917</v>
      </c>
      <c r="E46" s="3043">
        <f t="shared" ref="E46:O46" si="16">EDATE(D46,-1)</f>
        <v>42887</v>
      </c>
      <c r="F46" s="3043">
        <f t="shared" si="16"/>
        <v>42856</v>
      </c>
      <c r="G46" s="3043">
        <f t="shared" si="16"/>
        <v>42826</v>
      </c>
      <c r="H46" s="3043">
        <f t="shared" si="16"/>
        <v>42795</v>
      </c>
      <c r="I46" s="3043">
        <f t="shared" si="16"/>
        <v>42767</v>
      </c>
      <c r="J46" s="3043">
        <f t="shared" si="16"/>
        <v>42736</v>
      </c>
      <c r="K46" s="3043">
        <f t="shared" si="16"/>
        <v>42705</v>
      </c>
      <c r="L46" s="3043">
        <f t="shared" si="16"/>
        <v>42675</v>
      </c>
      <c r="M46" s="3043">
        <f t="shared" si="16"/>
        <v>42644</v>
      </c>
      <c r="N46" s="3043">
        <f t="shared" si="16"/>
        <v>42614</v>
      </c>
      <c r="O46" s="3043">
        <f t="shared" si="16"/>
        <v>42583</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2662</v>
      </c>
      <c r="C65" s="213" t="s">
        <v>2652</v>
      </c>
      <c r="D65" s="213" t="s">
        <v>2653</v>
      </c>
      <c r="E65" s="213" t="s">
        <v>2654</v>
      </c>
      <c r="F65" s="213" t="s">
        <v>2655</v>
      </c>
      <c r="G65" s="213" t="s">
        <v>2656</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2881</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703" t="s">
        <v>391</v>
      </c>
      <c r="D4" s="3704"/>
      <c r="E4" s="3705" t="s">
        <v>392</v>
      </c>
      <c r="F4" s="3706"/>
      <c r="G4" s="3703" t="s">
        <v>393</v>
      </c>
      <c r="H4" s="3704"/>
      <c r="I4" s="3703" t="s">
        <v>394</v>
      </c>
      <c r="J4" s="3704"/>
      <c r="K4" s="953" t="s">
        <v>395</v>
      </c>
      <c r="L4" s="2349"/>
      <c r="M4" s="2350"/>
      <c r="N4" s="2350"/>
      <c r="O4" s="2350"/>
      <c r="P4" s="3707" t="s">
        <v>396</v>
      </c>
      <c r="Q4" s="3708"/>
      <c r="R4" s="3690" t="s">
        <v>392</v>
      </c>
      <c r="S4" s="3691"/>
      <c r="T4" s="3690" t="s">
        <v>393</v>
      </c>
      <c r="U4" s="3691"/>
      <c r="V4" s="3715" t="s">
        <v>394</v>
      </c>
      <c r="W4" s="3715"/>
      <c r="X4" s="1318"/>
      <c r="Y4" s="3690" t="s">
        <v>396</v>
      </c>
      <c r="Z4" s="3691"/>
      <c r="AA4" s="3685" t="s">
        <v>392</v>
      </c>
      <c r="AB4" s="3686" t="s">
        <v>393</v>
      </c>
      <c r="AC4" s="3685" t="s">
        <v>394</v>
      </c>
    </row>
    <row r="5" spans="1:30" ht="15">
      <c r="A5" s="747"/>
      <c r="B5" s="748"/>
      <c r="C5" s="3634" t="s">
        <v>1125</v>
      </c>
      <c r="D5" s="3635"/>
      <c r="E5" s="3632" t="s">
        <v>1126</v>
      </c>
      <c r="F5" s="3633"/>
      <c r="G5" s="3634" t="s">
        <v>1129</v>
      </c>
      <c r="H5" s="3635"/>
      <c r="I5" s="3634" t="s">
        <v>1127</v>
      </c>
      <c r="J5" s="3635"/>
      <c r="K5" s="953"/>
      <c r="L5" s="2349"/>
      <c r="M5" s="2350"/>
      <c r="N5" s="2350"/>
      <c r="O5" s="2350"/>
      <c r="P5" s="3709"/>
      <c r="Q5" s="3710"/>
      <c r="R5" s="3692"/>
      <c r="S5" s="3693"/>
      <c r="T5" s="3692"/>
      <c r="U5" s="3693"/>
      <c r="V5" s="3715"/>
      <c r="W5" s="3715"/>
      <c r="X5" s="1318"/>
      <c r="Y5" s="3692"/>
      <c r="Z5" s="3693"/>
      <c r="AA5" s="3686"/>
      <c r="AB5" s="3686"/>
      <c r="AC5" s="3686"/>
    </row>
    <row r="6" spans="1:30" ht="15.75" thickBot="1">
      <c r="A6" s="749"/>
      <c r="B6" s="750"/>
      <c r="C6" s="3636" t="s">
        <v>1128</v>
      </c>
      <c r="D6" s="3637"/>
      <c r="E6" s="3638" t="s">
        <v>1128</v>
      </c>
      <c r="F6" s="3639"/>
      <c r="G6" s="3636" t="s">
        <v>1128</v>
      </c>
      <c r="H6" s="3637"/>
      <c r="I6" s="3636" t="s">
        <v>1128</v>
      </c>
      <c r="J6" s="3637"/>
      <c r="K6" s="953" t="s">
        <v>397</v>
      </c>
      <c r="L6" s="2349"/>
      <c r="M6" s="2350"/>
      <c r="N6" s="2350"/>
      <c r="O6" s="2350"/>
      <c r="P6" s="3711"/>
      <c r="Q6" s="3712"/>
      <c r="R6" s="3692"/>
      <c r="S6" s="3693"/>
      <c r="T6" s="3713"/>
      <c r="U6" s="3714"/>
      <c r="V6" s="3715"/>
      <c r="W6" s="3715"/>
      <c r="X6" s="1318"/>
      <c r="Y6" s="3713"/>
      <c r="Z6" s="3714"/>
      <c r="AA6" s="3687"/>
      <c r="AB6" s="3687"/>
      <c r="AC6" s="3687"/>
    </row>
    <row r="7" spans="1:30" s="407" customFormat="1" ht="15.75" thickBot="1">
      <c r="A7" s="751" t="s">
        <v>398</v>
      </c>
      <c r="B7" s="752"/>
      <c r="C7" s="753">
        <f>'数据-取费表'!B2</f>
        <v>42964</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88" t="s">
        <v>399</v>
      </c>
      <c r="Q7" s="3716"/>
      <c r="R7" s="1319" t="s">
        <v>65</v>
      </c>
      <c r="S7" s="1320">
        <f t="shared" ref="S7:S15" si="0">F7</f>
        <v>0</v>
      </c>
      <c r="T7" s="1319" t="s">
        <v>65</v>
      </c>
      <c r="U7" s="1320">
        <f t="shared" ref="U7:U15" si="1">H7</f>
        <v>0</v>
      </c>
      <c r="V7" s="1319" t="s">
        <v>65</v>
      </c>
      <c r="W7" s="1320">
        <f t="shared" ref="W7:W15" si="2">J7</f>
        <v>0</v>
      </c>
      <c r="X7" s="1321"/>
      <c r="Y7" s="3688" t="s">
        <v>399</v>
      </c>
      <c r="Z7" s="368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702" t="s">
        <v>402</v>
      </c>
      <c r="Q9" s="296" t="str">
        <f t="shared" ref="Q9:Q15" si="6">B9</f>
        <v>用途</v>
      </c>
      <c r="R9" s="1319" t="s">
        <v>65</v>
      </c>
      <c r="S9" s="1320">
        <f t="shared" si="0"/>
        <v>100</v>
      </c>
      <c r="T9" s="1319" t="s">
        <v>65</v>
      </c>
      <c r="U9" s="1320">
        <f t="shared" si="1"/>
        <v>100</v>
      </c>
      <c r="V9" s="1319" t="s">
        <v>65</v>
      </c>
      <c r="W9" s="1320">
        <f t="shared" si="2"/>
        <v>100</v>
      </c>
      <c r="X9" s="1321"/>
      <c r="Y9" s="3551"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702"/>
      <c r="Q10" s="296" t="str">
        <f t="shared" si="6"/>
        <v>土地使用年限（年）</v>
      </c>
      <c r="R10" s="1319" t="s">
        <v>65</v>
      </c>
      <c r="S10" s="1320">
        <f t="shared" si="0"/>
        <v>116</v>
      </c>
      <c r="T10" s="1319" t="s">
        <v>65</v>
      </c>
      <c r="U10" s="1320">
        <f t="shared" si="1"/>
        <v>116</v>
      </c>
      <c r="V10" s="1319" t="s">
        <v>65</v>
      </c>
      <c r="W10" s="1320">
        <f t="shared" si="2"/>
        <v>116</v>
      </c>
      <c r="X10" s="1321"/>
      <c r="Y10" s="3551"/>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702"/>
      <c r="Q11" s="296" t="str">
        <f t="shared" si="6"/>
        <v>容积率</v>
      </c>
      <c r="R11" s="1319" t="s">
        <v>65</v>
      </c>
      <c r="S11" s="1320" t="e">
        <f t="shared" si="0"/>
        <v>#N/A</v>
      </c>
      <c r="T11" s="1319" t="s">
        <v>65</v>
      </c>
      <c r="U11" s="1320" t="e">
        <f t="shared" si="1"/>
        <v>#N/A</v>
      </c>
      <c r="V11" s="1319" t="s">
        <v>65</v>
      </c>
      <c r="W11" s="1320" t="e">
        <f t="shared" si="2"/>
        <v>#N/A</v>
      </c>
      <c r="X11" s="1321"/>
      <c r="Y11" s="3551"/>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702"/>
      <c r="Q12" s="296" t="str">
        <f t="shared" si="6"/>
        <v>配建</v>
      </c>
      <c r="R12" s="1319" t="s">
        <v>65</v>
      </c>
      <c r="S12" s="1320">
        <f t="shared" si="0"/>
        <v>100</v>
      </c>
      <c r="T12" s="1319" t="s">
        <v>65</v>
      </c>
      <c r="U12" s="1320">
        <f t="shared" si="1"/>
        <v>100</v>
      </c>
      <c r="V12" s="1319" t="s">
        <v>65</v>
      </c>
      <c r="W12" s="1320">
        <f t="shared" si="2"/>
        <v>100</v>
      </c>
      <c r="X12" s="1321"/>
      <c r="Y12" s="3551"/>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702"/>
      <c r="Q14" s="296">
        <f t="shared" si="6"/>
        <v>111</v>
      </c>
      <c r="R14" s="1319" t="s">
        <v>65</v>
      </c>
      <c r="S14" s="1320">
        <f t="shared" si="0"/>
        <v>100</v>
      </c>
      <c r="T14" s="1319" t="s">
        <v>65</v>
      </c>
      <c r="U14" s="1320">
        <f t="shared" si="1"/>
        <v>100</v>
      </c>
      <c r="V14" s="1319" t="s">
        <v>65</v>
      </c>
      <c r="W14" s="1320">
        <f t="shared" si="2"/>
        <v>100</v>
      </c>
      <c r="X14" s="1321"/>
      <c r="Y14" s="3551"/>
      <c r="Z14" s="344">
        <f t="shared" si="7"/>
        <v>111</v>
      </c>
      <c r="AA14" s="1322">
        <f>D14/F14</f>
        <v>1</v>
      </c>
      <c r="AB14" s="1322">
        <f>D14/H14</f>
        <v>1</v>
      </c>
      <c r="AC14" s="1322">
        <f>D14/J14</f>
        <v>1</v>
      </c>
    </row>
    <row r="15" spans="1:30" ht="15">
      <c r="A15" s="783" t="s">
        <v>406</v>
      </c>
      <c r="B15" s="359" t="s">
        <v>286</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717" t="s">
        <v>407</v>
      </c>
      <c r="Q15" s="1323" t="str">
        <f t="shared" si="6"/>
        <v>居住社区成熟度</v>
      </c>
      <c r="R15" s="1324" t="s">
        <v>65</v>
      </c>
      <c r="S15" s="1325">
        <f t="shared" si="0"/>
        <v>100</v>
      </c>
      <c r="T15" s="1324" t="s">
        <v>65</v>
      </c>
      <c r="U15" s="1325">
        <f t="shared" si="1"/>
        <v>100</v>
      </c>
      <c r="V15" s="1324" t="s">
        <v>65</v>
      </c>
      <c r="W15" s="1325">
        <f t="shared" si="2"/>
        <v>100</v>
      </c>
      <c r="X15" s="1318"/>
      <c r="Y15" s="3717"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718"/>
      <c r="Q16" s="1323"/>
      <c r="R16" s="1324"/>
      <c r="S16" s="1325"/>
      <c r="T16" s="1324"/>
      <c r="U16" s="1325"/>
      <c r="V16" s="1324"/>
      <c r="W16" s="1325"/>
      <c r="X16" s="1318"/>
      <c r="Y16" s="3718"/>
      <c r="Z16" s="1326"/>
      <c r="AA16" s="1327">
        <v>1</v>
      </c>
      <c r="AB16" s="1327">
        <v>1</v>
      </c>
      <c r="AC16" s="1327">
        <v>1</v>
      </c>
    </row>
    <row r="17" spans="1:29" ht="81">
      <c r="A17" s="771"/>
      <c r="B17" s="794" t="s">
        <v>436</v>
      </c>
      <c r="C17" s="190" t="str">
        <f>估价对象房地状况!C16</f>
        <v>估价对象位于望京商圈，周边商业氛围成熟，人流量大，商业繁华度较好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718"/>
      <c r="Q17" s="1323" t="str">
        <f>B17</f>
        <v>商业繁华度</v>
      </c>
      <c r="R17" s="1324" t="s">
        <v>65</v>
      </c>
      <c r="S17" s="1325">
        <f>F17</f>
        <v>100</v>
      </c>
      <c r="T17" s="1324" t="s">
        <v>65</v>
      </c>
      <c r="U17" s="1325">
        <f>H17</f>
        <v>100</v>
      </c>
      <c r="V17" s="1324" t="s">
        <v>65</v>
      </c>
      <c r="W17" s="1325">
        <f>J17</f>
        <v>100</v>
      </c>
      <c r="X17" s="1318"/>
      <c r="Y17" s="3718"/>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718"/>
      <c r="Q18" s="1323"/>
      <c r="R18" s="1324"/>
      <c r="S18" s="1325"/>
      <c r="T18" s="1324"/>
      <c r="U18" s="1325"/>
      <c r="V18" s="1324"/>
      <c r="W18" s="1325"/>
      <c r="X18" s="1318"/>
      <c r="Y18" s="3718"/>
      <c r="Z18" s="1326"/>
      <c r="AA18" s="1327">
        <v>1</v>
      </c>
      <c r="AB18" s="1327">
        <v>1</v>
      </c>
      <c r="AC18" s="1327">
        <v>1</v>
      </c>
    </row>
    <row r="19" spans="1:29" ht="15">
      <c r="A19" s="771"/>
      <c r="B19" s="794" t="s">
        <v>441</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718"/>
      <c r="Q19" s="1323" t="str">
        <f>B19</f>
        <v>办公集聚程度</v>
      </c>
      <c r="R19" s="1324" t="s">
        <v>65</v>
      </c>
      <c r="S19" s="1325">
        <f>F19</f>
        <v>100</v>
      </c>
      <c r="T19" s="1324" t="s">
        <v>65</v>
      </c>
      <c r="U19" s="1325">
        <f>H19</f>
        <v>100</v>
      </c>
      <c r="V19" s="1324" t="s">
        <v>65</v>
      </c>
      <c r="W19" s="1325">
        <f>J19</f>
        <v>100</v>
      </c>
      <c r="X19" s="1318"/>
      <c r="Y19" s="3718"/>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718"/>
      <c r="Q20" s="1323"/>
      <c r="R20" s="1324"/>
      <c r="S20" s="1325"/>
      <c r="T20" s="1324"/>
      <c r="U20" s="1325"/>
      <c r="V20" s="1324"/>
      <c r="W20" s="1325"/>
      <c r="X20" s="1318"/>
      <c r="Y20" s="3718"/>
      <c r="Z20" s="1326"/>
      <c r="AA20" s="1327">
        <v>1</v>
      </c>
      <c r="AB20" s="1327">
        <v>1</v>
      </c>
      <c r="AC20" s="1327">
        <v>1</v>
      </c>
    </row>
    <row r="21" spans="1:29" ht="94.5">
      <c r="A21" s="771"/>
      <c r="B21" s="794" t="s">
        <v>456</v>
      </c>
      <c r="C21" s="158" t="str">
        <f>估价对象房地状况!C18</f>
        <v>估价对象周边道路状况、公共交通通达情况、停车便捷程度一般，综合评价交通便捷度较好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718"/>
      <c r="Q21" s="1323" t="str">
        <f>B21</f>
        <v>交通便捷度</v>
      </c>
      <c r="R21" s="1324" t="s">
        <v>65</v>
      </c>
      <c r="S21" s="1325">
        <f>F21</f>
        <v>100</v>
      </c>
      <c r="T21" s="1324" t="s">
        <v>65</v>
      </c>
      <c r="U21" s="1325">
        <f>H21</f>
        <v>100</v>
      </c>
      <c r="V21" s="1324" t="s">
        <v>65</v>
      </c>
      <c r="W21" s="1325">
        <f>J21</f>
        <v>100</v>
      </c>
      <c r="X21" s="1318"/>
      <c r="Y21" s="3718"/>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718"/>
      <c r="Q22" s="1323"/>
      <c r="R22" s="1324"/>
      <c r="S22" s="1325"/>
      <c r="T22" s="1324"/>
      <c r="U22" s="1325"/>
      <c r="V22" s="1324"/>
      <c r="W22" s="1325"/>
      <c r="X22" s="1318"/>
      <c r="Y22" s="3718"/>
      <c r="Z22" s="1326"/>
      <c r="AA22" s="1327">
        <v>1</v>
      </c>
      <c r="AB22" s="1327">
        <v>1</v>
      </c>
      <c r="AC22" s="1327">
        <v>1</v>
      </c>
    </row>
    <row r="23" spans="1:29" ht="27">
      <c r="A23" s="747"/>
      <c r="B23" s="794" t="s">
        <v>483</v>
      </c>
      <c r="C23" s="2775" t="str">
        <f>估价对象房地状况!C19</f>
        <v>较好</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718"/>
      <c r="Q23" s="1323" t="str">
        <f t="shared" ref="Q23:Q37" si="8">B23</f>
        <v>区域土地利用方向</v>
      </c>
      <c r="R23" s="1324" t="s">
        <v>65</v>
      </c>
      <c r="S23" s="1325">
        <f>F23</f>
        <v>100</v>
      </c>
      <c r="T23" s="1324" t="s">
        <v>65</v>
      </c>
      <c r="U23" s="1325">
        <f>H23</f>
        <v>100</v>
      </c>
      <c r="V23" s="1324" t="s">
        <v>65</v>
      </c>
      <c r="W23" s="1325">
        <f>J23</f>
        <v>100</v>
      </c>
      <c r="X23" s="1318"/>
      <c r="Y23" s="3718"/>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718"/>
      <c r="Q24" s="1470"/>
      <c r="R24" s="1324"/>
      <c r="S24" s="1325"/>
      <c r="T24" s="1324"/>
      <c r="U24" s="1325"/>
      <c r="V24" s="1324"/>
      <c r="W24" s="1325"/>
      <c r="X24" s="1469"/>
      <c r="Y24" s="3718"/>
      <c r="Z24" s="1471"/>
      <c r="AA24" s="1327"/>
      <c r="AB24" s="1327"/>
      <c r="AC24" s="1327"/>
    </row>
    <row r="25" spans="1:29" ht="27">
      <c r="A25" s="747"/>
      <c r="B25" s="2770" t="s">
        <v>484</v>
      </c>
      <c r="C25" s="190" t="str">
        <f>估价对象房地状况!C20</f>
        <v>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718"/>
      <c r="Q25" s="1323" t="str">
        <f t="shared" si="8"/>
        <v>自然及人文环境状况</v>
      </c>
      <c r="R25" s="1324" t="s">
        <v>65</v>
      </c>
      <c r="S25" s="1325">
        <f>F25</f>
        <v>100</v>
      </c>
      <c r="T25" s="1324" t="s">
        <v>65</v>
      </c>
      <c r="U25" s="1325">
        <f>H25</f>
        <v>100</v>
      </c>
      <c r="V25" s="1324" t="s">
        <v>65</v>
      </c>
      <c r="W25" s="1325">
        <f>J25</f>
        <v>100</v>
      </c>
      <c r="X25" s="1318"/>
      <c r="Y25" s="3718"/>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718"/>
      <c r="Q26" s="1323"/>
      <c r="R26" s="1324"/>
      <c r="S26" s="1325"/>
      <c r="T26" s="1324"/>
      <c r="U26" s="1325"/>
      <c r="V26" s="1324"/>
      <c r="W26" s="1325"/>
      <c r="X26" s="1318"/>
      <c r="Y26" s="3718"/>
      <c r="Z26" s="1326"/>
      <c r="AA26" s="1327">
        <v>1</v>
      </c>
      <c r="AB26" s="1327">
        <v>1</v>
      </c>
      <c r="AC26" s="1327">
        <v>1</v>
      </c>
    </row>
    <row r="27" spans="1:29" s="407" customFormat="1" ht="15">
      <c r="A27" s="992"/>
      <c r="B27" s="1412" t="s">
        <v>2664</v>
      </c>
      <c r="C27" s="158" t="str">
        <f>估价对象房地状况!C21</f>
        <v>较好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718"/>
      <c r="Q27" s="296" t="str">
        <f t="shared" si="8"/>
        <v>公共配套设施</v>
      </c>
      <c r="R27" s="1319" t="s">
        <v>65</v>
      </c>
      <c r="S27" s="1320">
        <f>F27</f>
        <v>100</v>
      </c>
      <c r="T27" s="1319" t="s">
        <v>65</v>
      </c>
      <c r="U27" s="1320">
        <f>H27</f>
        <v>100</v>
      </c>
      <c r="V27" s="1319" t="s">
        <v>65</v>
      </c>
      <c r="W27" s="1320">
        <f>J27</f>
        <v>100</v>
      </c>
      <c r="X27" s="1321"/>
      <c r="Y27" s="3718"/>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718"/>
      <c r="Q28" s="296"/>
      <c r="R28" s="1319"/>
      <c r="S28" s="1320"/>
      <c r="T28" s="1319"/>
      <c r="U28" s="1320"/>
      <c r="V28" s="1319"/>
      <c r="W28" s="1320"/>
      <c r="X28" s="1321"/>
      <c r="Y28" s="3718"/>
      <c r="Z28" s="344"/>
      <c r="AA28" s="1327">
        <v>1</v>
      </c>
      <c r="AB28" s="1327">
        <v>1</v>
      </c>
      <c r="AC28" s="1327">
        <v>1</v>
      </c>
    </row>
    <row r="29" spans="1:29" s="407" customFormat="1" ht="15">
      <c r="A29" s="992"/>
      <c r="B29" s="1412" t="s">
        <v>2665</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718"/>
      <c r="Q29" s="2745" t="str">
        <f t="shared" ref="Q29" si="9">B29</f>
        <v>基础设施水平</v>
      </c>
      <c r="R29" s="1319" t="s">
        <v>65</v>
      </c>
      <c r="S29" s="1320">
        <f>F29</f>
        <v>100</v>
      </c>
      <c r="T29" s="1319" t="s">
        <v>65</v>
      </c>
      <c r="U29" s="1320">
        <f>H29</f>
        <v>100</v>
      </c>
      <c r="V29" s="1319" t="s">
        <v>65</v>
      </c>
      <c r="W29" s="1320">
        <f>J29</f>
        <v>100</v>
      </c>
      <c r="X29" s="1321"/>
      <c r="Y29" s="3718"/>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718"/>
      <c r="Q30" s="2745"/>
      <c r="R30" s="1319"/>
      <c r="S30" s="1320"/>
      <c r="T30" s="1319"/>
      <c r="U30" s="1320"/>
      <c r="V30" s="1319"/>
      <c r="W30" s="1320"/>
      <c r="X30" s="1321"/>
      <c r="Y30" s="3718"/>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718"/>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718"/>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718"/>
      <c r="Q32" s="1323" t="str">
        <f t="shared" si="8"/>
        <v>毗邻道路的类型与等级</v>
      </c>
      <c r="R32" s="1324" t="s">
        <v>65</v>
      </c>
      <c r="S32" s="1325">
        <f t="shared" si="10"/>
        <v>100</v>
      </c>
      <c r="T32" s="1324" t="s">
        <v>65</v>
      </c>
      <c r="U32" s="1325">
        <f t="shared" si="11"/>
        <v>100</v>
      </c>
      <c r="V32" s="1324" t="s">
        <v>65</v>
      </c>
      <c r="W32" s="1325">
        <f t="shared" si="12"/>
        <v>100</v>
      </c>
      <c r="X32" s="1318"/>
      <c r="Y32" s="3718"/>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718"/>
      <c r="Q33" s="1323"/>
      <c r="R33" s="1324"/>
      <c r="S33" s="1325"/>
      <c r="T33" s="1324"/>
      <c r="U33" s="1325"/>
      <c r="V33" s="1324"/>
      <c r="W33" s="1325"/>
      <c r="X33" s="1318"/>
      <c r="Y33" s="3718"/>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718"/>
      <c r="Q34" s="1323" t="str">
        <f t="shared" si="8"/>
        <v>土地级别</v>
      </c>
      <c r="R34" s="1324" t="s">
        <v>65</v>
      </c>
      <c r="S34" s="1325">
        <f t="shared" si="10"/>
        <v>100</v>
      </c>
      <c r="T34" s="1324" t="s">
        <v>65</v>
      </c>
      <c r="U34" s="1325">
        <f t="shared" si="11"/>
        <v>100</v>
      </c>
      <c r="V34" s="1324" t="s">
        <v>65</v>
      </c>
      <c r="W34" s="1325">
        <f t="shared" si="12"/>
        <v>100</v>
      </c>
      <c r="X34" s="1318"/>
      <c r="Y34" s="3718"/>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718"/>
      <c r="Q35" s="1323">
        <f t="shared" si="8"/>
        <v>111</v>
      </c>
      <c r="R35" s="1324" t="s">
        <v>65</v>
      </c>
      <c r="S35" s="1325">
        <f t="shared" si="10"/>
        <v>100</v>
      </c>
      <c r="T35" s="1324" t="s">
        <v>65</v>
      </c>
      <c r="U35" s="1325">
        <f t="shared" si="11"/>
        <v>100</v>
      </c>
      <c r="V35" s="1324" t="s">
        <v>65</v>
      </c>
      <c r="W35" s="1325">
        <f t="shared" si="12"/>
        <v>100</v>
      </c>
      <c r="X35" s="1318"/>
      <c r="Y35" s="3718"/>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719" t="s">
        <v>409</v>
      </c>
      <c r="Q36" s="1323">
        <f t="shared" si="8"/>
        <v>111</v>
      </c>
      <c r="R36" s="1324" t="s">
        <v>65</v>
      </c>
      <c r="S36" s="1325">
        <f t="shared" si="10"/>
        <v>100</v>
      </c>
      <c r="T36" s="1324" t="s">
        <v>65</v>
      </c>
      <c r="U36" s="1325">
        <f t="shared" si="11"/>
        <v>100</v>
      </c>
      <c r="V36" s="1324" t="s">
        <v>65</v>
      </c>
      <c r="W36" s="1325">
        <f t="shared" si="12"/>
        <v>100</v>
      </c>
      <c r="X36" s="1318"/>
      <c r="Y36" s="3720"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720"/>
      <c r="Q37" s="1323">
        <f t="shared" si="8"/>
        <v>111</v>
      </c>
      <c r="R37" s="1329" t="s">
        <v>65</v>
      </c>
      <c r="S37" s="1330">
        <f t="shared" si="10"/>
        <v>100</v>
      </c>
      <c r="T37" s="1329" t="s">
        <v>65</v>
      </c>
      <c r="U37" s="1330">
        <f t="shared" si="11"/>
        <v>100</v>
      </c>
      <c r="V37" s="1329" t="s">
        <v>65</v>
      </c>
      <c r="W37" s="1330">
        <f t="shared" si="12"/>
        <v>100</v>
      </c>
      <c r="X37" s="1331"/>
      <c r="Y37" s="3720"/>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720"/>
      <c r="Q38" s="1323" t="str">
        <f>B38</f>
        <v>宗地面积</v>
      </c>
      <c r="R38" s="1324" t="s">
        <v>65</v>
      </c>
      <c r="S38" s="1325" t="e">
        <f t="shared" si="10"/>
        <v>#N/A</v>
      </c>
      <c r="T38" s="1324" t="s">
        <v>65</v>
      </c>
      <c r="U38" s="1325" t="e">
        <f t="shared" si="11"/>
        <v>#N/A</v>
      </c>
      <c r="V38" s="1324" t="s">
        <v>65</v>
      </c>
      <c r="W38" s="1325" t="e">
        <f t="shared" si="12"/>
        <v>#N/A</v>
      </c>
      <c r="X38" s="1318"/>
      <c r="Y38" s="3720"/>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720"/>
      <c r="Q39" s="1323" t="str">
        <f t="shared" ref="Q39:Q45" si="14">B39</f>
        <v>宗地形状</v>
      </c>
      <c r="R39" s="1324" t="s">
        <v>65</v>
      </c>
      <c r="S39" s="1325">
        <f t="shared" si="10"/>
        <v>100</v>
      </c>
      <c r="T39" s="1324" t="s">
        <v>65</v>
      </c>
      <c r="U39" s="1325">
        <f t="shared" si="11"/>
        <v>100</v>
      </c>
      <c r="V39" s="1324" t="s">
        <v>65</v>
      </c>
      <c r="W39" s="1325">
        <f t="shared" si="12"/>
        <v>100</v>
      </c>
      <c r="X39" s="1318"/>
      <c r="Y39" s="3720"/>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720"/>
      <c r="Q40" s="1323" t="str">
        <f t="shared" si="14"/>
        <v>临街宽度及深度</v>
      </c>
      <c r="R40" s="1324" t="s">
        <v>65</v>
      </c>
      <c r="S40" s="1325">
        <f t="shared" si="10"/>
        <v>100</v>
      </c>
      <c r="T40" s="1324" t="s">
        <v>65</v>
      </c>
      <c r="U40" s="1325">
        <f t="shared" si="11"/>
        <v>100</v>
      </c>
      <c r="V40" s="1324" t="s">
        <v>65</v>
      </c>
      <c r="W40" s="1325">
        <f t="shared" si="12"/>
        <v>100</v>
      </c>
      <c r="X40" s="1318"/>
      <c r="Y40" s="3720"/>
      <c r="Z40" s="1326" t="str">
        <f t="shared" si="13"/>
        <v>临街宽度及深度</v>
      </c>
      <c r="AA40" s="1327">
        <f t="shared" si="3"/>
        <v>1</v>
      </c>
      <c r="AB40" s="1327">
        <f t="shared" si="4"/>
        <v>1</v>
      </c>
      <c r="AC40" s="1327">
        <f t="shared" si="5"/>
        <v>1</v>
      </c>
    </row>
    <row r="41" spans="1:29" s="407" customFormat="1" ht="15">
      <c r="A41" s="816"/>
      <c r="B41" s="2611" t="s">
        <v>2496</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720"/>
      <c r="Q41" s="1323" t="str">
        <f t="shared" si="14"/>
        <v>宗地开发程度</v>
      </c>
      <c r="R41" s="1319" t="s">
        <v>65</v>
      </c>
      <c r="S41" s="1320">
        <f t="shared" si="10"/>
        <v>100</v>
      </c>
      <c r="T41" s="1319" t="s">
        <v>65</v>
      </c>
      <c r="U41" s="1320">
        <f t="shared" si="11"/>
        <v>100</v>
      </c>
      <c r="V41" s="1319" t="s">
        <v>65</v>
      </c>
      <c r="W41" s="1320">
        <f t="shared" si="12"/>
        <v>100</v>
      </c>
      <c r="X41" s="1321"/>
      <c r="Y41" s="3720"/>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720" t="s">
        <v>409</v>
      </c>
      <c r="Q42" s="1323" t="str">
        <f t="shared" si="14"/>
        <v>工程地质条件</v>
      </c>
      <c r="R42" s="1324" t="s">
        <v>65</v>
      </c>
      <c r="S42" s="1325">
        <f t="shared" si="10"/>
        <v>100</v>
      </c>
      <c r="T42" s="1324" t="s">
        <v>65</v>
      </c>
      <c r="U42" s="1325">
        <f t="shared" si="11"/>
        <v>100</v>
      </c>
      <c r="V42" s="1324" t="s">
        <v>65</v>
      </c>
      <c r="W42" s="1325">
        <f t="shared" si="12"/>
        <v>100</v>
      </c>
      <c r="X42" s="1318"/>
      <c r="Y42" s="3720"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720"/>
      <c r="Q43" s="1323">
        <f t="shared" si="14"/>
        <v>111</v>
      </c>
      <c r="R43" s="1324" t="s">
        <v>65</v>
      </c>
      <c r="S43" s="1325">
        <f t="shared" si="10"/>
        <v>100</v>
      </c>
      <c r="T43" s="1324" t="s">
        <v>65</v>
      </c>
      <c r="U43" s="1325">
        <f t="shared" si="11"/>
        <v>100</v>
      </c>
      <c r="V43" s="1324" t="s">
        <v>65</v>
      </c>
      <c r="W43" s="1325">
        <f t="shared" si="12"/>
        <v>100</v>
      </c>
      <c r="X43" s="1318"/>
      <c r="Y43" s="3720"/>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720"/>
      <c r="Q44" s="1323">
        <f t="shared" si="14"/>
        <v>111</v>
      </c>
      <c r="R44" s="1324" t="s">
        <v>65</v>
      </c>
      <c r="S44" s="1325">
        <f t="shared" si="10"/>
        <v>100</v>
      </c>
      <c r="T44" s="1324" t="s">
        <v>65</v>
      </c>
      <c r="U44" s="1325">
        <f t="shared" si="11"/>
        <v>100</v>
      </c>
      <c r="V44" s="1324" t="s">
        <v>65</v>
      </c>
      <c r="W44" s="1325">
        <f t="shared" si="12"/>
        <v>100</v>
      </c>
      <c r="X44" s="1318"/>
      <c r="Y44" s="3720"/>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720"/>
      <c r="Q45" s="1323">
        <f t="shared" si="14"/>
        <v>111</v>
      </c>
      <c r="R45" s="1329" t="s">
        <v>65</v>
      </c>
      <c r="S45" s="1330">
        <f t="shared" si="10"/>
        <v>100</v>
      </c>
      <c r="T45" s="1329" t="s">
        <v>65</v>
      </c>
      <c r="U45" s="1330">
        <f t="shared" si="11"/>
        <v>100</v>
      </c>
      <c r="V45" s="1329" t="s">
        <v>65</v>
      </c>
      <c r="W45" s="1330">
        <f t="shared" si="12"/>
        <v>100</v>
      </c>
      <c r="X45" s="1331"/>
      <c r="Y45" s="3720"/>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702" t="str">
        <f>A46</f>
        <v>成交单价</v>
      </c>
      <c r="Q46" s="3702"/>
      <c r="R46" s="3715">
        <f>E46</f>
        <v>0</v>
      </c>
      <c r="S46" s="3715"/>
      <c r="T46" s="3715">
        <f>G46</f>
        <v>0</v>
      </c>
      <c r="U46" s="3715"/>
      <c r="V46" s="3715">
        <f>I46</f>
        <v>0</v>
      </c>
      <c r="W46" s="3715"/>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702" t="str">
        <f>A47</f>
        <v>比较价值（元/平方米）</v>
      </c>
      <c r="Q47" s="3702"/>
      <c r="R47" s="3725" t="e">
        <f>ROUND(PRODUCT(R46,AA7:AA45),0)</f>
        <v>#DIV/0!</v>
      </c>
      <c r="S47" s="3725"/>
      <c r="T47" s="3725" t="e">
        <f>ROUND(PRODUCT(T46,AB7:AB45),0)</f>
        <v>#DIV/0!</v>
      </c>
      <c r="U47" s="3725"/>
      <c r="V47" s="3725" t="e">
        <f>ROUND(PRODUCT(V46,AC7:AC45),0)</f>
        <v>#DIV/0!</v>
      </c>
      <c r="W47" s="372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722" t="str">
        <f>A48</f>
        <v>估价对象XX用房的比较价值（楼面单价，元/平方米）</v>
      </c>
      <c r="Q48" s="3723"/>
      <c r="R48" s="3726" t="e">
        <f>ROUND(AVERAGE(R47:V47),0)</f>
        <v>#DIV/0!</v>
      </c>
      <c r="S48" s="3726"/>
      <c r="T48" s="3726"/>
      <c r="U48" s="3726"/>
      <c r="V48" s="3726"/>
      <c r="W48" s="3726"/>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7" t="s">
        <v>1886</v>
      </c>
      <c r="D55" s="2394" t="s">
        <v>2321</v>
      </c>
      <c r="E55" s="1095" t="s">
        <v>493</v>
      </c>
      <c r="F55" s="2191" t="s">
        <v>494</v>
      </c>
      <c r="G55" s="3727" t="s">
        <v>2314</v>
      </c>
      <c r="H55" s="3728"/>
      <c r="I55" s="2192" t="s">
        <v>1885</v>
      </c>
      <c r="J55" s="2196">
        <f>项目基本情况!F35</f>
        <v>0</v>
      </c>
      <c r="K55" s="2377" t="s">
        <v>1887</v>
      </c>
      <c r="L55" s="2190"/>
      <c r="M55" s="2363"/>
      <c r="N55" s="2363"/>
      <c r="O55" s="2363"/>
    </row>
    <row r="56" spans="1:15" s="1101" customFormat="1">
      <c r="A56" s="1097" t="s">
        <v>495</v>
      </c>
      <c r="B56" s="1098" t="e">
        <f>C48</f>
        <v>#DIV/0!</v>
      </c>
      <c r="C56" s="1099">
        <v>1</v>
      </c>
      <c r="D56" s="2395">
        <v>1</v>
      </c>
      <c r="E56" s="1099">
        <f>'数据-汇总表'!E8+'数据-汇总表'!E9</f>
        <v>53370.079999999994</v>
      </c>
      <c r="F56" s="2187" t="e">
        <f t="shared" ref="F56:F65" si="15">ROUND(B56*E56/10000,0)</f>
        <v>#DIV/0!</v>
      </c>
      <c r="G56" s="3729"/>
      <c r="H56" s="3730"/>
      <c r="I56" s="2193">
        <v>1</v>
      </c>
      <c r="J56" s="2197">
        <v>1</v>
      </c>
      <c r="K56" s="2364"/>
      <c r="L56" s="1774"/>
      <c r="M56" s="1774"/>
      <c r="N56" s="1774"/>
      <c r="O56" s="1774"/>
    </row>
    <row r="57" spans="1:15" s="1101" customFormat="1">
      <c r="A57" s="1102" t="s">
        <v>496</v>
      </c>
      <c r="B57" s="594" t="e">
        <f>ROUND($C$48*C57*D57,0)</f>
        <v>#DIV/0!</v>
      </c>
      <c r="C57" s="532">
        <f t="shared" ref="C57:C65" si="16">IF($C$55="北京市系数",I57,J57)</f>
        <v>0.7</v>
      </c>
      <c r="D57" s="2396">
        <v>0.25</v>
      </c>
      <c r="E57" s="1103"/>
      <c r="F57" s="2187" t="e">
        <f t="shared" si="15"/>
        <v>#DIV/0!</v>
      </c>
      <c r="G57" s="3731" t="s">
        <v>2315</v>
      </c>
      <c r="H57" s="2188" t="str">
        <f>项目基本情况!B37</f>
        <v>四级</v>
      </c>
      <c r="I57" s="2193">
        <f>SUMIF(修正!A45:A56,H57,修正!B45:B56)</f>
        <v>0.7</v>
      </c>
      <c r="J57" s="2198"/>
      <c r="K57" s="2363"/>
      <c r="L57" s="1774"/>
      <c r="M57" s="1774"/>
      <c r="N57" s="1774"/>
      <c r="O57" s="1774"/>
    </row>
    <row r="58" spans="1:15" s="1101" customFormat="1">
      <c r="A58" s="1102" t="s">
        <v>497</v>
      </c>
      <c r="B58" s="594" t="e">
        <f t="shared" ref="B58:B65" si="17">ROUND($C$48*C58*D58,0)</f>
        <v>#DIV/0!</v>
      </c>
      <c r="C58" s="532">
        <f t="shared" si="16"/>
        <v>0.4</v>
      </c>
      <c r="D58" s="2396">
        <v>0.25</v>
      </c>
      <c r="E58" s="1103"/>
      <c r="F58" s="2187" t="e">
        <f t="shared" si="15"/>
        <v>#DIV/0!</v>
      </c>
      <c r="G58" s="3731"/>
      <c r="H58" s="2188" t="str">
        <f>项目基本情况!B37</f>
        <v>四级</v>
      </c>
      <c r="I58" s="2193">
        <f>SUMIF(修正!A45:A56,H58,修正!C45:C56)</f>
        <v>0.4</v>
      </c>
      <c r="J58" s="2198"/>
      <c r="K58" s="2364"/>
      <c r="L58" s="1774"/>
      <c r="M58" s="1774"/>
      <c r="N58" s="1774"/>
      <c r="O58" s="1774"/>
    </row>
    <row r="59" spans="1:15" s="1101" customFormat="1">
      <c r="A59" s="1102" t="s">
        <v>498</v>
      </c>
      <c r="B59" s="594" t="e">
        <f t="shared" si="17"/>
        <v>#DIV/0!</v>
      </c>
      <c r="C59" s="532">
        <f t="shared" si="16"/>
        <v>0.28000000000000003</v>
      </c>
      <c r="D59" s="2396">
        <v>0.25</v>
      </c>
      <c r="E59" s="1103"/>
      <c r="F59" s="2187" t="e">
        <f t="shared" si="15"/>
        <v>#DIV/0!</v>
      </c>
      <c r="G59" s="3731"/>
      <c r="H59" s="2188" t="str">
        <f>项目基本情况!B37</f>
        <v>四级</v>
      </c>
      <c r="I59" s="2193">
        <f>SUMIF(修正!A45:A56,H59,修正!D45:D56)</f>
        <v>0.28000000000000003</v>
      </c>
      <c r="J59" s="2198"/>
      <c r="K59" s="2363"/>
      <c r="L59" s="1774"/>
      <c r="M59" s="1774"/>
      <c r="N59" s="1774"/>
      <c r="O59" s="1774"/>
    </row>
    <row r="60" spans="1:15" s="1101" customFormat="1">
      <c r="A60" s="1102" t="s">
        <v>499</v>
      </c>
      <c r="B60" s="594" t="e">
        <f t="shared" si="17"/>
        <v>#DIV/0!</v>
      </c>
      <c r="C60" s="532">
        <f t="shared" si="16"/>
        <v>0.25</v>
      </c>
      <c r="D60" s="2396">
        <v>0.25</v>
      </c>
      <c r="E60" s="1103"/>
      <c r="F60" s="2187" t="e">
        <f t="shared" si="15"/>
        <v>#DIV/0!</v>
      </c>
      <c r="G60" s="3731"/>
      <c r="H60" s="2188" t="str">
        <f>项目基本情况!B37</f>
        <v>四级</v>
      </c>
      <c r="I60" s="2193">
        <f>SUMIF(修正!A45:A56,H60,修正!E45:E56)</f>
        <v>0.25</v>
      </c>
      <c r="J60" s="2198"/>
      <c r="K60" s="2364"/>
      <c r="L60" s="1774"/>
      <c r="M60" s="1774"/>
      <c r="N60" s="1774"/>
      <c r="O60" s="1774"/>
    </row>
    <row r="61" spans="1:15" s="1101" customFormat="1">
      <c r="A61" s="2516" t="s">
        <v>2395</v>
      </c>
      <c r="B61" s="594" t="e">
        <f t="shared" si="17"/>
        <v>#DIV/0!</v>
      </c>
      <c r="C61" s="532">
        <f t="shared" si="16"/>
        <v>0</v>
      </c>
      <c r="D61" s="2396">
        <v>0.25</v>
      </c>
      <c r="E61" s="593">
        <f>'数据-汇总表'!E11</f>
        <v>0</v>
      </c>
      <c r="F61" s="2187" t="e">
        <f t="shared" si="15"/>
        <v>#DIV/0!</v>
      </c>
      <c r="G61" s="2200" t="s">
        <v>2316</v>
      </c>
      <c r="H61" s="2188">
        <f>项目基本情况!C37</f>
        <v>0</v>
      </c>
      <c r="I61" s="2193">
        <f>SUMIF(修正!A45:A56,H61,修正!F45:F56)</f>
        <v>0</v>
      </c>
      <c r="J61" s="2198"/>
      <c r="K61" s="2363"/>
      <c r="L61" s="1774"/>
      <c r="M61" s="1774"/>
      <c r="N61" s="1774"/>
      <c r="O61" s="1774"/>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501</v>
      </c>
      <c r="B63" s="594" t="e">
        <f t="shared" si="17"/>
        <v>#DIV/0!</v>
      </c>
      <c r="C63" s="532">
        <f t="shared" si="16"/>
        <v>0</v>
      </c>
      <c r="D63" s="2396">
        <v>0.25</v>
      </c>
      <c r="E63" s="593">
        <f>'数据-汇总表'!E13</f>
        <v>25109.51</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502</v>
      </c>
      <c r="B64" s="594" t="e">
        <f t="shared" si="17"/>
        <v>#DIV/0!</v>
      </c>
      <c r="C64" s="532">
        <f t="shared" si="16"/>
        <v>0.2</v>
      </c>
      <c r="D64" s="2396">
        <v>0.25</v>
      </c>
      <c r="E64" s="593">
        <f>'数据-汇总表'!E14</f>
        <v>0</v>
      </c>
      <c r="F64" s="2187" t="e">
        <f t="shared" si="15"/>
        <v>#DIV/0!</v>
      </c>
      <c r="G64" s="2200" t="s">
        <v>2317</v>
      </c>
      <c r="H64" s="2188" t="str">
        <f>项目基本情况!B37</f>
        <v>四级</v>
      </c>
      <c r="I64" s="2193">
        <f>SUMIF(修正!A45:A56,H64,修正!H45:H56)</f>
        <v>0.2</v>
      </c>
      <c r="J64" s="2198"/>
      <c r="K64" s="2364"/>
      <c r="L64" s="1774"/>
      <c r="M64" s="1774"/>
      <c r="N64" s="1774"/>
      <c r="O64" s="1774"/>
    </row>
    <row r="65" spans="1:17" s="1101" customFormat="1" ht="15" thickBot="1">
      <c r="A65" s="1102" t="s">
        <v>503</v>
      </c>
      <c r="B65" s="594" t="e">
        <f t="shared" si="17"/>
        <v>#DIV/0!</v>
      </c>
      <c r="C65" s="532">
        <f t="shared" si="16"/>
        <v>0</v>
      </c>
      <c r="D65" s="2396">
        <v>0.25</v>
      </c>
      <c r="E65" s="593">
        <f>'数据-汇总表'!E15</f>
        <v>0</v>
      </c>
      <c r="F65" s="2187" t="e">
        <f t="shared" si="15"/>
        <v>#DIV/0!</v>
      </c>
      <c r="G65" s="2201" t="s">
        <v>2316</v>
      </c>
      <c r="H65" s="2202">
        <f>项目基本情况!C37</f>
        <v>0</v>
      </c>
      <c r="I65" s="2195">
        <f>SUMIF(修正!A45:A56,H65,修正!H45:H56)</f>
        <v>0</v>
      </c>
      <c r="J65" s="2199"/>
      <c r="K65" s="2363"/>
      <c r="L65" s="1774"/>
      <c r="M65" s="1774"/>
      <c r="N65" s="1774"/>
      <c r="O65" s="1774"/>
    </row>
    <row r="66" spans="1:17" s="1101" customFormat="1" ht="13.5" thickBot="1">
      <c r="A66" s="1104" t="s">
        <v>504</v>
      </c>
      <c r="B66" s="1105" t="s">
        <v>156</v>
      </c>
      <c r="C66" s="1105" t="s">
        <v>157</v>
      </c>
      <c r="D66" s="1105" t="s">
        <v>2322</v>
      </c>
      <c r="E66" s="1105">
        <f>IF(B46="楼面地价",SUM(E56:E65),'数据-汇总表'!D3)</f>
        <v>78479.59</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2786</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"北京市平均增长率"&amp;TEXT(SUMIF('基准地价修正（1）'!N21:N25,A71,'基准地价修正（1）'!P21:P25),"0.00%")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2664</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2651</v>
      </c>
      <c r="C102" s="213" t="s">
        <v>2652</v>
      </c>
      <c r="D102" s="213" t="s">
        <v>2653</v>
      </c>
      <c r="E102" s="213" t="s">
        <v>2654</v>
      </c>
      <c r="F102" s="213" t="s">
        <v>2655</v>
      </c>
      <c r="G102" s="213" t="s">
        <v>2656</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2495</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2881</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703" t="s">
        <v>391</v>
      </c>
      <c r="D4" s="3704"/>
      <c r="E4" s="3705" t="s">
        <v>392</v>
      </c>
      <c r="F4" s="3706"/>
      <c r="G4" s="3703" t="s">
        <v>393</v>
      </c>
      <c r="H4" s="3704"/>
      <c r="I4" s="3703" t="s">
        <v>394</v>
      </c>
      <c r="J4" s="3704"/>
      <c r="K4" s="953" t="s">
        <v>395</v>
      </c>
      <c r="L4" s="2349"/>
      <c r="M4" s="2350"/>
      <c r="N4" s="2350"/>
      <c r="O4" s="2350"/>
      <c r="P4" s="3707" t="s">
        <v>396</v>
      </c>
      <c r="Q4" s="3708"/>
      <c r="R4" s="3690" t="s">
        <v>392</v>
      </c>
      <c r="S4" s="3691"/>
      <c r="T4" s="3690" t="s">
        <v>393</v>
      </c>
      <c r="U4" s="3691"/>
      <c r="V4" s="3715" t="s">
        <v>394</v>
      </c>
      <c r="W4" s="3715"/>
      <c r="X4" s="1318"/>
      <c r="Y4" s="3690" t="s">
        <v>396</v>
      </c>
      <c r="Z4" s="3691"/>
      <c r="AA4" s="3685" t="s">
        <v>392</v>
      </c>
      <c r="AB4" s="3686" t="s">
        <v>393</v>
      </c>
      <c r="AC4" s="3685" t="s">
        <v>394</v>
      </c>
    </row>
    <row r="5" spans="1:29" ht="15">
      <c r="A5" s="747"/>
      <c r="B5" s="748"/>
      <c r="C5" s="3634" t="s">
        <v>1125</v>
      </c>
      <c r="D5" s="3635"/>
      <c r="E5" s="3632" t="s">
        <v>1126</v>
      </c>
      <c r="F5" s="3633"/>
      <c r="G5" s="3634" t="s">
        <v>1129</v>
      </c>
      <c r="H5" s="3635"/>
      <c r="I5" s="3634" t="s">
        <v>1127</v>
      </c>
      <c r="J5" s="3635"/>
      <c r="K5" s="953"/>
      <c r="L5" s="2349"/>
      <c r="M5" s="2350"/>
      <c r="N5" s="2350"/>
      <c r="O5" s="2350"/>
      <c r="P5" s="3709"/>
      <c r="Q5" s="3710"/>
      <c r="R5" s="3692"/>
      <c r="S5" s="3693"/>
      <c r="T5" s="3692"/>
      <c r="U5" s="3693"/>
      <c r="V5" s="3715"/>
      <c r="W5" s="3715"/>
      <c r="X5" s="1318"/>
      <c r="Y5" s="3692"/>
      <c r="Z5" s="3693"/>
      <c r="AA5" s="3686"/>
      <c r="AB5" s="3686"/>
      <c r="AC5" s="3686"/>
    </row>
    <row r="6" spans="1:29" ht="15.75" thickBot="1">
      <c r="A6" s="749"/>
      <c r="B6" s="750"/>
      <c r="C6" s="3732" t="s">
        <v>1128</v>
      </c>
      <c r="D6" s="3733"/>
      <c r="E6" s="3734" t="s">
        <v>1128</v>
      </c>
      <c r="F6" s="3735"/>
      <c r="G6" s="3732" t="s">
        <v>1128</v>
      </c>
      <c r="H6" s="3733"/>
      <c r="I6" s="3732" t="s">
        <v>1128</v>
      </c>
      <c r="J6" s="3733"/>
      <c r="K6" s="953" t="s">
        <v>397</v>
      </c>
      <c r="L6" s="2349"/>
      <c r="M6" s="2350"/>
      <c r="N6" s="2350"/>
      <c r="O6" s="2350"/>
      <c r="P6" s="3711"/>
      <c r="Q6" s="3712"/>
      <c r="R6" s="3692"/>
      <c r="S6" s="3693"/>
      <c r="T6" s="3713"/>
      <c r="U6" s="3714"/>
      <c r="V6" s="3715"/>
      <c r="W6" s="3715"/>
      <c r="X6" s="1318"/>
      <c r="Y6" s="3713"/>
      <c r="Z6" s="3714"/>
      <c r="AA6" s="3687"/>
      <c r="AB6" s="3687"/>
      <c r="AC6" s="3687"/>
    </row>
    <row r="7" spans="1:29" s="407" customFormat="1" ht="15.75" thickBot="1">
      <c r="A7" s="751" t="s">
        <v>398</v>
      </c>
      <c r="B7" s="752"/>
      <c r="C7" s="753">
        <f>'数据-取费表'!B2</f>
        <v>42964</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88" t="s">
        <v>399</v>
      </c>
      <c r="Q7" s="3716"/>
      <c r="R7" s="1319" t="s">
        <v>65</v>
      </c>
      <c r="S7" s="1320">
        <f t="shared" ref="S7:S15" si="0">F7</f>
        <v>0</v>
      </c>
      <c r="T7" s="1319" t="s">
        <v>65</v>
      </c>
      <c r="U7" s="1320">
        <f t="shared" ref="U7:U15" si="1">H7</f>
        <v>0</v>
      </c>
      <c r="V7" s="1319" t="s">
        <v>65</v>
      </c>
      <c r="W7" s="1320">
        <f t="shared" ref="W7:W15" si="2">J7</f>
        <v>0</v>
      </c>
      <c r="X7" s="1321"/>
      <c r="Y7" s="3688" t="s">
        <v>399</v>
      </c>
      <c r="Z7" s="368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702" t="s">
        <v>402</v>
      </c>
      <c r="Q9" s="296" t="str">
        <f t="shared" ref="Q9:Q15" si="6">B9</f>
        <v>用途</v>
      </c>
      <c r="R9" s="1319" t="s">
        <v>65</v>
      </c>
      <c r="S9" s="1320">
        <f t="shared" si="0"/>
        <v>100</v>
      </c>
      <c r="T9" s="1319" t="s">
        <v>65</v>
      </c>
      <c r="U9" s="1320">
        <f t="shared" si="1"/>
        <v>100</v>
      </c>
      <c r="V9" s="1319" t="s">
        <v>65</v>
      </c>
      <c r="W9" s="1320">
        <f t="shared" si="2"/>
        <v>100</v>
      </c>
      <c r="X9" s="1321"/>
      <c r="Y9" s="3551"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702"/>
      <c r="Q10" s="296" t="str">
        <f t="shared" si="6"/>
        <v>土地使用年限（年）</v>
      </c>
      <c r="R10" s="1319" t="s">
        <v>65</v>
      </c>
      <c r="S10" s="1320">
        <f t="shared" si="0"/>
        <v>116</v>
      </c>
      <c r="T10" s="1319" t="s">
        <v>65</v>
      </c>
      <c r="U10" s="1320">
        <f t="shared" si="1"/>
        <v>116</v>
      </c>
      <c r="V10" s="1319" t="s">
        <v>65</v>
      </c>
      <c r="W10" s="1320">
        <f t="shared" si="2"/>
        <v>116</v>
      </c>
      <c r="X10" s="1321"/>
      <c r="Y10" s="3551"/>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702"/>
      <c r="Q11" s="296" t="str">
        <f t="shared" si="6"/>
        <v>容积率</v>
      </c>
      <c r="R11" s="1319" t="s">
        <v>65</v>
      </c>
      <c r="S11" s="1320" t="e">
        <f t="shared" si="0"/>
        <v>#N/A</v>
      </c>
      <c r="T11" s="1319" t="s">
        <v>65</v>
      </c>
      <c r="U11" s="1320" t="e">
        <f t="shared" si="1"/>
        <v>#N/A</v>
      </c>
      <c r="V11" s="1319" t="s">
        <v>65</v>
      </c>
      <c r="W11" s="1320" t="e">
        <f t="shared" si="2"/>
        <v>#N/A</v>
      </c>
      <c r="X11" s="1321"/>
      <c r="Y11" s="3551"/>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702"/>
      <c r="Q12" s="296">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702"/>
      <c r="Q14" s="296">
        <f t="shared" si="6"/>
        <v>111</v>
      </c>
      <c r="R14" s="1319" t="s">
        <v>65</v>
      </c>
      <c r="S14" s="1320">
        <f t="shared" si="0"/>
        <v>100</v>
      </c>
      <c r="T14" s="1319" t="s">
        <v>65</v>
      </c>
      <c r="U14" s="1320">
        <f t="shared" si="1"/>
        <v>100</v>
      </c>
      <c r="V14" s="1319" t="s">
        <v>65</v>
      </c>
      <c r="W14" s="1320">
        <f t="shared" si="2"/>
        <v>100</v>
      </c>
      <c r="X14" s="1321"/>
      <c r="Y14" s="3551"/>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717" t="s">
        <v>407</v>
      </c>
      <c r="Q15" s="1323" t="str">
        <f t="shared" si="6"/>
        <v>产业集聚程度</v>
      </c>
      <c r="R15" s="1324" t="s">
        <v>65</v>
      </c>
      <c r="S15" s="1325">
        <f t="shared" si="0"/>
        <v>100</v>
      </c>
      <c r="T15" s="1324" t="s">
        <v>65</v>
      </c>
      <c r="U15" s="1325">
        <f t="shared" si="1"/>
        <v>100</v>
      </c>
      <c r="V15" s="1324" t="s">
        <v>65</v>
      </c>
      <c r="W15" s="1325">
        <f t="shared" si="2"/>
        <v>100</v>
      </c>
      <c r="X15" s="1318"/>
      <c r="Y15" s="3717"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718"/>
      <c r="Q16" s="1323"/>
      <c r="R16" s="1324"/>
      <c r="S16" s="1325"/>
      <c r="T16" s="1324"/>
      <c r="U16" s="1325"/>
      <c r="V16" s="1324"/>
      <c r="W16" s="1325"/>
      <c r="X16" s="1318"/>
      <c r="Y16" s="3718"/>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718"/>
      <c r="Q17" s="1323" t="str">
        <f>B17</f>
        <v>交通便捷度</v>
      </c>
      <c r="R17" s="1324" t="s">
        <v>65</v>
      </c>
      <c r="S17" s="1325">
        <f>F17</f>
        <v>100</v>
      </c>
      <c r="T17" s="1324" t="s">
        <v>65</v>
      </c>
      <c r="U17" s="1325">
        <f>H17</f>
        <v>100</v>
      </c>
      <c r="V17" s="1324" t="s">
        <v>65</v>
      </c>
      <c r="W17" s="1325">
        <f>J17</f>
        <v>100</v>
      </c>
      <c r="X17" s="1318"/>
      <c r="Y17" s="3718"/>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718"/>
      <c r="Q18" s="1323"/>
      <c r="R18" s="1324"/>
      <c r="S18" s="1325"/>
      <c r="T18" s="1324"/>
      <c r="U18" s="1325"/>
      <c r="V18" s="1324"/>
      <c r="W18" s="1325"/>
      <c r="X18" s="1318"/>
      <c r="Y18" s="3718"/>
      <c r="Z18" s="1326"/>
      <c r="AA18" s="1327">
        <v>1</v>
      </c>
      <c r="AB18" s="1327">
        <v>1</v>
      </c>
      <c r="AC18" s="1327">
        <v>1</v>
      </c>
    </row>
    <row r="19" spans="1:29" ht="27">
      <c r="A19" s="771"/>
      <c r="B19" s="974" t="s">
        <v>1847</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718"/>
      <c r="Q19" s="1323" t="str">
        <f t="shared" ref="Q19:Q33" si="8">B19</f>
        <v>区域土地利用方向</v>
      </c>
      <c r="R19" s="1324" t="s">
        <v>65</v>
      </c>
      <c r="S19" s="1325">
        <f>F19</f>
        <v>100</v>
      </c>
      <c r="T19" s="1324" t="s">
        <v>65</v>
      </c>
      <c r="U19" s="1325">
        <f>H19</f>
        <v>100</v>
      </c>
      <c r="V19" s="1324" t="s">
        <v>65</v>
      </c>
      <c r="W19" s="1325">
        <f>J19</f>
        <v>100</v>
      </c>
      <c r="X19" s="1318"/>
      <c r="Y19" s="3718"/>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718"/>
      <c r="Q20" s="1470"/>
      <c r="R20" s="1324"/>
      <c r="S20" s="1325"/>
      <c r="T20" s="1324"/>
      <c r="U20" s="1325"/>
      <c r="V20" s="1324"/>
      <c r="W20" s="1325"/>
      <c r="X20" s="1469"/>
      <c r="Y20" s="3718"/>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718"/>
      <c r="Q21" s="1323" t="str">
        <f t="shared" si="8"/>
        <v>环境状况</v>
      </c>
      <c r="R21" s="1324" t="s">
        <v>65</v>
      </c>
      <c r="S21" s="1325">
        <f>F21</f>
        <v>100</v>
      </c>
      <c r="T21" s="1324" t="s">
        <v>65</v>
      </c>
      <c r="U21" s="1325">
        <f>H21</f>
        <v>100</v>
      </c>
      <c r="V21" s="1324" t="s">
        <v>65</v>
      </c>
      <c r="W21" s="1325">
        <f>J21</f>
        <v>100</v>
      </c>
      <c r="X21" s="1318"/>
      <c r="Y21" s="3718"/>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718"/>
      <c r="Q22" s="1323"/>
      <c r="R22" s="1324"/>
      <c r="S22" s="1325"/>
      <c r="T22" s="1324"/>
      <c r="U22" s="1325"/>
      <c r="V22" s="1324"/>
      <c r="W22" s="1325"/>
      <c r="X22" s="1318"/>
      <c r="Y22" s="3718"/>
      <c r="Z22" s="1326"/>
      <c r="AA22" s="1327">
        <v>1</v>
      </c>
      <c r="AB22" s="1327">
        <v>1</v>
      </c>
      <c r="AC22" s="1327">
        <v>1</v>
      </c>
    </row>
    <row r="23" spans="1:29" s="407" customFormat="1" ht="40.5">
      <c r="A23" s="992"/>
      <c r="B23" s="1036" t="s">
        <v>2664</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718"/>
      <c r="Q23" s="296" t="str">
        <f t="shared" si="8"/>
        <v>公共配套设施</v>
      </c>
      <c r="R23" s="1319" t="s">
        <v>65</v>
      </c>
      <c r="S23" s="1320">
        <f>F23</f>
        <v>100</v>
      </c>
      <c r="T23" s="1319" t="s">
        <v>65</v>
      </c>
      <c r="U23" s="1320">
        <f>H23</f>
        <v>100</v>
      </c>
      <c r="V23" s="1319" t="s">
        <v>65</v>
      </c>
      <c r="W23" s="1320">
        <f>J23</f>
        <v>100</v>
      </c>
      <c r="X23" s="1321"/>
      <c r="Y23" s="3718"/>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718"/>
      <c r="Q24" s="296"/>
      <c r="R24" s="1319"/>
      <c r="S24" s="1320"/>
      <c r="T24" s="1319"/>
      <c r="U24" s="1320"/>
      <c r="V24" s="1319"/>
      <c r="W24" s="1320"/>
      <c r="X24" s="1321"/>
      <c r="Y24" s="3718"/>
      <c r="Z24" s="344"/>
      <c r="AA24" s="1322">
        <v>1</v>
      </c>
      <c r="AB24" s="1322">
        <v>1</v>
      </c>
      <c r="AC24" s="1322">
        <v>1</v>
      </c>
    </row>
    <row r="25" spans="1:29" s="407" customFormat="1" ht="40.5">
      <c r="A25" s="992"/>
      <c r="B25" s="1036" t="s">
        <v>2665</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718"/>
      <c r="Q25" s="2745" t="str">
        <f t="shared" ref="Q25" si="9">B25</f>
        <v>基础设施水平</v>
      </c>
      <c r="R25" s="1319" t="s">
        <v>65</v>
      </c>
      <c r="S25" s="1320">
        <f>F25</f>
        <v>100</v>
      </c>
      <c r="T25" s="1319" t="s">
        <v>65</v>
      </c>
      <c r="U25" s="1320">
        <f>H25</f>
        <v>100</v>
      </c>
      <c r="V25" s="1319" t="s">
        <v>65</v>
      </c>
      <c r="W25" s="1320">
        <f>J25</f>
        <v>100</v>
      </c>
      <c r="X25" s="1321"/>
      <c r="Y25" s="3718"/>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718"/>
      <c r="Q26" s="2745"/>
      <c r="R26" s="1319"/>
      <c r="S26" s="1320"/>
      <c r="T26" s="1319"/>
      <c r="U26" s="1320"/>
      <c r="V26" s="1319"/>
      <c r="W26" s="1320"/>
      <c r="X26" s="1321"/>
      <c r="Y26" s="3718"/>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718"/>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718"/>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718"/>
      <c r="Q28" s="1323" t="str">
        <f t="shared" si="8"/>
        <v>毗邻道路的类型与等级</v>
      </c>
      <c r="R28" s="1324" t="s">
        <v>65</v>
      </c>
      <c r="S28" s="1325">
        <f t="shared" si="10"/>
        <v>100</v>
      </c>
      <c r="T28" s="1324" t="s">
        <v>65</v>
      </c>
      <c r="U28" s="1325">
        <f t="shared" si="11"/>
        <v>100</v>
      </c>
      <c r="V28" s="1324" t="s">
        <v>65</v>
      </c>
      <c r="W28" s="1325">
        <f t="shared" si="12"/>
        <v>100</v>
      </c>
      <c r="X28" s="1318"/>
      <c r="Y28" s="3718"/>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718"/>
      <c r="Q29" s="1323"/>
      <c r="R29" s="1324"/>
      <c r="S29" s="1325"/>
      <c r="T29" s="1324"/>
      <c r="U29" s="1325"/>
      <c r="V29" s="1324"/>
      <c r="W29" s="1325"/>
      <c r="X29" s="1318"/>
      <c r="Y29" s="3718"/>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718"/>
      <c r="Q30" s="1323" t="str">
        <f t="shared" si="8"/>
        <v>土地级别</v>
      </c>
      <c r="R30" s="1324" t="s">
        <v>65</v>
      </c>
      <c r="S30" s="1325">
        <f t="shared" si="10"/>
        <v>100</v>
      </c>
      <c r="T30" s="1324" t="s">
        <v>65</v>
      </c>
      <c r="U30" s="1325">
        <f t="shared" si="11"/>
        <v>100</v>
      </c>
      <c r="V30" s="1324" t="s">
        <v>65</v>
      </c>
      <c r="W30" s="1325">
        <f t="shared" si="12"/>
        <v>100</v>
      </c>
      <c r="X30" s="1318"/>
      <c r="Y30" s="3718"/>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718"/>
      <c r="Q31" s="1323">
        <f t="shared" si="8"/>
        <v>111</v>
      </c>
      <c r="R31" s="1324" t="s">
        <v>65</v>
      </c>
      <c r="S31" s="1325">
        <f t="shared" si="10"/>
        <v>100</v>
      </c>
      <c r="T31" s="1324" t="s">
        <v>65</v>
      </c>
      <c r="U31" s="1325">
        <f t="shared" si="11"/>
        <v>100</v>
      </c>
      <c r="V31" s="1324" t="s">
        <v>65</v>
      </c>
      <c r="W31" s="1325">
        <f t="shared" si="12"/>
        <v>100</v>
      </c>
      <c r="X31" s="1318"/>
      <c r="Y31" s="3718"/>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719" t="s">
        <v>409</v>
      </c>
      <c r="Q32" s="1323">
        <f t="shared" si="8"/>
        <v>111</v>
      </c>
      <c r="R32" s="1324" t="s">
        <v>65</v>
      </c>
      <c r="S32" s="1325">
        <f t="shared" si="10"/>
        <v>100</v>
      </c>
      <c r="T32" s="1324" t="s">
        <v>65</v>
      </c>
      <c r="U32" s="1325">
        <f t="shared" si="11"/>
        <v>100</v>
      </c>
      <c r="V32" s="1324" t="s">
        <v>65</v>
      </c>
      <c r="W32" s="1325">
        <f t="shared" si="12"/>
        <v>100</v>
      </c>
      <c r="X32" s="1318"/>
      <c r="Y32" s="3720" t="s">
        <v>409</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720"/>
      <c r="Q33" s="1323">
        <f t="shared" si="8"/>
        <v>111</v>
      </c>
      <c r="R33" s="1329" t="s">
        <v>65</v>
      </c>
      <c r="S33" s="1330">
        <f t="shared" si="10"/>
        <v>100</v>
      </c>
      <c r="T33" s="1329" t="s">
        <v>65</v>
      </c>
      <c r="U33" s="1330">
        <f t="shared" si="11"/>
        <v>100</v>
      </c>
      <c r="V33" s="1329" t="s">
        <v>65</v>
      </c>
      <c r="W33" s="1330">
        <f t="shared" si="12"/>
        <v>100</v>
      </c>
      <c r="X33" s="1331"/>
      <c r="Y33" s="3720"/>
      <c r="Z33" s="1332">
        <f t="shared" si="13"/>
        <v>111</v>
      </c>
      <c r="AA33" s="1327">
        <f t="shared" si="3"/>
        <v>1</v>
      </c>
      <c r="AB33" s="1327">
        <f t="shared" si="4"/>
        <v>1</v>
      </c>
      <c r="AC33" s="1327">
        <f t="shared" si="5"/>
        <v>1</v>
      </c>
    </row>
    <row r="34" spans="1:29" ht="15">
      <c r="A34" s="783" t="s">
        <v>2789</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720"/>
      <c r="Q34" s="1323" t="str">
        <f>B34</f>
        <v>宗地面积</v>
      </c>
      <c r="R34" s="1324" t="s">
        <v>65</v>
      </c>
      <c r="S34" s="1325" t="e">
        <f t="shared" si="10"/>
        <v>#N/A</v>
      </c>
      <c r="T34" s="1324" t="s">
        <v>65</v>
      </c>
      <c r="U34" s="1325" t="e">
        <f t="shared" si="11"/>
        <v>#N/A</v>
      </c>
      <c r="V34" s="1324" t="s">
        <v>65</v>
      </c>
      <c r="W34" s="1325" t="e">
        <f t="shared" si="12"/>
        <v>#N/A</v>
      </c>
      <c r="X34" s="1318"/>
      <c r="Y34" s="3720"/>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720"/>
      <c r="Q35" s="1323" t="str">
        <f t="shared" ref="Q35:Q40" si="14">B35</f>
        <v>宗地形状</v>
      </c>
      <c r="R35" s="1324" t="s">
        <v>65</v>
      </c>
      <c r="S35" s="1325">
        <f t="shared" si="10"/>
        <v>100</v>
      </c>
      <c r="T35" s="1324" t="s">
        <v>65</v>
      </c>
      <c r="U35" s="1325">
        <f t="shared" si="11"/>
        <v>100</v>
      </c>
      <c r="V35" s="1324" t="s">
        <v>65</v>
      </c>
      <c r="W35" s="1325">
        <f t="shared" si="12"/>
        <v>100</v>
      </c>
      <c r="X35" s="1318"/>
      <c r="Y35" s="3720"/>
      <c r="Z35" s="1326" t="str">
        <f t="shared" si="13"/>
        <v>宗地形状</v>
      </c>
      <c r="AA35" s="1327">
        <f t="shared" si="3"/>
        <v>1</v>
      </c>
      <c r="AB35" s="1327">
        <f t="shared" si="4"/>
        <v>1</v>
      </c>
      <c r="AC35" s="1327">
        <f t="shared" si="5"/>
        <v>1</v>
      </c>
    </row>
    <row r="36" spans="1:29" s="407" customFormat="1" ht="15">
      <c r="A36" s="816"/>
      <c r="B36" s="2611" t="s">
        <v>2497</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720"/>
      <c r="Q36" s="1323" t="str">
        <f t="shared" si="14"/>
        <v>宗地开发程度</v>
      </c>
      <c r="R36" s="1319" t="s">
        <v>65</v>
      </c>
      <c r="S36" s="1320">
        <f t="shared" si="10"/>
        <v>100</v>
      </c>
      <c r="T36" s="1319" t="s">
        <v>65</v>
      </c>
      <c r="U36" s="1320">
        <f t="shared" si="11"/>
        <v>100</v>
      </c>
      <c r="V36" s="1319" t="s">
        <v>65</v>
      </c>
      <c r="W36" s="1320">
        <f t="shared" si="12"/>
        <v>100</v>
      </c>
      <c r="X36" s="1321"/>
      <c r="Y36" s="3720"/>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720" t="s">
        <v>520</v>
      </c>
      <c r="Q37" s="1323" t="str">
        <f t="shared" si="14"/>
        <v>工程地质条件</v>
      </c>
      <c r="R37" s="1324" t="s">
        <v>65</v>
      </c>
      <c r="S37" s="1325">
        <f t="shared" si="10"/>
        <v>100</v>
      </c>
      <c r="T37" s="1324" t="s">
        <v>65</v>
      </c>
      <c r="U37" s="1325">
        <f t="shared" si="11"/>
        <v>100</v>
      </c>
      <c r="V37" s="1324" t="s">
        <v>65</v>
      </c>
      <c r="W37" s="1325">
        <f t="shared" si="12"/>
        <v>100</v>
      </c>
      <c r="X37" s="1318"/>
      <c r="Y37" s="3720"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720"/>
      <c r="Q38" s="1323">
        <f t="shared" si="14"/>
        <v>111</v>
      </c>
      <c r="R38" s="1324" t="s">
        <v>65</v>
      </c>
      <c r="S38" s="1325">
        <f t="shared" si="10"/>
        <v>100</v>
      </c>
      <c r="T38" s="1324" t="s">
        <v>65</v>
      </c>
      <c r="U38" s="1325">
        <f t="shared" si="11"/>
        <v>100</v>
      </c>
      <c r="V38" s="1324" t="s">
        <v>65</v>
      </c>
      <c r="W38" s="1325">
        <f t="shared" si="12"/>
        <v>100</v>
      </c>
      <c r="X38" s="1318"/>
      <c r="Y38" s="3720"/>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720"/>
      <c r="Q39" s="1323">
        <f t="shared" si="14"/>
        <v>111</v>
      </c>
      <c r="R39" s="1324" t="s">
        <v>65</v>
      </c>
      <c r="S39" s="1325">
        <f t="shared" si="10"/>
        <v>100</v>
      </c>
      <c r="T39" s="1324" t="s">
        <v>65</v>
      </c>
      <c r="U39" s="1325">
        <f t="shared" si="11"/>
        <v>100</v>
      </c>
      <c r="V39" s="1324" t="s">
        <v>65</v>
      </c>
      <c r="W39" s="1325">
        <f t="shared" si="12"/>
        <v>100</v>
      </c>
      <c r="X39" s="1318"/>
      <c r="Y39" s="3720"/>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720"/>
      <c r="Q40" s="1323">
        <f t="shared" si="14"/>
        <v>111</v>
      </c>
      <c r="R40" s="1329" t="s">
        <v>65</v>
      </c>
      <c r="S40" s="1330">
        <f t="shared" si="10"/>
        <v>100</v>
      </c>
      <c r="T40" s="1329" t="s">
        <v>65</v>
      </c>
      <c r="U40" s="1330">
        <f t="shared" si="11"/>
        <v>100</v>
      </c>
      <c r="V40" s="1329" t="s">
        <v>65</v>
      </c>
      <c r="W40" s="1330">
        <f t="shared" si="12"/>
        <v>100</v>
      </c>
      <c r="X40" s="1331"/>
      <c r="Y40" s="3720"/>
      <c r="Z40" s="1332">
        <f t="shared" si="13"/>
        <v>111</v>
      </c>
      <c r="AA40" s="1327">
        <f t="shared" si="3"/>
        <v>1</v>
      </c>
      <c r="AB40" s="1327">
        <f t="shared" si="4"/>
        <v>1</v>
      </c>
      <c r="AC40" s="1327">
        <f t="shared" si="5"/>
        <v>1</v>
      </c>
    </row>
    <row r="41" spans="1:29" ht="15">
      <c r="A41" s="822" t="s">
        <v>490</v>
      </c>
      <c r="B41" s="207" t="s">
        <v>3018</v>
      </c>
      <c r="C41" s="1091" t="s">
        <v>23</v>
      </c>
      <c r="D41" s="824"/>
      <c r="E41" s="825"/>
      <c r="F41" s="826"/>
      <c r="G41" s="827"/>
      <c r="H41" s="828"/>
      <c r="I41" s="825"/>
      <c r="J41" s="828"/>
      <c r="K41" s="1400"/>
      <c r="L41" s="2362"/>
      <c r="M41" s="2350"/>
      <c r="N41" s="2350"/>
      <c r="O41" s="2363"/>
      <c r="P41" s="3702" t="str">
        <f>A41</f>
        <v>成交单价</v>
      </c>
      <c r="Q41" s="3702"/>
      <c r="R41" s="3715">
        <f>E41</f>
        <v>0</v>
      </c>
      <c r="S41" s="3715"/>
      <c r="T41" s="3715">
        <f>G41</f>
        <v>0</v>
      </c>
      <c r="U41" s="3715"/>
      <c r="V41" s="3715">
        <f>I41</f>
        <v>0</v>
      </c>
      <c r="W41" s="3715"/>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702" t="str">
        <f>A42</f>
        <v>比较价值（元/平方米）</v>
      </c>
      <c r="Q42" s="3702"/>
      <c r="R42" s="3725" t="e">
        <f>ROUND(PRODUCT(R41,AA7:AA40),0)</f>
        <v>#DIV/0!</v>
      </c>
      <c r="S42" s="3725"/>
      <c r="T42" s="3725" t="e">
        <f>ROUND(PRODUCT(T41,AB7:AB40),0)</f>
        <v>#DIV/0!</v>
      </c>
      <c r="U42" s="3725"/>
      <c r="V42" s="3725" t="e">
        <f>ROUND(PRODUCT(V41,AC7:AC40),0)</f>
        <v>#DIV/0!</v>
      </c>
      <c r="W42" s="3725"/>
      <c r="X42" s="1307"/>
      <c r="Y42" s="1307"/>
      <c r="Z42" s="1307"/>
      <c r="AA42" s="1307"/>
      <c r="AB42" s="1307"/>
      <c r="AC42" s="1307"/>
    </row>
    <row r="43" spans="1:29" ht="15.75" thickBot="1">
      <c r="A43" s="115" t="s">
        <v>3011</v>
      </c>
      <c r="B43" s="836"/>
      <c r="C43" s="837" t="e">
        <f>R43</f>
        <v>#DIV/0!</v>
      </c>
      <c r="D43" s="837"/>
      <c r="E43" s="837"/>
      <c r="F43" s="837"/>
      <c r="G43" s="837"/>
      <c r="H43" s="837"/>
      <c r="I43" s="837"/>
      <c r="J43" s="837"/>
      <c r="K43" s="1402"/>
      <c r="L43" s="2362"/>
      <c r="M43" s="2350"/>
      <c r="N43" s="2350"/>
      <c r="O43" s="2363"/>
      <c r="P43" s="3722" t="str">
        <f>A43</f>
        <v>估价对象XX用房的比较价值（楼面单价，元/平方米）</v>
      </c>
      <c r="Q43" s="3723"/>
      <c r="R43" s="3726" t="e">
        <f>ROUND(AVERAGE(R42:V42),0)</f>
        <v>#DIV/0!</v>
      </c>
      <c r="S43" s="3726"/>
      <c r="T43" s="3726"/>
      <c r="U43" s="3726"/>
      <c r="V43" s="3726"/>
      <c r="W43" s="3726"/>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7" t="s">
        <v>1886</v>
      </c>
      <c r="D50" s="2394" t="s">
        <v>2321</v>
      </c>
      <c r="E50" s="1095" t="s">
        <v>493</v>
      </c>
      <c r="F50" s="1096" t="s">
        <v>494</v>
      </c>
      <c r="G50" s="3727" t="s">
        <v>2314</v>
      </c>
      <c r="H50" s="3728"/>
      <c r="I50" s="2184" t="s">
        <v>1885</v>
      </c>
      <c r="J50" s="1767">
        <f>项目基本情况!F35</f>
        <v>0</v>
      </c>
      <c r="K50" s="2377" t="s">
        <v>1887</v>
      </c>
      <c r="L50" s="2190"/>
      <c r="M50" s="2363"/>
      <c r="N50" s="2363"/>
      <c r="O50" s="2363"/>
    </row>
    <row r="51" spans="1:17" s="1101" customFormat="1">
      <c r="A51" s="1097" t="s">
        <v>495</v>
      </c>
      <c r="B51" s="1098" t="e">
        <f>C43</f>
        <v>#DIV/0!</v>
      </c>
      <c r="C51" s="1099">
        <v>1</v>
      </c>
      <c r="D51" s="2395">
        <v>1</v>
      </c>
      <c r="E51" s="1099">
        <f>'数据-汇总表'!E8+'数据-汇总表'!E9</f>
        <v>53370.079999999994</v>
      </c>
      <c r="F51" s="1100" t="e">
        <f t="shared" ref="F51:F60" si="15">ROUND(B51*E51/10000,0)</f>
        <v>#DIV/0!</v>
      </c>
      <c r="G51" s="3729"/>
      <c r="H51" s="3730"/>
      <c r="I51" s="1775">
        <v>1</v>
      </c>
      <c r="J51" s="1775">
        <v>1</v>
      </c>
      <c r="K51" s="2364"/>
      <c r="L51" s="1774"/>
      <c r="M51" s="1774"/>
      <c r="N51" s="1774"/>
      <c r="O51" s="1774"/>
    </row>
    <row r="52" spans="1:17" s="1101" customFormat="1">
      <c r="A52" s="1102" t="s">
        <v>496</v>
      </c>
      <c r="B52" s="594" t="e">
        <f>ROUND($C$43*C52*D52,0)</f>
        <v>#DIV/0!</v>
      </c>
      <c r="C52" s="532">
        <f t="shared" ref="C52:C60" si="16">IF($C$50="北京市系数",I52,J52)</f>
        <v>0.7</v>
      </c>
      <c r="D52" s="2396">
        <v>0.25</v>
      </c>
      <c r="E52" s="1103"/>
      <c r="F52" s="1100" t="e">
        <f t="shared" si="15"/>
        <v>#DIV/0!</v>
      </c>
      <c r="G52" s="3731" t="s">
        <v>2315</v>
      </c>
      <c r="H52" s="2188" t="str">
        <f>项目基本情况!B37</f>
        <v>四级</v>
      </c>
      <c r="I52" s="1775">
        <f>SUMIF(修正!A45:A56,H52,修正!B45:B56)</f>
        <v>0.7</v>
      </c>
      <c r="J52" s="1776"/>
      <c r="K52" s="2363"/>
      <c r="L52" s="1774"/>
      <c r="M52" s="1774"/>
      <c r="N52" s="1774"/>
      <c r="O52" s="1774"/>
    </row>
    <row r="53" spans="1:17" s="1101" customFormat="1">
      <c r="A53" s="1102" t="s">
        <v>497</v>
      </c>
      <c r="B53" s="594" t="e">
        <f t="shared" ref="B53:B60" si="17">ROUND($C$43*C53*D53,0)</f>
        <v>#DIV/0!</v>
      </c>
      <c r="C53" s="532">
        <f t="shared" si="16"/>
        <v>0.4</v>
      </c>
      <c r="D53" s="2396">
        <v>0.25</v>
      </c>
      <c r="E53" s="1103"/>
      <c r="F53" s="1100" t="e">
        <f t="shared" si="15"/>
        <v>#DIV/0!</v>
      </c>
      <c r="G53" s="3731"/>
      <c r="H53" s="2188" t="str">
        <f>项目基本情况!B37</f>
        <v>四级</v>
      </c>
      <c r="I53" s="1775">
        <f>SUMIF(修正!A45:A56,H53,修正!C45:C56)</f>
        <v>0.4</v>
      </c>
      <c r="J53" s="1776"/>
      <c r="K53" s="2364"/>
      <c r="L53" s="1774"/>
      <c r="M53" s="1774"/>
      <c r="N53" s="1774"/>
      <c r="O53" s="1774"/>
    </row>
    <row r="54" spans="1:17" s="1101" customFormat="1">
      <c r="A54" s="1102" t="s">
        <v>498</v>
      </c>
      <c r="B54" s="594" t="e">
        <f t="shared" si="17"/>
        <v>#DIV/0!</v>
      </c>
      <c r="C54" s="532">
        <f t="shared" si="16"/>
        <v>0.28000000000000003</v>
      </c>
      <c r="D54" s="2396">
        <v>0.25</v>
      </c>
      <c r="E54" s="1103"/>
      <c r="F54" s="1100" t="e">
        <f t="shared" si="15"/>
        <v>#DIV/0!</v>
      </c>
      <c r="G54" s="3731"/>
      <c r="H54" s="2188" t="str">
        <f>项目基本情况!B37</f>
        <v>四级</v>
      </c>
      <c r="I54" s="1775">
        <f>SUMIF(修正!A45:A56,H54,修正!D45:D56)</f>
        <v>0.28000000000000003</v>
      </c>
      <c r="J54" s="1776"/>
      <c r="K54" s="2363"/>
      <c r="L54" s="1774"/>
      <c r="M54" s="1774"/>
      <c r="N54" s="1774"/>
      <c r="O54" s="1774"/>
    </row>
    <row r="55" spans="1:17" s="1101" customFormat="1">
      <c r="A55" s="1102" t="s">
        <v>499</v>
      </c>
      <c r="B55" s="594" t="e">
        <f t="shared" si="17"/>
        <v>#DIV/0!</v>
      </c>
      <c r="C55" s="532">
        <f t="shared" si="16"/>
        <v>0.25</v>
      </c>
      <c r="D55" s="2396">
        <v>0.25</v>
      </c>
      <c r="E55" s="1103"/>
      <c r="F55" s="1100" t="e">
        <f t="shared" si="15"/>
        <v>#DIV/0!</v>
      </c>
      <c r="G55" s="3731"/>
      <c r="H55" s="2188" t="str">
        <f>项目基本情况!B37</f>
        <v>四级</v>
      </c>
      <c r="I55" s="1775">
        <f>SUMIF(修正!A45:A56,H55,修正!E45:E56)</f>
        <v>0.25</v>
      </c>
      <c r="J55" s="1776"/>
      <c r="K55" s="2364"/>
      <c r="L55" s="1774"/>
      <c r="M55" s="1774"/>
      <c r="N55" s="1774"/>
      <c r="O55" s="1774"/>
    </row>
    <row r="56" spans="1:17" s="1101" customFormat="1">
      <c r="A56" s="2516" t="s">
        <v>2396</v>
      </c>
      <c r="B56" s="594" t="e">
        <f t="shared" si="17"/>
        <v>#DIV/0!</v>
      </c>
      <c r="C56" s="532">
        <f t="shared" si="16"/>
        <v>0</v>
      </c>
      <c r="D56" s="2396">
        <v>0.25</v>
      </c>
      <c r="E56" s="593">
        <f>'数据-汇总表'!E11</f>
        <v>0</v>
      </c>
      <c r="F56" s="1100" t="e">
        <f t="shared" si="15"/>
        <v>#DIV/0!</v>
      </c>
      <c r="G56" s="2200" t="s">
        <v>2316</v>
      </c>
      <c r="H56" s="2188">
        <f>项目基本情况!C37</f>
        <v>0</v>
      </c>
      <c r="I56" s="1775">
        <f>SUMIF(修正!A45:A56,H56,修正!F45:F56)</f>
        <v>0</v>
      </c>
      <c r="J56" s="1776"/>
      <c r="K56" s="2363"/>
      <c r="L56" s="1774"/>
      <c r="M56" s="1774"/>
      <c r="N56" s="1774"/>
      <c r="O56" s="1774"/>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501</v>
      </c>
      <c r="B58" s="594" t="e">
        <f t="shared" si="17"/>
        <v>#DIV/0!</v>
      </c>
      <c r="C58" s="532">
        <f t="shared" si="16"/>
        <v>0</v>
      </c>
      <c r="D58" s="2396">
        <v>0.25</v>
      </c>
      <c r="E58" s="593">
        <f>'数据-汇总表'!E13</f>
        <v>25109.51</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502</v>
      </c>
      <c r="B59" s="594" t="e">
        <f t="shared" si="17"/>
        <v>#DIV/0!</v>
      </c>
      <c r="C59" s="532">
        <f t="shared" si="16"/>
        <v>0.2</v>
      </c>
      <c r="D59" s="2396">
        <v>0.25</v>
      </c>
      <c r="E59" s="593">
        <f>'数据-汇总表'!E14</f>
        <v>0</v>
      </c>
      <c r="F59" s="1100" t="e">
        <f t="shared" si="15"/>
        <v>#DIV/0!</v>
      </c>
      <c r="G59" s="2200" t="s">
        <v>2317</v>
      </c>
      <c r="H59" s="2188" t="str">
        <f>项目基本情况!B37</f>
        <v>四级</v>
      </c>
      <c r="I59" s="1775">
        <f>SUMIF(修正!A45:A56,H59,修正!H45:H56)</f>
        <v>0.2</v>
      </c>
      <c r="J59" s="1776"/>
      <c r="K59" s="2364"/>
      <c r="L59" s="1774"/>
      <c r="M59" s="1774"/>
      <c r="N59" s="1774"/>
      <c r="O59" s="1774"/>
    </row>
    <row r="60" spans="1:17" s="1101" customFormat="1" ht="15" thickBot="1">
      <c r="A60" s="1102" t="s">
        <v>503</v>
      </c>
      <c r="B60" s="594" t="e">
        <f t="shared" si="17"/>
        <v>#DIV/0!</v>
      </c>
      <c r="C60" s="532">
        <f t="shared" si="16"/>
        <v>0</v>
      </c>
      <c r="D60" s="2396">
        <v>0.25</v>
      </c>
      <c r="E60" s="593">
        <f>'数据-汇总表'!E15</f>
        <v>0</v>
      </c>
      <c r="F60" s="1100" t="e">
        <f t="shared" si="15"/>
        <v>#DIV/0!</v>
      </c>
      <c r="G60" s="2201" t="s">
        <v>2316</v>
      </c>
      <c r="H60" s="2202">
        <f>项目基本情况!C37</f>
        <v>0</v>
      </c>
      <c r="I60" s="1775">
        <f>SUMIF(修正!A45:A56,H60,修正!H45:H56)</f>
        <v>0</v>
      </c>
      <c r="J60" s="1776"/>
      <c r="K60" s="2363"/>
      <c r="L60" s="1774"/>
      <c r="M60" s="1774"/>
      <c r="N60" s="1774"/>
      <c r="O60" s="1774"/>
    </row>
    <row r="61" spans="1:17" s="1101" customFormat="1" ht="15" thickBot="1">
      <c r="A61" s="1104" t="s">
        <v>504</v>
      </c>
      <c r="B61" s="1105" t="s">
        <v>156</v>
      </c>
      <c r="C61" s="1105" t="s">
        <v>157</v>
      </c>
      <c r="D61" s="1105" t="s">
        <v>2322</v>
      </c>
      <c r="E61" s="1105">
        <f>IF(B41="楼面地价",SUM(E51:E60),'数据-汇总表'!D3)</f>
        <v>31622.17</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2786</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2785</v>
      </c>
      <c r="B66" s="664" t="str">
        <f>"北京市平均增长率"&amp;TEXT('基准地价修正（1）'!P24,"0.00%")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2664</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2666</v>
      </c>
      <c r="C93" s="213" t="s">
        <v>2652</v>
      </c>
      <c r="D93" s="213" t="s">
        <v>2653</v>
      </c>
      <c r="E93" s="213" t="s">
        <v>2654</v>
      </c>
      <c r="F93" s="213" t="s">
        <v>2655</v>
      </c>
      <c r="G93" s="213" t="s">
        <v>2656</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2498</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1558</v>
      </c>
      <c r="B1" s="1522" t="s">
        <v>1169</v>
      </c>
      <c r="C1" s="1522" t="s">
        <v>1170</v>
      </c>
      <c r="D1" s="1522" t="s">
        <v>1171</v>
      </c>
      <c r="E1" s="1522" t="s">
        <v>1172</v>
      </c>
      <c r="F1" s="1522" t="s">
        <v>1173</v>
      </c>
      <c r="G1" s="1522" t="s">
        <v>1174</v>
      </c>
      <c r="H1" s="1522" t="s">
        <v>1175</v>
      </c>
      <c r="I1" s="1522" t="s">
        <v>1176</v>
      </c>
      <c r="J1" s="1522" t="s">
        <v>1177</v>
      </c>
      <c r="K1" s="1522" t="s">
        <v>1178</v>
      </c>
      <c r="L1" s="1522" t="s">
        <v>1179</v>
      </c>
      <c r="M1" s="1523" t="s">
        <v>1180</v>
      </c>
    </row>
    <row r="2" spans="1:13" ht="19.5" customHeight="1">
      <c r="A2" s="1548" t="s">
        <v>1195</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1196</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1845</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1198</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1559</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1560</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1561</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1562</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1563</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1564</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1565</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1566</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1567</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1568</v>
      </c>
      <c r="B16" s="1567"/>
      <c r="C16" s="1568"/>
      <c r="D16" s="1568"/>
      <c r="E16" s="1567"/>
      <c r="F16" s="1568"/>
      <c r="G16" s="1568"/>
    </row>
    <row r="17" spans="1:9" ht="19.5" customHeight="1">
      <c r="A17" s="1499" t="s">
        <v>1569</v>
      </c>
      <c r="B17" s="1570" t="s">
        <v>1570</v>
      </c>
      <c r="C17" s="1751" t="s">
        <v>1868</v>
      </c>
      <c r="D17" s="1571"/>
      <c r="E17" s="1499" t="s">
        <v>1571</v>
      </c>
      <c r="F17" s="1572"/>
      <c r="G17" s="1572"/>
    </row>
    <row r="18" spans="1:9" s="1578" customFormat="1" ht="19.5" customHeight="1">
      <c r="A18" s="3574" t="s">
        <v>1195</v>
      </c>
      <c r="B18" s="1573" t="s">
        <v>1572</v>
      </c>
      <c r="C18" s="1574" t="s">
        <v>1573</v>
      </c>
      <c r="D18" s="1575"/>
      <c r="E18" s="1573">
        <v>1</v>
      </c>
      <c r="F18" s="1576" t="s">
        <v>1574</v>
      </c>
      <c r="G18" s="1577"/>
      <c r="H18" s="1569"/>
      <c r="I18" s="1569"/>
    </row>
    <row r="19" spans="1:9" s="1578" customFormat="1" ht="19.5" customHeight="1">
      <c r="A19" s="3574"/>
      <c r="B19" s="3574" t="s">
        <v>1575</v>
      </c>
      <c r="C19" s="1574" t="s">
        <v>1576</v>
      </c>
      <c r="D19" s="1575"/>
      <c r="E19" s="1573">
        <v>0.9</v>
      </c>
      <c r="F19" s="1576" t="s">
        <v>1577</v>
      </c>
      <c r="G19" s="1577"/>
      <c r="H19" s="1569"/>
      <c r="I19" s="1569"/>
    </row>
    <row r="20" spans="1:9" s="1578" customFormat="1" ht="19.5" customHeight="1">
      <c r="A20" s="3574"/>
      <c r="B20" s="3574"/>
      <c r="C20" s="1574" t="s">
        <v>1578</v>
      </c>
      <c r="D20" s="1575"/>
      <c r="E20" s="1573">
        <v>1.1000000000000001</v>
      </c>
      <c r="F20" s="1576" t="s">
        <v>1579</v>
      </c>
      <c r="G20" s="1577"/>
      <c r="H20" s="1569"/>
      <c r="I20" s="1569"/>
    </row>
    <row r="21" spans="1:9" s="1578" customFormat="1" ht="19.5" customHeight="1">
      <c r="A21" s="3574"/>
      <c r="B21" s="3574"/>
      <c r="C21" s="1574" t="s">
        <v>1580</v>
      </c>
      <c r="D21" s="1575"/>
      <c r="E21" s="1573">
        <v>0.8</v>
      </c>
      <c r="F21" s="1576" t="s">
        <v>1581</v>
      </c>
      <c r="G21" s="1577"/>
      <c r="H21" s="1569"/>
      <c r="I21" s="1569"/>
    </row>
    <row r="22" spans="1:9" s="1578" customFormat="1" ht="19.5" customHeight="1">
      <c r="A22" s="3574"/>
      <c r="B22" s="3574"/>
      <c r="C22" s="1574" t="s">
        <v>1582</v>
      </c>
      <c r="D22" s="1575"/>
      <c r="E22" s="1573">
        <v>0.5</v>
      </c>
      <c r="F22" s="1576"/>
      <c r="G22" s="1577"/>
      <c r="H22" s="1569"/>
      <c r="I22" s="1569"/>
    </row>
    <row r="23" spans="1:9" s="1578" customFormat="1" ht="19.5" customHeight="1">
      <c r="A23" s="3574" t="s">
        <v>1196</v>
      </c>
      <c r="B23" s="1573" t="s">
        <v>1572</v>
      </c>
      <c r="C23" s="1574" t="s">
        <v>1583</v>
      </c>
      <c r="D23" s="1575"/>
      <c r="E23" s="1573">
        <v>1</v>
      </c>
      <c r="F23" s="1576" t="s">
        <v>1584</v>
      </c>
      <c r="G23" s="1577"/>
      <c r="H23" s="1569"/>
      <c r="I23" s="1569"/>
    </row>
    <row r="24" spans="1:9" s="1578" customFormat="1" ht="19.5" customHeight="1">
      <c r="A24" s="3574"/>
      <c r="B24" s="3574" t="s">
        <v>1575</v>
      </c>
      <c r="C24" s="1574" t="s">
        <v>1585</v>
      </c>
      <c r="D24" s="1575"/>
      <c r="E24" s="1573">
        <v>0.5</v>
      </c>
      <c r="F24" s="1576"/>
      <c r="G24" s="1577"/>
      <c r="H24" s="1569"/>
      <c r="I24" s="1569"/>
    </row>
    <row r="25" spans="1:9" s="1578" customFormat="1" ht="19.5" customHeight="1">
      <c r="A25" s="3574"/>
      <c r="B25" s="3574"/>
      <c r="C25" s="1574" t="s">
        <v>1586</v>
      </c>
      <c r="D25" s="1575"/>
      <c r="E25" s="1573">
        <v>1.1000000000000001</v>
      </c>
      <c r="F25" s="1576"/>
      <c r="G25" s="1577"/>
      <c r="H25" s="1569"/>
      <c r="I25" s="1569"/>
    </row>
    <row r="26" spans="1:9" s="1578" customFormat="1" ht="19.5" customHeight="1">
      <c r="A26" s="3574"/>
      <c r="B26" s="3574"/>
      <c r="C26" s="1574" t="s">
        <v>1587</v>
      </c>
      <c r="D26" s="1575"/>
      <c r="E26" s="1573">
        <v>1.1000000000000001</v>
      </c>
      <c r="F26" s="1576"/>
      <c r="G26" s="1577"/>
      <c r="H26" s="1569"/>
      <c r="I26" s="1569"/>
    </row>
    <row r="27" spans="1:9" s="1578" customFormat="1" ht="19.5" customHeight="1">
      <c r="A27" s="3574"/>
      <c r="B27" s="3574"/>
      <c r="C27" s="1574" t="s">
        <v>1588</v>
      </c>
      <c r="D27" s="1575"/>
      <c r="E27" s="1573">
        <v>0.9</v>
      </c>
      <c r="F27" s="1576" t="s">
        <v>1589</v>
      </c>
      <c r="G27" s="1577"/>
      <c r="H27" s="1569"/>
      <c r="I27" s="1569"/>
    </row>
    <row r="28" spans="1:9" s="1578" customFormat="1" ht="19.5" customHeight="1">
      <c r="A28" s="3574"/>
      <c r="B28" s="3574"/>
      <c r="C28" s="1574" t="s">
        <v>1590</v>
      </c>
      <c r="D28" s="1575"/>
      <c r="E28" s="1573">
        <v>0.9</v>
      </c>
      <c r="F28" s="1576" t="s">
        <v>1591</v>
      </c>
      <c r="G28" s="1577"/>
      <c r="H28" s="1569"/>
      <c r="I28" s="1569"/>
    </row>
    <row r="29" spans="1:9" s="1578" customFormat="1" ht="19.5" customHeight="1">
      <c r="A29" s="3574"/>
      <c r="B29" s="3574"/>
      <c r="C29" s="1574" t="s">
        <v>1592</v>
      </c>
      <c r="D29" s="1575"/>
      <c r="E29" s="1573">
        <v>0.9</v>
      </c>
      <c r="F29" s="1576" t="s">
        <v>1593</v>
      </c>
      <c r="G29" s="1577"/>
      <c r="H29" s="1569"/>
      <c r="I29" s="1569"/>
    </row>
    <row r="30" spans="1:9" s="1578" customFormat="1" ht="19.5" customHeight="1">
      <c r="A30" s="3574"/>
      <c r="B30" s="3574"/>
      <c r="C30" s="1574" t="s">
        <v>1594</v>
      </c>
      <c r="D30" s="1575"/>
      <c r="E30" s="1573">
        <v>0.9</v>
      </c>
      <c r="F30" s="1576" t="s">
        <v>1595</v>
      </c>
      <c r="G30" s="1577"/>
      <c r="H30" s="1569"/>
      <c r="I30" s="1569"/>
    </row>
    <row r="31" spans="1:9" s="1578" customFormat="1" ht="19.5" customHeight="1">
      <c r="A31" s="3574"/>
      <c r="B31" s="3574"/>
      <c r="C31" s="1574" t="s">
        <v>1596</v>
      </c>
      <c r="D31" s="1575"/>
      <c r="E31" s="1573">
        <v>0.8</v>
      </c>
      <c r="F31" s="1576" t="s">
        <v>1597</v>
      </c>
      <c r="G31" s="1577"/>
      <c r="H31" s="1569"/>
      <c r="I31" s="1569"/>
    </row>
    <row r="32" spans="1:9" s="1578" customFormat="1" ht="19.5" customHeight="1">
      <c r="A32" s="3574"/>
      <c r="B32" s="3574"/>
      <c r="C32" s="1574" t="s">
        <v>1598</v>
      </c>
      <c r="D32" s="1575"/>
      <c r="E32" s="1573">
        <v>0.8</v>
      </c>
      <c r="F32" s="1576" t="s">
        <v>1599</v>
      </c>
      <c r="G32" s="1577"/>
      <c r="H32" s="1569"/>
      <c r="I32" s="1569"/>
    </row>
    <row r="33" spans="1:9" s="1578" customFormat="1" ht="19.5" customHeight="1">
      <c r="A33" s="3574" t="s">
        <v>1197</v>
      </c>
      <c r="B33" s="1573" t="s">
        <v>1572</v>
      </c>
      <c r="C33" s="1574" t="s">
        <v>1600</v>
      </c>
      <c r="D33" s="1575"/>
      <c r="E33" s="1573">
        <v>1</v>
      </c>
      <c r="F33" s="1576" t="s">
        <v>1601</v>
      </c>
      <c r="G33" s="1577"/>
      <c r="H33" s="1569"/>
      <c r="I33" s="1569"/>
    </row>
    <row r="34" spans="1:9" s="1578" customFormat="1" ht="19.5" customHeight="1">
      <c r="A34" s="3574"/>
      <c r="B34" s="1573" t="s">
        <v>1575</v>
      </c>
      <c r="C34" s="1574" t="s">
        <v>1602</v>
      </c>
      <c r="D34" s="1575"/>
      <c r="E34" s="1573">
        <v>1.5</v>
      </c>
      <c r="F34" s="1576" t="s">
        <v>1603</v>
      </c>
      <c r="G34" s="1577"/>
      <c r="H34" s="1569"/>
      <c r="I34" s="1569"/>
    </row>
    <row r="35" spans="1:9" s="1578" customFormat="1" ht="19.5" customHeight="1">
      <c r="A35" s="3574" t="s">
        <v>1198</v>
      </c>
      <c r="B35" s="1573" t="s">
        <v>1572</v>
      </c>
      <c r="C35" s="1574" t="s">
        <v>1604</v>
      </c>
      <c r="D35" s="1575"/>
      <c r="E35" s="1573">
        <v>1</v>
      </c>
      <c r="F35" s="1576" t="s">
        <v>1605</v>
      </c>
      <c r="G35" s="1577"/>
      <c r="H35" s="1569"/>
      <c r="I35" s="1569"/>
    </row>
    <row r="36" spans="1:9" s="1578" customFormat="1" ht="19.5" customHeight="1">
      <c r="A36" s="3574"/>
      <c r="B36" s="3574" t="s">
        <v>1575</v>
      </c>
      <c r="C36" s="1574" t="s">
        <v>1606</v>
      </c>
      <c r="D36" s="1575"/>
      <c r="E36" s="1573">
        <v>1</v>
      </c>
      <c r="F36" s="1576" t="s">
        <v>1607</v>
      </c>
      <c r="G36" s="1577"/>
      <c r="H36" s="1569"/>
      <c r="I36" s="1569"/>
    </row>
    <row r="37" spans="1:9" s="1578" customFormat="1" ht="19.5" customHeight="1">
      <c r="A37" s="3574"/>
      <c r="B37" s="3574"/>
      <c r="C37" s="1574" t="s">
        <v>1608</v>
      </c>
      <c r="D37" s="1575"/>
      <c r="E37" s="1573">
        <v>1.5</v>
      </c>
      <c r="F37" s="1576" t="s">
        <v>1609</v>
      </c>
      <c r="G37" s="1577"/>
      <c r="H37" s="1569"/>
      <c r="I37" s="1569"/>
    </row>
    <row r="38" spans="1:9" s="1578" customFormat="1" ht="19.5" customHeight="1">
      <c r="A38" s="3574"/>
      <c r="B38" s="3574"/>
      <c r="C38" s="1574" t="s">
        <v>1610</v>
      </c>
      <c r="D38" s="1575"/>
      <c r="E38" s="1573">
        <v>1</v>
      </c>
      <c r="F38" s="1576" t="s">
        <v>1611</v>
      </c>
      <c r="G38" s="1577"/>
      <c r="H38" s="1569"/>
      <c r="I38" s="1569"/>
    </row>
    <row r="39" spans="1:9" s="1578" customFormat="1" ht="19.5" customHeight="1">
      <c r="A39" s="3574"/>
      <c r="B39" s="3574"/>
      <c r="C39" s="1574" t="s">
        <v>1612</v>
      </c>
      <c r="D39" s="1575"/>
      <c r="E39" s="1573">
        <v>1</v>
      </c>
      <c r="F39" s="1576" t="s">
        <v>1613</v>
      </c>
      <c r="G39" s="1577"/>
      <c r="H39" s="1569"/>
      <c r="I39" s="1569"/>
    </row>
    <row r="40" spans="1:9" s="1578" customFormat="1" ht="19.5" customHeight="1">
      <c r="A40" s="1579" t="s">
        <v>1614</v>
      </c>
      <c r="B40" s="1579"/>
      <c r="C40" s="1579"/>
      <c r="D40" s="1579"/>
      <c r="E40" s="1579"/>
      <c r="F40" s="1580"/>
      <c r="G40" s="1580"/>
      <c r="H40" s="1569"/>
      <c r="I40" s="1569"/>
    </row>
    <row r="42" spans="1:9" ht="19.5" customHeight="1">
      <c r="A42" s="1581"/>
      <c r="B42" s="1499" t="s">
        <v>1615</v>
      </c>
      <c r="C42" s="1499" t="s">
        <v>1615</v>
      </c>
      <c r="D42" s="1499" t="s">
        <v>1615</v>
      </c>
      <c r="E42" s="1510" t="s">
        <v>1615</v>
      </c>
      <c r="F42" s="1510" t="s">
        <v>1615</v>
      </c>
      <c r="G42" s="1510" t="s">
        <v>1616</v>
      </c>
      <c r="H42" s="1510" t="s">
        <v>1615</v>
      </c>
    </row>
    <row r="43" spans="1:9" ht="19.5" customHeight="1">
      <c r="A43" s="1582"/>
      <c r="B43" s="1510" t="s">
        <v>1195</v>
      </c>
      <c r="C43" s="1510" t="s">
        <v>1195</v>
      </c>
      <c r="D43" s="1510" t="s">
        <v>1195</v>
      </c>
      <c r="E43" s="1510" t="s">
        <v>1195</v>
      </c>
      <c r="F43" s="1499" t="s">
        <v>1196</v>
      </c>
      <c r="G43" s="1499" t="s">
        <v>1198</v>
      </c>
      <c r="H43" s="1499" t="s">
        <v>1617</v>
      </c>
    </row>
    <row r="44" spans="1:9" ht="19.5" customHeight="1">
      <c r="A44" s="1583"/>
      <c r="B44" s="1499">
        <v>1</v>
      </c>
      <c r="C44" s="1499">
        <v>2</v>
      </c>
      <c r="D44" s="1499">
        <v>3</v>
      </c>
      <c r="E44" s="1510">
        <v>4</v>
      </c>
      <c r="F44" s="1571" t="s">
        <v>1618</v>
      </c>
      <c r="G44" s="1571" t="s">
        <v>1618</v>
      </c>
      <c r="H44" s="1571" t="s">
        <v>1618</v>
      </c>
    </row>
    <row r="45" spans="1:9" ht="19.5" customHeight="1">
      <c r="A45" s="1584" t="s">
        <v>1169</v>
      </c>
      <c r="B45" s="1499">
        <v>0.8</v>
      </c>
      <c r="C45" s="1499">
        <v>0.5</v>
      </c>
      <c r="D45" s="1499">
        <v>0.36</v>
      </c>
      <c r="E45" s="1499">
        <v>0.3</v>
      </c>
      <c r="F45" s="1571">
        <v>0.3</v>
      </c>
      <c r="G45" s="1499">
        <v>0.3</v>
      </c>
      <c r="H45" s="1499">
        <v>0.25</v>
      </c>
    </row>
    <row r="46" spans="1:9" ht="19.5" customHeight="1">
      <c r="A46" s="1584" t="s">
        <v>1170</v>
      </c>
      <c r="B46" s="1499">
        <v>0.8</v>
      </c>
      <c r="C46" s="1499">
        <v>0.5</v>
      </c>
      <c r="D46" s="1499">
        <v>0.36</v>
      </c>
      <c r="E46" s="1499">
        <v>0.3</v>
      </c>
      <c r="F46" s="1499">
        <v>0.3</v>
      </c>
      <c r="G46" s="1499">
        <v>0.3</v>
      </c>
      <c r="H46" s="1499">
        <v>0.25</v>
      </c>
    </row>
    <row r="47" spans="1:9" ht="19.5" customHeight="1">
      <c r="A47" s="1584" t="s">
        <v>1171</v>
      </c>
      <c r="B47" s="1499">
        <v>0.7</v>
      </c>
      <c r="C47" s="1499">
        <v>0.4</v>
      </c>
      <c r="D47" s="1499">
        <v>0.28000000000000003</v>
      </c>
      <c r="E47" s="1499">
        <v>0.25</v>
      </c>
      <c r="F47" s="1499">
        <v>0.25</v>
      </c>
      <c r="G47" s="1499">
        <v>0.25</v>
      </c>
      <c r="H47" s="1499">
        <v>0.2</v>
      </c>
    </row>
    <row r="48" spans="1:9" ht="19.5" customHeight="1">
      <c r="A48" s="1584" t="s">
        <v>1172</v>
      </c>
      <c r="B48" s="1499">
        <v>0.7</v>
      </c>
      <c r="C48" s="1499">
        <v>0.4</v>
      </c>
      <c r="D48" s="1499">
        <v>0.28000000000000003</v>
      </c>
      <c r="E48" s="1499">
        <v>0.25</v>
      </c>
      <c r="F48" s="1499">
        <v>0.25</v>
      </c>
      <c r="G48" s="1499">
        <v>0.25</v>
      </c>
      <c r="H48" s="1499">
        <v>0.2</v>
      </c>
    </row>
    <row r="49" spans="1:8" s="1569" customFormat="1" ht="19.5" customHeight="1">
      <c r="A49" s="1584" t="s">
        <v>1173</v>
      </c>
      <c r="B49" s="1499">
        <v>0.7</v>
      </c>
      <c r="C49" s="1499">
        <v>0.4</v>
      </c>
      <c r="D49" s="1499">
        <v>0.28000000000000003</v>
      </c>
      <c r="E49" s="1499">
        <v>0.25</v>
      </c>
      <c r="F49" s="1499">
        <v>0.25</v>
      </c>
      <c r="G49" s="1499">
        <v>0.25</v>
      </c>
      <c r="H49" s="1499">
        <v>0.2</v>
      </c>
    </row>
    <row r="50" spans="1:8" s="1569" customFormat="1" ht="19.5" customHeight="1">
      <c r="A50" s="1584" t="s">
        <v>1174</v>
      </c>
      <c r="B50" s="1499">
        <v>0.7</v>
      </c>
      <c r="C50" s="1499">
        <v>0.4</v>
      </c>
      <c r="D50" s="1499">
        <v>0.28000000000000003</v>
      </c>
      <c r="E50" s="1499">
        <v>0.25</v>
      </c>
      <c r="F50" s="1499">
        <v>0.25</v>
      </c>
      <c r="G50" s="1499">
        <v>0.25</v>
      </c>
      <c r="H50" s="1499">
        <v>0.2</v>
      </c>
    </row>
    <row r="51" spans="1:8" s="1569" customFormat="1" ht="19.5" customHeight="1">
      <c r="A51" s="1584" t="s">
        <v>1175</v>
      </c>
      <c r="B51" s="1499">
        <v>0.7</v>
      </c>
      <c r="C51" s="1499">
        <v>0.4</v>
      </c>
      <c r="D51" s="1499">
        <v>0.28000000000000003</v>
      </c>
      <c r="E51" s="1499">
        <v>0.25</v>
      </c>
      <c r="F51" s="1499">
        <v>0.25</v>
      </c>
      <c r="G51" s="1499">
        <v>0.25</v>
      </c>
      <c r="H51" s="1499">
        <v>0.2</v>
      </c>
    </row>
    <row r="52" spans="1:8" s="1569" customFormat="1" ht="19.5" customHeight="1">
      <c r="A52" s="1584" t="s">
        <v>1176</v>
      </c>
      <c r="B52" s="1499">
        <v>0.6</v>
      </c>
      <c r="C52" s="1499">
        <v>0.3</v>
      </c>
      <c r="D52" s="1499">
        <v>0.2</v>
      </c>
      <c r="E52" s="1499">
        <v>0.2</v>
      </c>
      <c r="F52" s="1499">
        <v>0.2</v>
      </c>
      <c r="G52" s="1499">
        <v>0.2</v>
      </c>
      <c r="H52" s="1499">
        <v>0.15</v>
      </c>
    </row>
    <row r="53" spans="1:8" s="1569" customFormat="1" ht="19.5" customHeight="1">
      <c r="A53" s="1584" t="s">
        <v>1177</v>
      </c>
      <c r="B53" s="1499">
        <v>0.6</v>
      </c>
      <c r="C53" s="1499">
        <v>0.3</v>
      </c>
      <c r="D53" s="1499">
        <v>0.2</v>
      </c>
      <c r="E53" s="1499">
        <v>0.2</v>
      </c>
      <c r="F53" s="1499">
        <v>0.2</v>
      </c>
      <c r="G53" s="1499">
        <v>0.2</v>
      </c>
      <c r="H53" s="1499">
        <v>0.15</v>
      </c>
    </row>
    <row r="54" spans="1:8" s="1569" customFormat="1" ht="19.5" customHeight="1">
      <c r="A54" s="1584" t="s">
        <v>1178</v>
      </c>
      <c r="B54" s="1499">
        <v>0.6</v>
      </c>
      <c r="C54" s="1499">
        <v>0.3</v>
      </c>
      <c r="D54" s="1499">
        <v>0.2</v>
      </c>
      <c r="E54" s="1499">
        <v>0.2</v>
      </c>
      <c r="F54" s="1499">
        <v>0.2</v>
      </c>
      <c r="G54" s="1499">
        <v>0.2</v>
      </c>
      <c r="H54" s="1499">
        <v>0.15</v>
      </c>
    </row>
    <row r="55" spans="1:8" s="1569" customFormat="1" ht="19.5" customHeight="1">
      <c r="A55" s="1584" t="s">
        <v>1179</v>
      </c>
      <c r="B55" s="1499">
        <v>0.6</v>
      </c>
      <c r="C55" s="1499">
        <v>0.3</v>
      </c>
      <c r="D55" s="1499">
        <v>0.2</v>
      </c>
      <c r="E55" s="1499">
        <v>0.2</v>
      </c>
      <c r="F55" s="1499">
        <v>0.2</v>
      </c>
      <c r="G55" s="1499">
        <v>0.2</v>
      </c>
      <c r="H55" s="1499">
        <v>0.15</v>
      </c>
    </row>
    <row r="56" spans="1:8" s="1569" customFormat="1" ht="19.5" customHeight="1">
      <c r="A56" s="1584" t="s">
        <v>1180</v>
      </c>
      <c r="B56" s="1499">
        <v>0.6</v>
      </c>
      <c r="C56" s="1499">
        <v>0.3</v>
      </c>
      <c r="D56" s="1499">
        <v>0.2</v>
      </c>
      <c r="E56" s="1499">
        <v>0.2</v>
      </c>
      <c r="F56" s="1499">
        <v>0.2</v>
      </c>
      <c r="G56" s="1499">
        <v>0.2</v>
      </c>
      <c r="H56" s="1499">
        <v>0.15</v>
      </c>
    </row>
    <row r="58" spans="1:8" s="1569" customFormat="1" ht="19.5" customHeight="1">
      <c r="A58" s="1585"/>
      <c r="B58" s="1567"/>
      <c r="C58" s="1567"/>
      <c r="D58" s="1567" t="s">
        <v>1619</v>
      </c>
      <c r="E58" s="1567"/>
      <c r="F58" s="1567"/>
    </row>
    <row r="59" spans="1:8" s="1569" customFormat="1" ht="19.5" customHeight="1">
      <c r="A59" s="1573" t="s">
        <v>1620</v>
      </c>
      <c r="B59" s="1573" t="s">
        <v>1621</v>
      </c>
      <c r="C59" s="1573" t="s">
        <v>1622</v>
      </c>
      <c r="D59" s="1573" t="s">
        <v>1623</v>
      </c>
      <c r="E59" s="1573" t="s">
        <v>1624</v>
      </c>
      <c r="F59" s="1573" t="s">
        <v>1625</v>
      </c>
    </row>
    <row r="60" spans="1:8" ht="13.5">
      <c r="A60" s="1768"/>
      <c r="B60" s="1768"/>
      <c r="C60" s="1768" t="s">
        <v>1757</v>
      </c>
      <c r="D60" s="1768"/>
      <c r="E60" s="1586" t="s">
        <v>23</v>
      </c>
      <c r="F60" s="1768" t="s">
        <v>23</v>
      </c>
    </row>
    <row r="61" spans="1:8" s="1569" customFormat="1" ht="24">
      <c r="A61" s="1573">
        <v>1</v>
      </c>
      <c r="B61" s="3574" t="s">
        <v>1626</v>
      </c>
      <c r="C61" s="1499" t="s">
        <v>1627</v>
      </c>
      <c r="D61" s="1499" t="s">
        <v>1628</v>
      </c>
      <c r="E61" s="1586">
        <v>0.5</v>
      </c>
      <c r="F61" s="1573">
        <v>80</v>
      </c>
    </row>
    <row r="62" spans="1:8" s="1569" customFormat="1" ht="24">
      <c r="A62" s="1573">
        <v>2</v>
      </c>
      <c r="B62" s="3574"/>
      <c r="C62" s="1499" t="s">
        <v>1629</v>
      </c>
      <c r="D62" s="1499" t="s">
        <v>1630</v>
      </c>
      <c r="E62" s="1586">
        <v>0.5</v>
      </c>
      <c r="F62" s="1573">
        <v>80</v>
      </c>
    </row>
    <row r="63" spans="1:8" s="1569" customFormat="1" ht="36">
      <c r="A63" s="1573">
        <v>3</v>
      </c>
      <c r="B63" s="3574"/>
      <c r="C63" s="1499" t="s">
        <v>1631</v>
      </c>
      <c r="D63" s="1499" t="s">
        <v>1632</v>
      </c>
      <c r="E63" s="1586">
        <v>0.5</v>
      </c>
      <c r="F63" s="1573">
        <v>80</v>
      </c>
    </row>
    <row r="64" spans="1:8" s="1569" customFormat="1" ht="36">
      <c r="A64" s="1573">
        <v>4</v>
      </c>
      <c r="B64" s="3574"/>
      <c r="C64" s="1499" t="s">
        <v>1633</v>
      </c>
      <c r="D64" s="1499" t="s">
        <v>1634</v>
      </c>
      <c r="E64" s="1586">
        <v>0.4</v>
      </c>
      <c r="F64" s="1573">
        <v>60</v>
      </c>
    </row>
    <row r="65" spans="1:6" s="1569" customFormat="1" ht="36">
      <c r="A65" s="1573">
        <v>5</v>
      </c>
      <c r="B65" s="3574"/>
      <c r="C65" s="1499" t="s">
        <v>1635</v>
      </c>
      <c r="D65" s="1499" t="s">
        <v>1636</v>
      </c>
      <c r="E65" s="1586">
        <v>0.2</v>
      </c>
      <c r="F65" s="1573">
        <v>30</v>
      </c>
    </row>
    <row r="66" spans="1:6" s="1569" customFormat="1" ht="36">
      <c r="A66" s="1573">
        <v>6</v>
      </c>
      <c r="B66" s="3574"/>
      <c r="C66" s="1499" t="s">
        <v>1637</v>
      </c>
      <c r="D66" s="1499" t="s">
        <v>1638</v>
      </c>
      <c r="E66" s="1586">
        <v>0.3</v>
      </c>
      <c r="F66" s="1573">
        <v>50</v>
      </c>
    </row>
    <row r="67" spans="1:6" s="1569" customFormat="1" ht="36">
      <c r="A67" s="1573">
        <v>7</v>
      </c>
      <c r="B67" s="3574"/>
      <c r="C67" s="1499" t="s">
        <v>1639</v>
      </c>
      <c r="D67" s="1499" t="s">
        <v>1640</v>
      </c>
      <c r="E67" s="1586">
        <v>0.2</v>
      </c>
      <c r="F67" s="1573">
        <v>30</v>
      </c>
    </row>
    <row r="68" spans="1:6" s="1569" customFormat="1" ht="36">
      <c r="A68" s="1573">
        <v>8</v>
      </c>
      <c r="B68" s="3574"/>
      <c r="C68" s="1499" t="s">
        <v>1641</v>
      </c>
      <c r="D68" s="1499" t="s">
        <v>1642</v>
      </c>
      <c r="E68" s="1586">
        <v>0.2</v>
      </c>
      <c r="F68" s="1573">
        <v>30</v>
      </c>
    </row>
    <row r="69" spans="1:6" s="1569" customFormat="1" ht="36">
      <c r="A69" s="1573">
        <v>9</v>
      </c>
      <c r="B69" s="3574"/>
      <c r="C69" s="1499" t="s">
        <v>1643</v>
      </c>
      <c r="D69" s="1499" t="s">
        <v>1644</v>
      </c>
      <c r="E69" s="1586">
        <v>0.2</v>
      </c>
      <c r="F69" s="1573">
        <v>30</v>
      </c>
    </row>
    <row r="70" spans="1:6" s="1569" customFormat="1" ht="48">
      <c r="A70" s="1573">
        <v>10</v>
      </c>
      <c r="B70" s="3574"/>
      <c r="C70" s="1499" t="s">
        <v>1645</v>
      </c>
      <c r="D70" s="1499" t="s">
        <v>1646</v>
      </c>
      <c r="E70" s="1586">
        <v>0.2</v>
      </c>
      <c r="F70" s="1573">
        <v>30</v>
      </c>
    </row>
    <row r="71" spans="1:6" s="1569" customFormat="1" ht="48">
      <c r="A71" s="1573">
        <v>11</v>
      </c>
      <c r="B71" s="3574"/>
      <c r="C71" s="1499" t="s">
        <v>1647</v>
      </c>
      <c r="D71" s="1499" t="s">
        <v>1648</v>
      </c>
      <c r="E71" s="1586">
        <v>0.2</v>
      </c>
      <c r="F71" s="1573">
        <v>30</v>
      </c>
    </row>
    <row r="72" spans="1:6" s="1569" customFormat="1" ht="36">
      <c r="A72" s="1573">
        <v>12</v>
      </c>
      <c r="B72" s="3574"/>
      <c r="C72" s="1499" t="s">
        <v>1649</v>
      </c>
      <c r="D72" s="1499" t="s">
        <v>1650</v>
      </c>
      <c r="E72" s="1586">
        <v>0.5</v>
      </c>
      <c r="F72" s="1573">
        <v>80</v>
      </c>
    </row>
    <row r="73" spans="1:6" s="1569" customFormat="1" ht="24">
      <c r="A73" s="1573">
        <v>13</v>
      </c>
      <c r="B73" s="3574"/>
      <c r="C73" s="1499" t="s">
        <v>1651</v>
      </c>
      <c r="D73" s="1499" t="s">
        <v>1652</v>
      </c>
      <c r="E73" s="1586">
        <v>0.4</v>
      </c>
      <c r="F73" s="1573">
        <v>60</v>
      </c>
    </row>
    <row r="74" spans="1:6" s="1569" customFormat="1" ht="24">
      <c r="A74" s="1573">
        <v>14</v>
      </c>
      <c r="B74" s="3574"/>
      <c r="C74" s="1499" t="s">
        <v>1653</v>
      </c>
      <c r="D74" s="1499" t="s">
        <v>1654</v>
      </c>
      <c r="E74" s="1586">
        <v>0.2</v>
      </c>
      <c r="F74" s="1573">
        <v>30</v>
      </c>
    </row>
    <row r="75" spans="1:6" s="1569" customFormat="1" ht="24">
      <c r="A75" s="1573">
        <v>15</v>
      </c>
      <c r="B75" s="3574"/>
      <c r="C75" s="1499" t="s">
        <v>1655</v>
      </c>
      <c r="D75" s="1499" t="s">
        <v>1656</v>
      </c>
      <c r="E75" s="1586">
        <v>0.2</v>
      </c>
      <c r="F75" s="1573">
        <v>30</v>
      </c>
    </row>
    <row r="76" spans="1:6" s="1569" customFormat="1" ht="24">
      <c r="A76" s="1573">
        <v>16</v>
      </c>
      <c r="B76" s="3574" t="s">
        <v>1657</v>
      </c>
      <c r="C76" s="1499" t="s">
        <v>1658</v>
      </c>
      <c r="D76" s="1499" t="s">
        <v>1659</v>
      </c>
      <c r="E76" s="1586">
        <v>0.5</v>
      </c>
      <c r="F76" s="1573">
        <v>80</v>
      </c>
    </row>
    <row r="77" spans="1:6" s="1569" customFormat="1" ht="24">
      <c r="A77" s="1573">
        <v>17</v>
      </c>
      <c r="B77" s="3574"/>
      <c r="C77" s="1499" t="s">
        <v>1660</v>
      </c>
      <c r="D77" s="1499" t="s">
        <v>1661</v>
      </c>
      <c r="E77" s="1586">
        <v>0.5</v>
      </c>
      <c r="F77" s="1573">
        <v>80</v>
      </c>
    </row>
    <row r="78" spans="1:6" s="1569" customFormat="1" ht="24">
      <c r="A78" s="1573">
        <v>18</v>
      </c>
      <c r="B78" s="3574"/>
      <c r="C78" s="1499" t="s">
        <v>1662</v>
      </c>
      <c r="D78" s="1499" t="s">
        <v>1663</v>
      </c>
      <c r="E78" s="1586">
        <v>0.2</v>
      </c>
      <c r="F78" s="1573">
        <v>30</v>
      </c>
    </row>
    <row r="79" spans="1:6" s="1569" customFormat="1" ht="24">
      <c r="A79" s="1573">
        <v>19</v>
      </c>
      <c r="B79" s="3574"/>
      <c r="C79" s="1499" t="s">
        <v>1664</v>
      </c>
      <c r="D79" s="1499" t="s">
        <v>1665</v>
      </c>
      <c r="E79" s="1586">
        <v>0.5</v>
      </c>
      <c r="F79" s="1573">
        <v>80</v>
      </c>
    </row>
    <row r="80" spans="1:6" s="1569" customFormat="1" ht="36">
      <c r="A80" s="1573">
        <v>20</v>
      </c>
      <c r="B80" s="3574"/>
      <c r="C80" s="1499" t="s">
        <v>1666</v>
      </c>
      <c r="D80" s="1499" t="s">
        <v>1667</v>
      </c>
      <c r="E80" s="1586">
        <v>0.2</v>
      </c>
      <c r="F80" s="1573">
        <v>30</v>
      </c>
    </row>
    <row r="81" spans="1:6" s="1569" customFormat="1" ht="36">
      <c r="A81" s="1573">
        <v>21</v>
      </c>
      <c r="B81" s="3574"/>
      <c r="C81" s="1499" t="s">
        <v>1668</v>
      </c>
      <c r="D81" s="1499" t="s">
        <v>1669</v>
      </c>
      <c r="E81" s="1586">
        <v>0.2</v>
      </c>
      <c r="F81" s="1573">
        <v>30</v>
      </c>
    </row>
    <row r="82" spans="1:6" s="1569" customFormat="1" ht="48">
      <c r="A82" s="1573">
        <v>22</v>
      </c>
      <c r="B82" s="3574"/>
      <c r="C82" s="1499" t="s">
        <v>1670</v>
      </c>
      <c r="D82" s="1499" t="s">
        <v>1671</v>
      </c>
      <c r="E82" s="1586">
        <v>0.2</v>
      </c>
      <c r="F82" s="1573">
        <v>30</v>
      </c>
    </row>
    <row r="83" spans="1:6" s="1569" customFormat="1" ht="48">
      <c r="A83" s="1573">
        <v>23</v>
      </c>
      <c r="B83" s="3574"/>
      <c r="C83" s="1499" t="s">
        <v>1672</v>
      </c>
      <c r="D83" s="1499" t="s">
        <v>1673</v>
      </c>
      <c r="E83" s="1586">
        <v>0.2</v>
      </c>
      <c r="F83" s="1573">
        <v>30</v>
      </c>
    </row>
    <row r="84" spans="1:6" s="1569" customFormat="1" ht="36">
      <c r="A84" s="1573">
        <v>24</v>
      </c>
      <c r="B84" s="3574"/>
      <c r="C84" s="1499" t="s">
        <v>1674</v>
      </c>
      <c r="D84" s="1499" t="s">
        <v>1675</v>
      </c>
      <c r="E84" s="1586">
        <v>0.2</v>
      </c>
      <c r="F84" s="1573">
        <v>30</v>
      </c>
    </row>
    <row r="85" spans="1:6" s="1569" customFormat="1" ht="36">
      <c r="A85" s="1573">
        <v>25</v>
      </c>
      <c r="B85" s="3574"/>
      <c r="C85" s="1499" t="s">
        <v>1676</v>
      </c>
      <c r="D85" s="1499" t="s">
        <v>1677</v>
      </c>
      <c r="E85" s="1586">
        <v>0.5</v>
      </c>
      <c r="F85" s="1573">
        <v>80</v>
      </c>
    </row>
    <row r="86" spans="1:6" s="1569" customFormat="1" ht="36">
      <c r="A86" s="1573">
        <v>26</v>
      </c>
      <c r="B86" s="3574"/>
      <c r="C86" s="1499" t="s">
        <v>1678</v>
      </c>
      <c r="D86" s="1499" t="s">
        <v>1679</v>
      </c>
      <c r="E86" s="1586">
        <v>0.2</v>
      </c>
      <c r="F86" s="1573">
        <v>30</v>
      </c>
    </row>
    <row r="87" spans="1:6" s="1569" customFormat="1" ht="36">
      <c r="A87" s="1573">
        <v>27</v>
      </c>
      <c r="B87" s="3574"/>
      <c r="C87" s="1499" t="s">
        <v>1680</v>
      </c>
      <c r="D87" s="1499" t="s">
        <v>1681</v>
      </c>
      <c r="E87" s="1586">
        <v>0.2</v>
      </c>
      <c r="F87" s="1573">
        <v>30</v>
      </c>
    </row>
    <row r="88" spans="1:6" s="1569" customFormat="1" ht="36">
      <c r="A88" s="1573">
        <v>28</v>
      </c>
      <c r="B88" s="3574"/>
      <c r="C88" s="1499" t="s">
        <v>1682</v>
      </c>
      <c r="D88" s="1499" t="s">
        <v>1683</v>
      </c>
      <c r="E88" s="1586">
        <v>0.2</v>
      </c>
      <c r="F88" s="1573">
        <v>30</v>
      </c>
    </row>
    <row r="89" spans="1:6" s="1569" customFormat="1" ht="24">
      <c r="A89" s="1573">
        <v>29</v>
      </c>
      <c r="B89" s="3574"/>
      <c r="C89" s="1499" t="s">
        <v>1684</v>
      </c>
      <c r="D89" s="1499" t="s">
        <v>1685</v>
      </c>
      <c r="E89" s="1586">
        <v>0.2</v>
      </c>
      <c r="F89" s="1573">
        <v>30</v>
      </c>
    </row>
    <row r="90" spans="1:6" s="1569" customFormat="1" ht="24">
      <c r="A90" s="1573">
        <v>30</v>
      </c>
      <c r="B90" s="3574"/>
      <c r="C90" s="1499" t="s">
        <v>1686</v>
      </c>
      <c r="D90" s="1499" t="s">
        <v>1687</v>
      </c>
      <c r="E90" s="1586">
        <v>0.2</v>
      </c>
      <c r="F90" s="1573">
        <v>30</v>
      </c>
    </row>
    <row r="91" spans="1:6" s="1569" customFormat="1" ht="36">
      <c r="A91" s="1573">
        <v>31</v>
      </c>
      <c r="B91" s="3574"/>
      <c r="C91" s="1499" t="s">
        <v>1688</v>
      </c>
      <c r="D91" s="1499" t="s">
        <v>1689</v>
      </c>
      <c r="E91" s="1586">
        <v>0.2</v>
      </c>
      <c r="F91" s="1573">
        <v>30</v>
      </c>
    </row>
    <row r="92" spans="1:6" s="1569" customFormat="1" ht="24">
      <c r="A92" s="1573">
        <v>32</v>
      </c>
      <c r="B92" s="3574" t="s">
        <v>1690</v>
      </c>
      <c r="C92" s="1573" t="s">
        <v>1691</v>
      </c>
      <c r="D92" s="1499" t="s">
        <v>1692</v>
      </c>
      <c r="E92" s="1586">
        <v>0.2</v>
      </c>
      <c r="F92" s="1573">
        <v>30</v>
      </c>
    </row>
    <row r="93" spans="1:6" s="1569" customFormat="1" ht="36">
      <c r="A93" s="1573">
        <v>33</v>
      </c>
      <c r="B93" s="3574"/>
      <c r="C93" s="1573" t="s">
        <v>1693</v>
      </c>
      <c r="D93" s="1499" t="s">
        <v>1694</v>
      </c>
      <c r="E93" s="1586">
        <v>0.2</v>
      </c>
      <c r="F93" s="1573">
        <v>30</v>
      </c>
    </row>
    <row r="94" spans="1:6" s="1569" customFormat="1" ht="48">
      <c r="A94" s="1573">
        <v>34</v>
      </c>
      <c r="B94" s="3574"/>
      <c r="C94" s="1573" t="s">
        <v>1695</v>
      </c>
      <c r="D94" s="1499" t="s">
        <v>1696</v>
      </c>
      <c r="E94" s="1586">
        <v>0.2</v>
      </c>
      <c r="F94" s="1573">
        <v>30</v>
      </c>
    </row>
    <row r="95" spans="1:6" s="1569" customFormat="1" ht="36">
      <c r="A95" s="1573">
        <v>35</v>
      </c>
      <c r="B95" s="3574"/>
      <c r="C95" s="1573" t="s">
        <v>1697</v>
      </c>
      <c r="D95" s="1499" t="s">
        <v>1698</v>
      </c>
      <c r="E95" s="1586">
        <v>0.2</v>
      </c>
      <c r="F95" s="1573">
        <v>30</v>
      </c>
    </row>
    <row r="96" spans="1:6" s="1569" customFormat="1" ht="48">
      <c r="A96" s="1573">
        <v>36</v>
      </c>
      <c r="B96" s="3574"/>
      <c r="C96" s="1499" t="s">
        <v>1699</v>
      </c>
      <c r="D96" s="1499" t="s">
        <v>1700</v>
      </c>
      <c r="E96" s="1586">
        <v>0.2</v>
      </c>
      <c r="F96" s="1573">
        <v>30</v>
      </c>
    </row>
    <row r="97" spans="1:6" s="1569" customFormat="1" ht="36">
      <c r="A97" s="1573">
        <v>37</v>
      </c>
      <c r="B97" s="3574"/>
      <c r="C97" s="1573" t="s">
        <v>1701</v>
      </c>
      <c r="D97" s="1499" t="s">
        <v>1702</v>
      </c>
      <c r="E97" s="1586">
        <v>0.2</v>
      </c>
      <c r="F97" s="1573">
        <v>30</v>
      </c>
    </row>
    <row r="98" spans="1:6" s="1569" customFormat="1" ht="36">
      <c r="A98" s="1573">
        <v>38</v>
      </c>
      <c r="B98" s="3574"/>
      <c r="C98" s="1573" t="s">
        <v>1703</v>
      </c>
      <c r="D98" s="1499" t="s">
        <v>1704</v>
      </c>
      <c r="E98" s="1586">
        <v>0.2</v>
      </c>
      <c r="F98" s="1573">
        <v>30</v>
      </c>
    </row>
    <row r="99" spans="1:6" s="1569" customFormat="1" ht="36">
      <c r="A99" s="1573">
        <v>39</v>
      </c>
      <c r="B99" s="3574" t="s">
        <v>1705</v>
      </c>
      <c r="C99" s="1573" t="s">
        <v>1706</v>
      </c>
      <c r="D99" s="1499" t="s">
        <v>1707</v>
      </c>
      <c r="E99" s="1586">
        <v>0.3</v>
      </c>
      <c r="F99" s="1573">
        <v>50</v>
      </c>
    </row>
    <row r="100" spans="1:6" s="1569" customFormat="1" ht="24">
      <c r="A100" s="1573">
        <v>40</v>
      </c>
      <c r="B100" s="3574"/>
      <c r="C100" s="1573" t="s">
        <v>1708</v>
      </c>
      <c r="D100" s="1499" t="s">
        <v>1709</v>
      </c>
      <c r="E100" s="1586">
        <v>0.2</v>
      </c>
      <c r="F100" s="1573">
        <v>30</v>
      </c>
    </row>
    <row r="101" spans="1:6" s="1569" customFormat="1" ht="36">
      <c r="A101" s="1573">
        <v>41</v>
      </c>
      <c r="B101" s="3574"/>
      <c r="C101" s="1573" t="s">
        <v>1710</v>
      </c>
      <c r="D101" s="1499" t="s">
        <v>1707</v>
      </c>
      <c r="E101" s="1586">
        <v>0.2</v>
      </c>
      <c r="F101" s="1573">
        <v>30</v>
      </c>
    </row>
    <row r="102" spans="1:6" s="1569" customFormat="1" ht="48">
      <c r="A102" s="1573">
        <v>42</v>
      </c>
      <c r="B102" s="1573" t="s">
        <v>1711</v>
      </c>
      <c r="C102" s="1499" t="s">
        <v>1712</v>
      </c>
      <c r="D102" s="1499" t="s">
        <v>1713</v>
      </c>
      <c r="E102" s="1586">
        <v>0.2</v>
      </c>
      <c r="F102" s="1573">
        <v>30</v>
      </c>
    </row>
    <row r="103" spans="1:6" s="1569" customFormat="1" ht="24">
      <c r="A103" s="1573">
        <v>43</v>
      </c>
      <c r="B103" s="1573" t="s">
        <v>1714</v>
      </c>
      <c r="C103" s="1573" t="s">
        <v>1715</v>
      </c>
      <c r="D103" s="1499" t="s">
        <v>1716</v>
      </c>
      <c r="E103" s="1586">
        <v>0.2</v>
      </c>
      <c r="F103" s="1573">
        <v>30</v>
      </c>
    </row>
    <row r="104" spans="1:6" s="1569" customFormat="1" ht="36">
      <c r="A104" s="1573">
        <v>44</v>
      </c>
      <c r="B104" s="1573" t="s">
        <v>1717</v>
      </c>
      <c r="C104" s="1573" t="s">
        <v>1718</v>
      </c>
      <c r="D104" s="1499" t="s">
        <v>1719</v>
      </c>
      <c r="E104" s="1586">
        <v>0.2</v>
      </c>
      <c r="F104" s="1573">
        <v>30</v>
      </c>
    </row>
    <row r="105" spans="1:6" s="1569" customFormat="1" ht="36">
      <c r="A105" s="1573">
        <v>45</v>
      </c>
      <c r="B105" s="3574" t="s">
        <v>1720</v>
      </c>
      <c r="C105" s="1573" t="s">
        <v>1721</v>
      </c>
      <c r="D105" s="1499" t="s">
        <v>1722</v>
      </c>
      <c r="E105" s="1586">
        <v>0.2</v>
      </c>
      <c r="F105" s="1573">
        <v>30</v>
      </c>
    </row>
    <row r="106" spans="1:6" s="1569" customFormat="1" ht="36">
      <c r="A106" s="1573">
        <v>46</v>
      </c>
      <c r="B106" s="3574"/>
      <c r="C106" s="1573" t="s">
        <v>1723</v>
      </c>
      <c r="D106" s="1499" t="s">
        <v>1724</v>
      </c>
      <c r="E106" s="1586">
        <v>0.2</v>
      </c>
      <c r="F106" s="1573">
        <v>30</v>
      </c>
    </row>
    <row r="107" spans="1:6" s="1569" customFormat="1" ht="36">
      <c r="A107" s="1573">
        <v>47</v>
      </c>
      <c r="B107" s="3574" t="s">
        <v>1725</v>
      </c>
      <c r="C107" s="1573" t="s">
        <v>1726</v>
      </c>
      <c r="D107" s="1499" t="s">
        <v>1727</v>
      </c>
      <c r="E107" s="1586">
        <v>0.3</v>
      </c>
      <c r="F107" s="1573">
        <v>50</v>
      </c>
    </row>
    <row r="108" spans="1:6" s="1569" customFormat="1" ht="36">
      <c r="A108" s="1573">
        <v>48</v>
      </c>
      <c r="B108" s="3574"/>
      <c r="C108" s="1573" t="s">
        <v>1728</v>
      </c>
      <c r="D108" s="1499" t="s">
        <v>1729</v>
      </c>
      <c r="E108" s="1586">
        <v>0.2</v>
      </c>
      <c r="F108" s="1573">
        <v>30</v>
      </c>
    </row>
    <row r="109" spans="1:6" s="1569" customFormat="1" ht="36">
      <c r="A109" s="1573">
        <v>49</v>
      </c>
      <c r="B109" s="1573" t="s">
        <v>1730</v>
      </c>
      <c r="C109" s="1573" t="s">
        <v>1731</v>
      </c>
      <c r="D109" s="1499" t="s">
        <v>1732</v>
      </c>
      <c r="E109" s="1586">
        <v>0.2</v>
      </c>
      <c r="F109" s="1573">
        <v>30</v>
      </c>
    </row>
    <row r="110" spans="1:6" s="1569" customFormat="1" ht="36">
      <c r="A110" s="1573">
        <v>50</v>
      </c>
      <c r="B110" s="1573" t="s">
        <v>1733</v>
      </c>
      <c r="C110" s="1573" t="s">
        <v>1734</v>
      </c>
      <c r="D110" s="1499" t="s">
        <v>1735</v>
      </c>
      <c r="E110" s="1586">
        <v>0.2</v>
      </c>
      <c r="F110" s="1573">
        <v>30</v>
      </c>
    </row>
    <row r="111" spans="1:6" s="1569" customFormat="1" ht="36">
      <c r="A111" s="1573">
        <v>51</v>
      </c>
      <c r="B111" s="3574" t="s">
        <v>1736</v>
      </c>
      <c r="C111" s="1573" t="s">
        <v>1737</v>
      </c>
      <c r="D111" s="1499" t="s">
        <v>1738</v>
      </c>
      <c r="E111" s="1586">
        <v>0.2</v>
      </c>
      <c r="F111" s="1573">
        <v>30</v>
      </c>
    </row>
    <row r="112" spans="1:6" s="1569" customFormat="1" ht="24">
      <c r="A112" s="1573">
        <v>52</v>
      </c>
      <c r="B112" s="3574"/>
      <c r="C112" s="1573" t="s">
        <v>1739</v>
      </c>
      <c r="D112" s="1499" t="s">
        <v>1740</v>
      </c>
      <c r="E112" s="1586">
        <v>0.2</v>
      </c>
      <c r="F112" s="1573">
        <v>30</v>
      </c>
    </row>
    <row r="113" spans="1:6" s="1569" customFormat="1" ht="24">
      <c r="A113" s="1573">
        <v>53</v>
      </c>
      <c r="B113" s="3574"/>
      <c r="C113" s="1573" t="s">
        <v>1741</v>
      </c>
      <c r="D113" s="1499" t="s">
        <v>1742</v>
      </c>
      <c r="E113" s="1586">
        <v>0.2</v>
      </c>
      <c r="F113" s="1573">
        <v>30</v>
      </c>
    </row>
    <row r="114" spans="1:6" ht="36">
      <c r="A114" s="1573">
        <v>54</v>
      </c>
      <c r="B114" s="1573" t="s">
        <v>1743</v>
      </c>
      <c r="C114" s="1573" t="s">
        <v>1744</v>
      </c>
      <c r="D114" s="1499" t="s">
        <v>1745</v>
      </c>
      <c r="E114" s="1586">
        <v>0.2</v>
      </c>
      <c r="F114" s="1573">
        <v>30</v>
      </c>
    </row>
    <row r="115" spans="1:6" ht="24">
      <c r="A115" s="1573">
        <v>55</v>
      </c>
      <c r="B115" s="1573" t="s">
        <v>1746</v>
      </c>
      <c r="C115" s="1573" t="s">
        <v>1747</v>
      </c>
      <c r="D115" s="1499" t="s">
        <v>1748</v>
      </c>
      <c r="E115" s="1586">
        <v>0.2</v>
      </c>
      <c r="F115" s="1573">
        <v>30</v>
      </c>
    </row>
    <row r="116" spans="1:6" ht="24">
      <c r="A116" s="1573">
        <v>56</v>
      </c>
      <c r="B116" s="3574" t="s">
        <v>1749</v>
      </c>
      <c r="C116" s="1573" t="s">
        <v>1750</v>
      </c>
      <c r="D116" s="1499" t="s">
        <v>1751</v>
      </c>
      <c r="E116" s="1586">
        <v>0.2</v>
      </c>
      <c r="F116" s="1573">
        <v>30</v>
      </c>
    </row>
    <row r="117" spans="1:6" ht="36">
      <c r="A117" s="1573">
        <v>57</v>
      </c>
      <c r="B117" s="3574"/>
      <c r="C117" s="1573" t="s">
        <v>1752</v>
      </c>
      <c r="D117" s="1499" t="s">
        <v>1753</v>
      </c>
      <c r="E117" s="1586">
        <v>0.2</v>
      </c>
      <c r="F117" s="1573">
        <v>30</v>
      </c>
    </row>
    <row r="118" spans="1:6" ht="36">
      <c r="A118" s="1573">
        <v>58</v>
      </c>
      <c r="B118" s="1573" t="s">
        <v>1754</v>
      </c>
      <c r="C118" s="1573" t="s">
        <v>1755</v>
      </c>
      <c r="D118" s="1499" t="s">
        <v>1756</v>
      </c>
      <c r="E118" s="1586">
        <v>0.2</v>
      </c>
      <c r="F118" s="1573">
        <v>30</v>
      </c>
    </row>
    <row r="119" spans="1:6" ht="13.5">
      <c r="A119" s="1573"/>
      <c r="B119" s="1573"/>
      <c r="C119" s="1573" t="s">
        <v>1757</v>
      </c>
      <c r="D119" s="1573"/>
      <c r="E119" s="1586" t="s">
        <v>1567</v>
      </c>
      <c r="F119" s="1573" t="s">
        <v>1567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1767</v>
      </c>
      <c r="B1" s="1597"/>
      <c r="C1" s="1597"/>
      <c r="D1" s="1597"/>
      <c r="E1" s="1597"/>
      <c r="F1" s="1597"/>
      <c r="G1" s="1597"/>
      <c r="H1" s="1597"/>
      <c r="I1" s="1597"/>
      <c r="J1" s="1597"/>
      <c r="K1" s="1597"/>
      <c r="L1" s="1597"/>
      <c r="M1" s="1597"/>
      <c r="N1" s="1597"/>
    </row>
    <row r="2" spans="1:14">
      <c r="A2" s="1599" t="s">
        <v>1764</v>
      </c>
      <c r="B2" s="1600" t="s">
        <v>1169</v>
      </c>
      <c r="C2" s="1600" t="s">
        <v>1170</v>
      </c>
      <c r="D2" s="1600" t="s">
        <v>1171</v>
      </c>
      <c r="E2" s="1600" t="s">
        <v>1172</v>
      </c>
      <c r="F2" s="1600" t="s">
        <v>1173</v>
      </c>
      <c r="G2" s="1600" t="s">
        <v>1174</v>
      </c>
      <c r="H2" s="1601" t="s">
        <v>1175</v>
      </c>
      <c r="I2" s="1601" t="s">
        <v>1176</v>
      </c>
      <c r="J2" s="1602" t="s">
        <v>1177</v>
      </c>
      <c r="K2" s="1602" t="s">
        <v>1178</v>
      </c>
      <c r="L2" s="1602" t="s">
        <v>1179</v>
      </c>
      <c r="M2" s="1602" t="s">
        <v>1180</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1773</v>
      </c>
      <c r="B103" s="1597"/>
      <c r="C103" s="1597"/>
      <c r="D103" s="1597"/>
      <c r="E103" s="1597"/>
      <c r="F103" s="1597"/>
      <c r="G103" s="1597"/>
      <c r="H103" s="1597"/>
      <c r="I103" s="1597"/>
      <c r="J103" s="1597"/>
      <c r="K103" s="1597"/>
      <c r="L103" s="1597"/>
      <c r="M103" s="1597"/>
      <c r="N103" s="1597"/>
    </row>
    <row r="104" spans="1:14" ht="14.25">
      <c r="A104" s="1599" t="s">
        <v>1764</v>
      </c>
      <c r="B104" s="1600" t="s">
        <v>1169</v>
      </c>
      <c r="C104" s="1600" t="s">
        <v>1170</v>
      </c>
      <c r="D104" s="1600" t="s">
        <v>1171</v>
      </c>
      <c r="E104" s="1600" t="s">
        <v>1172</v>
      </c>
      <c r="F104" s="1600" t="s">
        <v>1173</v>
      </c>
      <c r="G104" s="1600" t="s">
        <v>1174</v>
      </c>
      <c r="H104" s="1601" t="s">
        <v>1175</v>
      </c>
      <c r="I104" s="1601" t="s">
        <v>1176</v>
      </c>
      <c r="J104" s="1602" t="s">
        <v>1177</v>
      </c>
      <c r="K104" s="1602" t="s">
        <v>1178</v>
      </c>
      <c r="L104" s="1602" t="s">
        <v>1179</v>
      </c>
      <c r="M104" s="1602" t="s">
        <v>1180</v>
      </c>
      <c r="N104" s="1597">
        <f>SUMPRODUCT((A105:A204=ROUNDDOWN('基准地价修正（1）'!G3,1))*(B104:M104='基准地价修正（1）'!G2)*(B105:M204))</f>
        <v>1.1453</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1774</v>
      </c>
      <c r="B205" s="1597"/>
      <c r="C205" s="1597"/>
      <c r="D205" s="1597"/>
      <c r="E205" s="1597"/>
      <c r="F205" s="1597"/>
      <c r="G205" s="1597"/>
      <c r="H205" s="1597"/>
      <c r="I205" s="1597"/>
      <c r="J205" s="1597"/>
      <c r="K205" s="1597"/>
      <c r="L205" s="1597"/>
      <c r="M205" s="1597"/>
    </row>
    <row r="206" spans="1:13">
      <c r="A206" s="1599" t="s">
        <v>1764</v>
      </c>
      <c r="B206" s="1600" t="s">
        <v>1169</v>
      </c>
      <c r="C206" s="1600" t="s">
        <v>1170</v>
      </c>
      <c r="D206" s="1600" t="s">
        <v>1171</v>
      </c>
      <c r="E206" s="1600" t="s">
        <v>1172</v>
      </c>
      <c r="F206" s="1600" t="s">
        <v>1173</v>
      </c>
      <c r="G206" s="1600" t="s">
        <v>1174</v>
      </c>
      <c r="H206" s="1601" t="s">
        <v>1175</v>
      </c>
      <c r="I206" s="1601" t="s">
        <v>1176</v>
      </c>
      <c r="J206" s="1602" t="s">
        <v>1177</v>
      </c>
      <c r="K206" s="1602" t="s">
        <v>1178</v>
      </c>
      <c r="L206" s="1602" t="s">
        <v>1179</v>
      </c>
      <c r="M206" s="1602" t="s">
        <v>1180</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1775</v>
      </c>
      <c r="B307" s="1597"/>
      <c r="C307" s="1597"/>
      <c r="D307" s="1597"/>
      <c r="E307" s="1597"/>
      <c r="F307" s="1597"/>
      <c r="G307" s="1597"/>
      <c r="H307" s="1597"/>
      <c r="I307" s="1597"/>
      <c r="J307" s="1597"/>
      <c r="K307" s="1597"/>
      <c r="L307" s="1597"/>
      <c r="M307" s="1597"/>
    </row>
    <row r="308" spans="1:13">
      <c r="A308" s="1599" t="s">
        <v>1764</v>
      </c>
      <c r="B308" s="1600" t="s">
        <v>1169</v>
      </c>
      <c r="C308" s="1600" t="s">
        <v>1170</v>
      </c>
      <c r="D308" s="1600" t="s">
        <v>1171</v>
      </c>
      <c r="E308" s="1600" t="s">
        <v>1172</v>
      </c>
      <c r="F308" s="1600" t="s">
        <v>1173</v>
      </c>
      <c r="G308" s="1600" t="s">
        <v>1174</v>
      </c>
      <c r="H308" s="1601" t="s">
        <v>1175</v>
      </c>
      <c r="I308" s="1601" t="s">
        <v>1176</v>
      </c>
      <c r="J308" s="1602" t="s">
        <v>1177</v>
      </c>
      <c r="K308" s="1602" t="s">
        <v>1178</v>
      </c>
      <c r="L308" s="1602" t="s">
        <v>1179</v>
      </c>
      <c r="M308" s="1602" t="s">
        <v>1180</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41" t="s">
        <v>2708</v>
      </c>
      <c r="C1" s="3741"/>
      <c r="D1" s="3741"/>
      <c r="E1" s="3741"/>
      <c r="F1" s="3741"/>
      <c r="G1" s="3737" t="s">
        <v>2709</v>
      </c>
      <c r="H1" s="3737"/>
      <c r="I1" s="3737"/>
      <c r="J1" s="3737"/>
      <c r="K1" s="3737"/>
      <c r="L1" s="3737"/>
      <c r="N1" s="3737" t="s">
        <v>2710</v>
      </c>
      <c r="O1" s="3737"/>
      <c r="P1" s="3737"/>
      <c r="Q1" s="3737"/>
      <c r="R1" s="2901"/>
      <c r="S1" s="3737" t="s">
        <v>2711</v>
      </c>
      <c r="T1" s="3737"/>
      <c r="U1" s="3737"/>
      <c r="V1" s="3737"/>
      <c r="X1" s="3736" t="s">
        <v>2712</v>
      </c>
      <c r="Y1" s="3737"/>
      <c r="Z1" s="3737"/>
      <c r="AA1" s="3737"/>
      <c r="AB1" s="3737"/>
      <c r="AD1" s="3736" t="s">
        <v>2713</v>
      </c>
      <c r="AE1" s="3737"/>
      <c r="AF1" s="3737"/>
      <c r="AG1" s="3737"/>
      <c r="AH1" s="3737"/>
    </row>
    <row r="2" spans="1:34" s="2902" customFormat="1" ht="14.25" thickBot="1">
      <c r="B2" s="2903" t="s">
        <v>2714</v>
      </c>
      <c r="C2" s="2903" t="s">
        <v>2715</v>
      </c>
      <c r="D2" s="2904" t="s">
        <v>2716</v>
      </c>
      <c r="E2" s="2904" t="s">
        <v>2717</v>
      </c>
      <c r="F2" s="2903" t="s">
        <v>2718</v>
      </c>
      <c r="G2" s="2905"/>
      <c r="H2" s="2906"/>
      <c r="I2" s="2903" t="s">
        <v>2714</v>
      </c>
      <c r="J2" s="2904" t="s">
        <v>3056</v>
      </c>
      <c r="K2" s="2904" t="s">
        <v>1843</v>
      </c>
      <c r="L2" s="2903" t="s">
        <v>2718</v>
      </c>
      <c r="N2" s="2903" t="s">
        <v>2714</v>
      </c>
      <c r="O2" s="2904" t="s">
        <v>3056</v>
      </c>
      <c r="P2" s="2904" t="s">
        <v>1843</v>
      </c>
      <c r="Q2" s="2903" t="s">
        <v>2718</v>
      </c>
      <c r="R2" s="2907"/>
      <c r="S2" s="2903" t="s">
        <v>2714</v>
      </c>
      <c r="T2" s="2904" t="s">
        <v>3056</v>
      </c>
      <c r="U2" s="2904" t="s">
        <v>1843</v>
      </c>
      <c r="V2" s="2903" t="s">
        <v>2718</v>
      </c>
      <c r="X2" s="2903" t="s">
        <v>2714</v>
      </c>
      <c r="Y2" s="2903" t="s">
        <v>2715</v>
      </c>
      <c r="Z2" s="2904" t="s">
        <v>2716</v>
      </c>
      <c r="AA2" s="2904" t="s">
        <v>2717</v>
      </c>
      <c r="AB2" s="2903" t="s">
        <v>2718</v>
      </c>
      <c r="AD2" s="2903" t="s">
        <v>2714</v>
      </c>
      <c r="AE2" s="2903" t="s">
        <v>2715</v>
      </c>
      <c r="AF2" s="2904" t="s">
        <v>2716</v>
      </c>
      <c r="AG2" s="2904" t="s">
        <v>2717</v>
      </c>
      <c r="AH2" s="2903" t="s">
        <v>2718</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2719</v>
      </c>
      <c r="B4" s="2917"/>
      <c r="C4" s="2917"/>
      <c r="D4" s="2917"/>
      <c r="E4" s="2917"/>
      <c r="F4" s="2917"/>
      <c r="G4" s="3742">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2720</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39"/>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2722</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3057</v>
      </c>
      <c r="B6" s="2936">
        <f t="shared" si="2"/>
        <v>419.31181600000002</v>
      </c>
      <c r="C6" s="2936">
        <f t="shared" si="3"/>
        <v>313.95436800000004</v>
      </c>
      <c r="D6" s="2936">
        <f t="shared" si="4"/>
        <v>313.95436800000004</v>
      </c>
      <c r="E6" s="2936">
        <f t="shared" si="5"/>
        <v>596.63028431999999</v>
      </c>
      <c r="F6" s="2936">
        <f t="shared" si="6"/>
        <v>274.74220703999998</v>
      </c>
      <c r="G6" s="3739"/>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2721</v>
      </c>
      <c r="B7" s="2936">
        <f>B8*(1+N7)</f>
        <v>405.524</v>
      </c>
      <c r="C7" s="2936">
        <f>C8*(1+O7)</f>
        <v>307.79840000000002</v>
      </c>
      <c r="D7" s="2936">
        <f>C7</f>
        <v>307.79840000000002</v>
      </c>
      <c r="E7" s="2936">
        <f>E8*(1+P7)</f>
        <v>574.67759999999998</v>
      </c>
      <c r="F7" s="2936">
        <f>F8*(1+Q7)</f>
        <v>270.20280000000002</v>
      </c>
      <c r="G7" s="3740"/>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1158</v>
      </c>
      <c r="B8" s="2928">
        <v>392</v>
      </c>
      <c r="C8" s="2928">
        <v>302</v>
      </c>
      <c r="D8" s="2928">
        <f>C8</f>
        <v>302</v>
      </c>
      <c r="E8" s="2928">
        <v>553</v>
      </c>
      <c r="F8" s="2929">
        <v>266</v>
      </c>
      <c r="G8" s="3742">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1157</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9"/>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1147</v>
      </c>
      <c r="B10" s="2936">
        <f t="shared" si="15"/>
        <v>360.06949782209392</v>
      </c>
      <c r="C10" s="2936">
        <f t="shared" si="15"/>
        <v>289.84672674747821</v>
      </c>
      <c r="D10" s="2936">
        <f t="shared" si="16"/>
        <v>289.84672674747821</v>
      </c>
      <c r="E10" s="2936">
        <f t="shared" si="17"/>
        <v>501.06543001181495</v>
      </c>
      <c r="F10" s="2936">
        <f t="shared" si="17"/>
        <v>256.82882500744967</v>
      </c>
      <c r="G10" s="3739"/>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1156</v>
      </c>
      <c r="B11" s="2936">
        <f t="shared" si="15"/>
        <v>346.720748986128</v>
      </c>
      <c r="C11" s="2936">
        <f t="shared" si="15"/>
        <v>284.30282172386285</v>
      </c>
      <c r="D11" s="2936">
        <f t="shared" si="16"/>
        <v>284.30282172386285</v>
      </c>
      <c r="E11" s="2936">
        <f t="shared" si="17"/>
        <v>479.58023546306947</v>
      </c>
      <c r="F11" s="2936">
        <f t="shared" si="17"/>
        <v>253.25788877571213</v>
      </c>
      <c r="G11" s="3740"/>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1155</v>
      </c>
      <c r="B12" s="2928">
        <v>333</v>
      </c>
      <c r="C12" s="2928">
        <v>277</v>
      </c>
      <c r="D12" s="2928">
        <f t="shared" si="16"/>
        <v>277</v>
      </c>
      <c r="E12" s="2928">
        <v>459</v>
      </c>
      <c r="F12" s="2929">
        <v>249</v>
      </c>
      <c r="G12" s="3738">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1154</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9"/>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1153</v>
      </c>
      <c r="B14" s="2936">
        <f t="shared" si="19"/>
        <v>322.34053690220776</v>
      </c>
      <c r="C14" s="2936">
        <f t="shared" si="19"/>
        <v>271.46160770422546</v>
      </c>
      <c r="D14" s="2936">
        <f t="shared" si="16"/>
        <v>271.46160770422546</v>
      </c>
      <c r="E14" s="2936">
        <f t="shared" si="20"/>
        <v>442.69434542172456</v>
      </c>
      <c r="F14" s="2936">
        <f t="shared" si="20"/>
        <v>241.34030753190925</v>
      </c>
      <c r="G14" s="3739"/>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1152</v>
      </c>
      <c r="B15" s="2936">
        <f t="shared" si="19"/>
        <v>319.87748030386797</v>
      </c>
      <c r="C15" s="2936">
        <f t="shared" si="19"/>
        <v>269.60135833173649</v>
      </c>
      <c r="D15" s="2936">
        <f t="shared" si="16"/>
        <v>269.60135833173649</v>
      </c>
      <c r="E15" s="2936">
        <f t="shared" si="20"/>
        <v>439.18089823583784</v>
      </c>
      <c r="F15" s="2936">
        <f t="shared" si="20"/>
        <v>239.23503918706311</v>
      </c>
      <c r="G15" s="3740"/>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1151</v>
      </c>
      <c r="B16" s="2949">
        <v>318</v>
      </c>
      <c r="C16" s="2949">
        <v>268</v>
      </c>
      <c r="D16" s="2949">
        <f t="shared" si="16"/>
        <v>268</v>
      </c>
      <c r="E16" s="2949">
        <v>437</v>
      </c>
      <c r="F16" s="2950">
        <v>237</v>
      </c>
      <c r="G16" s="3738">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1150</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9"/>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1149</v>
      </c>
      <c r="B18" s="2936">
        <f t="shared" si="21"/>
        <v>314.72141172386546</v>
      </c>
      <c r="C18" s="2936">
        <f t="shared" si="21"/>
        <v>263.03901319069001</v>
      </c>
      <c r="D18" s="2936">
        <f t="shared" si="16"/>
        <v>263.03901319069001</v>
      </c>
      <c r="E18" s="2936">
        <f t="shared" si="22"/>
        <v>433.65745506782821</v>
      </c>
      <c r="F18" s="2936">
        <f t="shared" si="22"/>
        <v>233.23005080045735</v>
      </c>
      <c r="G18" s="3739"/>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1148</v>
      </c>
      <c r="B19" s="2954">
        <f t="shared" si="21"/>
        <v>307.34512863658733</v>
      </c>
      <c r="C19" s="2954">
        <f t="shared" si="21"/>
        <v>257.80556031626975</v>
      </c>
      <c r="D19" s="2954">
        <f t="shared" si="16"/>
        <v>257.80556031626975</v>
      </c>
      <c r="E19" s="2954">
        <f t="shared" si="22"/>
        <v>422.70928459677179</v>
      </c>
      <c r="F19" s="2954">
        <f t="shared" si="22"/>
        <v>229.73803270336617</v>
      </c>
      <c r="G19" s="3740"/>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2723</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2724</v>
      </c>
      <c r="B20" s="2928">
        <v>299</v>
      </c>
      <c r="C20" s="2928">
        <v>252</v>
      </c>
      <c r="D20" s="2928">
        <f t="shared" si="16"/>
        <v>252</v>
      </c>
      <c r="E20" s="2928">
        <v>409</v>
      </c>
      <c r="F20" s="2929">
        <v>227</v>
      </c>
      <c r="G20" s="3743">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2725</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44"/>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2726</v>
      </c>
      <c r="B22" s="2936">
        <f t="shared" si="25"/>
        <v>288.2649053828776</v>
      </c>
      <c r="C22" s="2936">
        <f t="shared" si="25"/>
        <v>243.64564425013293</v>
      </c>
      <c r="D22" s="2936">
        <f t="shared" si="16"/>
        <v>243.64564425013293</v>
      </c>
      <c r="E22" s="2936">
        <f t="shared" si="26"/>
        <v>393.31080825986544</v>
      </c>
      <c r="F22" s="2936">
        <f t="shared" si="26"/>
        <v>223.07903790551154</v>
      </c>
      <c r="G22" s="3744"/>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2727</v>
      </c>
      <c r="B23" s="2936">
        <f t="shared" si="25"/>
        <v>282.50186729015837</v>
      </c>
      <c r="C23" s="2936">
        <f t="shared" si="25"/>
        <v>238.09796174155468</v>
      </c>
      <c r="D23" s="2936">
        <f t="shared" si="16"/>
        <v>238.09796174155468</v>
      </c>
      <c r="E23" s="2936">
        <f t="shared" si="26"/>
        <v>385.33438646014054</v>
      </c>
      <c r="F23" s="2936">
        <f t="shared" si="26"/>
        <v>221.55034055567739</v>
      </c>
      <c r="G23" s="3745"/>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2728</v>
      </c>
      <c r="B24" s="2970">
        <v>278</v>
      </c>
      <c r="C24" s="2970">
        <v>234</v>
      </c>
      <c r="D24" s="2970">
        <f t="shared" si="16"/>
        <v>234</v>
      </c>
      <c r="E24" s="2970">
        <v>379</v>
      </c>
      <c r="F24" s="2971">
        <v>220</v>
      </c>
      <c r="G24" s="3738">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2729</v>
      </c>
      <c r="B25" s="2936">
        <f>B24/(1+N24)</f>
        <v>275.49301357645425</v>
      </c>
      <c r="C25" s="2936">
        <f>C24/(1+O24)</f>
        <v>232.41954707985698</v>
      </c>
      <c r="D25" s="2936">
        <f t="shared" si="16"/>
        <v>232.41954707985698</v>
      </c>
      <c r="E25" s="2936">
        <f t="shared" ref="E25:F27" si="27">E24/(1+P24)</f>
        <v>375.32184591008121</v>
      </c>
      <c r="F25" s="2936">
        <f t="shared" si="27"/>
        <v>218.03766105054513</v>
      </c>
      <c r="G25" s="3739"/>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2730</v>
      </c>
      <c r="B26" s="2936">
        <f>B25/(1+N25)</f>
        <v>275.24529281292263</v>
      </c>
      <c r="C26" s="2936">
        <f>C25/(1+O25)</f>
        <v>231.74747938962707</v>
      </c>
      <c r="D26" s="2936">
        <f t="shared" si="16"/>
        <v>231.74747938962707</v>
      </c>
      <c r="E26" s="2936">
        <f t="shared" si="27"/>
        <v>375.35938184826603</v>
      </c>
      <c r="F26" s="2936">
        <f t="shared" si="27"/>
        <v>216.78033510692495</v>
      </c>
      <c r="G26" s="3739"/>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2731</v>
      </c>
      <c r="B27" s="2936">
        <f>B26/(1+N26)</f>
        <v>275.19025476197027</v>
      </c>
      <c r="C27" s="2972">
        <v>232</v>
      </c>
      <c r="D27" s="2972">
        <f t="shared" si="16"/>
        <v>232</v>
      </c>
      <c r="E27" s="2936">
        <f t="shared" si="27"/>
        <v>375.65990977608692</v>
      </c>
      <c r="F27" s="2936">
        <f t="shared" si="27"/>
        <v>214.12518283971252</v>
      </c>
      <c r="G27" s="3740"/>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2732</v>
      </c>
      <c r="B28" s="2928">
        <v>275</v>
      </c>
      <c r="C28" s="2928">
        <v>232</v>
      </c>
      <c r="D28" s="2928">
        <f t="shared" si="16"/>
        <v>232</v>
      </c>
      <c r="E28" s="2928">
        <v>376</v>
      </c>
      <c r="F28" s="2929">
        <v>213</v>
      </c>
      <c r="G28" s="3738">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2733</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9">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2734</v>
      </c>
      <c r="B30" s="2936">
        <f t="shared" si="28"/>
        <v>275.19335084830601</v>
      </c>
      <c r="C30" s="2936">
        <f t="shared" si="28"/>
        <v>230.18088050139744</v>
      </c>
      <c r="D30" s="2936">
        <f t="shared" si="16"/>
        <v>230.18088050139744</v>
      </c>
      <c r="E30" s="2936">
        <f t="shared" si="29"/>
        <v>377.58482925212331</v>
      </c>
      <c r="F30" s="2936">
        <f t="shared" si="29"/>
        <v>210.90687997847917</v>
      </c>
      <c r="G30" s="3739">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2735</v>
      </c>
      <c r="B31" s="2936">
        <f t="shared" si="28"/>
        <v>276.29854502841971</v>
      </c>
      <c r="C31" s="2936">
        <f t="shared" si="28"/>
        <v>229.79023709833027</v>
      </c>
      <c r="D31" s="2936">
        <f t="shared" si="16"/>
        <v>229.79023709833027</v>
      </c>
      <c r="E31" s="2936">
        <f t="shared" si="29"/>
        <v>379.78759731655936</v>
      </c>
      <c r="F31" s="2936">
        <f t="shared" si="29"/>
        <v>211.32953905659235</v>
      </c>
      <c r="G31" s="3740">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2736</v>
      </c>
      <c r="B32" s="2928">
        <v>269</v>
      </c>
      <c r="C32" s="2928">
        <v>221</v>
      </c>
      <c r="D32" s="2928">
        <f t="shared" si="16"/>
        <v>221</v>
      </c>
      <c r="E32" s="2928">
        <v>373</v>
      </c>
      <c r="F32" s="2929">
        <v>196</v>
      </c>
      <c r="G32" s="3738">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2737</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9">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2738</v>
      </c>
      <c r="B34" s="2936">
        <f t="shared" si="30"/>
        <v>242.95398227588385</v>
      </c>
      <c r="C34" s="2936">
        <f t="shared" si="30"/>
        <v>199.59137053614126</v>
      </c>
      <c r="D34" s="2936">
        <f t="shared" si="16"/>
        <v>199.59137053614126</v>
      </c>
      <c r="E34" s="2936">
        <f t="shared" si="31"/>
        <v>335.92189522342125</v>
      </c>
      <c r="F34" s="2936">
        <f t="shared" si="31"/>
        <v>183.10139991109489</v>
      </c>
      <c r="G34" s="3739">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2739</v>
      </c>
      <c r="B35" s="2936">
        <f t="shared" si="30"/>
        <v>232.06990378821649</v>
      </c>
      <c r="C35" s="2936">
        <f t="shared" si="30"/>
        <v>192.74878854286936</v>
      </c>
      <c r="D35" s="2936">
        <f t="shared" si="16"/>
        <v>192.74878854286936</v>
      </c>
      <c r="E35" s="2936">
        <f t="shared" si="31"/>
        <v>319.71247284992984</v>
      </c>
      <c r="F35" s="2936">
        <f t="shared" si="31"/>
        <v>175.67053622862409</v>
      </c>
      <c r="G35" s="3740">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2740</v>
      </c>
      <c r="B36" s="2928">
        <v>220</v>
      </c>
      <c r="C36" s="2928">
        <v>187</v>
      </c>
      <c r="D36" s="2928">
        <f t="shared" si="16"/>
        <v>187</v>
      </c>
      <c r="E36" s="2928">
        <v>301</v>
      </c>
      <c r="F36" s="2929">
        <v>168</v>
      </c>
      <c r="G36" s="3738">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2741</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9">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2742</v>
      </c>
      <c r="B38" s="2936">
        <f t="shared" si="32"/>
        <v>210.630522469011</v>
      </c>
      <c r="C38" s="2936">
        <f t="shared" si="32"/>
        <v>181.69567812247232</v>
      </c>
      <c r="D38" s="2936">
        <f t="shared" si="16"/>
        <v>181.69567812247232</v>
      </c>
      <c r="E38" s="2936">
        <f t="shared" si="33"/>
        <v>286.13517466736738</v>
      </c>
      <c r="F38" s="2936">
        <f t="shared" si="33"/>
        <v>165.47535084591149</v>
      </c>
      <c r="G38" s="3739">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2743</v>
      </c>
      <c r="B39" s="2936">
        <f t="shared" si="32"/>
        <v>208.83454537875372</v>
      </c>
      <c r="C39" s="2936">
        <f t="shared" si="32"/>
        <v>183.77230517090351</v>
      </c>
      <c r="D39" s="2936">
        <f t="shared" si="16"/>
        <v>183.77230517090351</v>
      </c>
      <c r="E39" s="2936">
        <f t="shared" si="33"/>
        <v>281.10342338870947</v>
      </c>
      <c r="F39" s="2936">
        <f t="shared" si="33"/>
        <v>168.97309388942256</v>
      </c>
      <c r="G39" s="3740">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2744</v>
      </c>
      <c r="B40" s="2970">
        <v>214</v>
      </c>
      <c r="C40" s="2970">
        <v>188</v>
      </c>
      <c r="D40" s="2970">
        <f t="shared" si="16"/>
        <v>188</v>
      </c>
      <c r="E40" s="2970">
        <v>289</v>
      </c>
      <c r="F40" s="2971">
        <v>166</v>
      </c>
      <c r="G40" s="3738">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2745</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9">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2746</v>
      </c>
      <c r="B42" s="2936">
        <f t="shared" si="34"/>
        <v>206.31694671589116</v>
      </c>
      <c r="C42" s="2936">
        <f t="shared" si="34"/>
        <v>183.61041121036101</v>
      </c>
      <c r="D42" s="2936">
        <f t="shared" si="16"/>
        <v>183.61041121036101</v>
      </c>
      <c r="E42" s="2936">
        <f t="shared" si="35"/>
        <v>276.66850301795557</v>
      </c>
      <c r="F42" s="2936">
        <f t="shared" si="35"/>
        <v>165.1360938278614</v>
      </c>
      <c r="G42" s="3739">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2747</v>
      </c>
      <c r="B43" s="2973">
        <f t="shared" si="34"/>
        <v>196.62341248059772</v>
      </c>
      <c r="C43" s="2973">
        <f t="shared" si="34"/>
        <v>170.99125648199012</v>
      </c>
      <c r="D43" s="2973">
        <f t="shared" si="16"/>
        <v>170.99125648199012</v>
      </c>
      <c r="E43" s="2973">
        <f t="shared" si="35"/>
        <v>266.07857570490052</v>
      </c>
      <c r="F43" s="2973">
        <f t="shared" si="35"/>
        <v>154.53499328828505</v>
      </c>
      <c r="G43" s="3740">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2748</v>
      </c>
      <c r="B44" s="2928">
        <v>188</v>
      </c>
      <c r="C44" s="2928">
        <v>165</v>
      </c>
      <c r="D44" s="2928">
        <f t="shared" si="16"/>
        <v>165</v>
      </c>
      <c r="E44" s="2928">
        <v>254</v>
      </c>
      <c r="F44" s="2929">
        <v>148</v>
      </c>
      <c r="G44" s="3738">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2749</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9">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2750</v>
      </c>
      <c r="B46" s="2936">
        <f t="shared" si="38"/>
        <v>168.82017748715555</v>
      </c>
      <c r="C46" s="2936">
        <f t="shared" si="38"/>
        <v>148.06267029972753</v>
      </c>
      <c r="D46" s="2936">
        <f t="shared" si="16"/>
        <v>148.06267029972753</v>
      </c>
      <c r="E46" s="2936">
        <f t="shared" si="39"/>
        <v>216.46288379323747</v>
      </c>
      <c r="F46" s="2936">
        <f t="shared" si="39"/>
        <v>134.23529411764704</v>
      </c>
      <c r="G46" s="3739">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2751</v>
      </c>
      <c r="B47" s="2936">
        <f t="shared" si="38"/>
        <v>163.84913591779542</v>
      </c>
      <c r="C47" s="2936">
        <f t="shared" si="38"/>
        <v>145.0283378746594</v>
      </c>
      <c r="D47" s="2936">
        <f t="shared" si="16"/>
        <v>145.0283378746594</v>
      </c>
      <c r="E47" s="2936">
        <f t="shared" si="39"/>
        <v>204.95180722891567</v>
      </c>
      <c r="F47" s="2936">
        <f t="shared" si="39"/>
        <v>125.95920303605313</v>
      </c>
      <c r="G47" s="3740">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2752</v>
      </c>
      <c r="B48" s="2949">
        <v>159</v>
      </c>
      <c r="C48" s="2949">
        <v>141</v>
      </c>
      <c r="D48" s="2949">
        <f t="shared" si="16"/>
        <v>141</v>
      </c>
      <c r="E48" s="2949">
        <v>195</v>
      </c>
      <c r="F48" s="2950">
        <v>122</v>
      </c>
      <c r="G48" s="3738">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2753</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9">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2754</v>
      </c>
      <c r="B50" s="2936">
        <f t="shared" si="42"/>
        <v>146.57412060301507</v>
      </c>
      <c r="C50" s="2936">
        <f t="shared" si="42"/>
        <v>136.46831955922866</v>
      </c>
      <c r="D50" s="2936">
        <f t="shared" si="16"/>
        <v>136.46831955922866</v>
      </c>
      <c r="E50" s="2936">
        <f t="shared" si="43"/>
        <v>166.73864894795128</v>
      </c>
      <c r="F50" s="2936">
        <f t="shared" si="43"/>
        <v>115.05882352941177</v>
      </c>
      <c r="G50" s="3739">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2755</v>
      </c>
      <c r="B51" s="2936">
        <f t="shared" si="42"/>
        <v>144.04145728643215</v>
      </c>
      <c r="C51" s="2936">
        <f t="shared" si="42"/>
        <v>136.12396694214877</v>
      </c>
      <c r="D51" s="2936">
        <f t="shared" si="16"/>
        <v>136.12396694214877</v>
      </c>
      <c r="E51" s="2936">
        <f t="shared" si="43"/>
        <v>158.32225913621264</v>
      </c>
      <c r="F51" s="2936">
        <f t="shared" si="43"/>
        <v>114.04278074866311</v>
      </c>
      <c r="G51" s="3740">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2756</v>
      </c>
      <c r="B52" s="2949">
        <v>138</v>
      </c>
      <c r="C52" s="2949">
        <v>131</v>
      </c>
      <c r="D52" s="2949">
        <f t="shared" si="16"/>
        <v>131</v>
      </c>
      <c r="E52" s="2949">
        <v>155</v>
      </c>
      <c r="F52" s="2950">
        <v>114</v>
      </c>
      <c r="G52" s="3738">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2757</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9">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2758</v>
      </c>
      <c r="B54" s="2936">
        <f t="shared" si="46"/>
        <v>124.29032258064517</v>
      </c>
      <c r="C54" s="2936">
        <f t="shared" si="46"/>
        <v>123.8968609865471</v>
      </c>
      <c r="D54" s="2936">
        <f t="shared" si="16"/>
        <v>123.8968609865471</v>
      </c>
      <c r="E54" s="2936">
        <f t="shared" si="47"/>
        <v>138.00507614213197</v>
      </c>
      <c r="F54" s="2936">
        <f t="shared" si="47"/>
        <v>107.96106557377048</v>
      </c>
      <c r="G54" s="3739">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2759</v>
      </c>
      <c r="B55" s="2936">
        <f t="shared" si="46"/>
        <v>122.57204301075269</v>
      </c>
      <c r="C55" s="2936">
        <f t="shared" si="46"/>
        <v>123.4932735426009</v>
      </c>
      <c r="D55" s="2936">
        <f t="shared" si="16"/>
        <v>123.4932735426009</v>
      </c>
      <c r="E55" s="2936">
        <f t="shared" si="47"/>
        <v>129.82233502538071</v>
      </c>
      <c r="F55" s="2936">
        <f t="shared" si="47"/>
        <v>107.39446721311475</v>
      </c>
      <c r="G55" s="3740">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2760</v>
      </c>
      <c r="B56" s="2970">
        <v>121</v>
      </c>
      <c r="C56" s="2970">
        <v>122</v>
      </c>
      <c r="D56" s="2970">
        <f t="shared" si="16"/>
        <v>122</v>
      </c>
      <c r="E56" s="2970">
        <v>124</v>
      </c>
      <c r="F56" s="2971">
        <v>107</v>
      </c>
      <c r="G56" s="3738">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2761</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9">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2762</v>
      </c>
      <c r="B58" s="2936">
        <f t="shared" si="50"/>
        <v>116.99099099099099</v>
      </c>
      <c r="C58" s="2936">
        <f t="shared" si="50"/>
        <v>118.84848484848486</v>
      </c>
      <c r="D58" s="2936">
        <f t="shared" si="16"/>
        <v>118.84848484848486</v>
      </c>
      <c r="E58" s="2936">
        <f t="shared" si="51"/>
        <v>117.60960960960961</v>
      </c>
      <c r="F58" s="2936">
        <f t="shared" si="51"/>
        <v>104</v>
      </c>
      <c r="G58" s="3739">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2763</v>
      </c>
      <c r="B59" s="2973">
        <f t="shared" si="50"/>
        <v>112.48648648648648</v>
      </c>
      <c r="C59" s="2973">
        <f t="shared" si="50"/>
        <v>115.21212121212122</v>
      </c>
      <c r="D59" s="2973">
        <f t="shared" si="16"/>
        <v>115.21212121212122</v>
      </c>
      <c r="E59" s="2973">
        <f t="shared" si="51"/>
        <v>110.4024024024024</v>
      </c>
      <c r="F59" s="2973">
        <f t="shared" si="51"/>
        <v>104</v>
      </c>
      <c r="G59" s="3740">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2764</v>
      </c>
      <c r="B60" s="2991">
        <v>111</v>
      </c>
      <c r="C60" s="2991">
        <v>114</v>
      </c>
      <c r="D60" s="2991">
        <f t="shared" si="16"/>
        <v>114</v>
      </c>
      <c r="E60" s="2991">
        <v>108</v>
      </c>
      <c r="F60" s="2992">
        <v>104</v>
      </c>
      <c r="G60" s="3738">
        <v>2003</v>
      </c>
      <c r="H60" s="2981">
        <v>4</v>
      </c>
      <c r="I60" s="2993"/>
      <c r="J60" s="2993"/>
      <c r="K60" s="2993"/>
      <c r="L60" s="2993"/>
      <c r="N60" s="2994"/>
      <c r="O60" s="2993"/>
      <c r="P60" s="2993"/>
      <c r="Q60" s="2993"/>
      <c r="S60" s="2994"/>
      <c r="T60" s="2993"/>
      <c r="U60" s="2993"/>
      <c r="V60" s="2993"/>
      <c r="X60" s="2985"/>
      <c r="Y60" s="2985"/>
      <c r="Z60" s="2985"/>
    </row>
    <row r="61" spans="1:26">
      <c r="A61" s="2916" t="s">
        <v>2765</v>
      </c>
      <c r="B61" s="2995">
        <f t="shared" ref="B61:C63" si="52">B62+(B$60-B$64)/4</f>
        <v>109.75</v>
      </c>
      <c r="C61" s="2995">
        <f t="shared" si="52"/>
        <v>112.25</v>
      </c>
      <c r="D61" s="2995">
        <f t="shared" si="16"/>
        <v>112.25</v>
      </c>
      <c r="E61" s="2995">
        <f t="shared" ref="E61:F63" si="53">E62+(E$60-E$64)/4</f>
        <v>107.25</v>
      </c>
      <c r="F61" s="2995">
        <f t="shared" si="53"/>
        <v>103.5</v>
      </c>
      <c r="G61" s="3739">
        <v>2003</v>
      </c>
      <c r="H61" s="2946">
        <v>3</v>
      </c>
      <c r="I61" s="2993"/>
      <c r="J61" s="2993"/>
      <c r="K61" s="2993"/>
      <c r="L61" s="2993"/>
      <c r="X61" s="2985"/>
      <c r="Y61" s="2985"/>
      <c r="Z61" s="2985"/>
    </row>
    <row r="62" spans="1:26">
      <c r="A62" s="2916" t="s">
        <v>2766</v>
      </c>
      <c r="B62" s="2995">
        <f t="shared" si="52"/>
        <v>108.5</v>
      </c>
      <c r="C62" s="2995">
        <f t="shared" si="52"/>
        <v>110.5</v>
      </c>
      <c r="D62" s="2995">
        <f t="shared" si="16"/>
        <v>110.5</v>
      </c>
      <c r="E62" s="2995">
        <f t="shared" si="53"/>
        <v>106.5</v>
      </c>
      <c r="F62" s="2995">
        <f t="shared" si="53"/>
        <v>103</v>
      </c>
      <c r="G62" s="3739">
        <v>2003</v>
      </c>
      <c r="H62" s="2922">
        <v>2</v>
      </c>
      <c r="I62" s="2993"/>
      <c r="J62" s="2993"/>
      <c r="K62" s="2993"/>
      <c r="L62" s="2993"/>
      <c r="X62" s="2985"/>
      <c r="Y62" s="2985"/>
      <c r="Z62" s="2985"/>
    </row>
    <row r="63" spans="1:26" ht="13.5" thickBot="1">
      <c r="A63" s="2916" t="s">
        <v>2767</v>
      </c>
      <c r="B63" s="2995">
        <f t="shared" si="52"/>
        <v>107.25</v>
      </c>
      <c r="C63" s="2995">
        <f t="shared" si="52"/>
        <v>108.75</v>
      </c>
      <c r="D63" s="2995">
        <f t="shared" si="16"/>
        <v>108.75</v>
      </c>
      <c r="E63" s="2995">
        <f t="shared" si="53"/>
        <v>105.75</v>
      </c>
      <c r="F63" s="2995">
        <f t="shared" si="53"/>
        <v>102.5</v>
      </c>
      <c r="G63" s="3740">
        <v>2003</v>
      </c>
      <c r="H63" s="2996">
        <v>1</v>
      </c>
      <c r="I63" s="2993"/>
      <c r="J63" s="2993"/>
      <c r="K63" s="2993"/>
      <c r="L63" s="2993"/>
      <c r="S63" s="2931"/>
      <c r="T63" s="2932"/>
      <c r="U63" s="2932"/>
      <c r="X63" s="2985"/>
      <c r="Y63" s="2985"/>
      <c r="Z63" s="2985"/>
    </row>
    <row r="64" spans="1:26" ht="13.5" thickBot="1">
      <c r="A64" s="2916" t="s">
        <v>2768</v>
      </c>
      <c r="B64" s="2997">
        <v>106</v>
      </c>
      <c r="C64" s="2997">
        <v>107</v>
      </c>
      <c r="D64" s="2997">
        <f t="shared" si="16"/>
        <v>107</v>
      </c>
      <c r="E64" s="2997">
        <v>105</v>
      </c>
      <c r="F64" s="2998">
        <v>102</v>
      </c>
      <c r="G64" s="3738">
        <v>2002</v>
      </c>
      <c r="H64" s="2941">
        <v>4</v>
      </c>
      <c r="I64" s="2993"/>
      <c r="J64" s="2993"/>
      <c r="K64" s="2993"/>
      <c r="L64" s="2993"/>
      <c r="N64" s="2994"/>
      <c r="O64" s="2993"/>
      <c r="P64" s="2993"/>
      <c r="Q64" s="2993"/>
      <c r="S64" s="2994"/>
      <c r="T64" s="2993"/>
      <c r="U64" s="2993"/>
      <c r="V64" s="2993"/>
      <c r="X64" s="2985"/>
      <c r="Y64" s="2985"/>
      <c r="Z64" s="2985"/>
    </row>
    <row r="65" spans="1:26">
      <c r="A65" s="2916" t="s">
        <v>2769</v>
      </c>
      <c r="B65" s="2995">
        <f t="shared" ref="B65:C67" si="54">B66+(B$64-B$68)/4</f>
        <v>105</v>
      </c>
      <c r="C65" s="2995">
        <f t="shared" si="54"/>
        <v>106</v>
      </c>
      <c r="D65" s="2995">
        <f t="shared" si="16"/>
        <v>106</v>
      </c>
      <c r="E65" s="2995">
        <f t="shared" ref="E65:F67" si="55">E66+(E$64-E$68)/4</f>
        <v>104.5</v>
      </c>
      <c r="F65" s="2995">
        <f t="shared" si="55"/>
        <v>101.5</v>
      </c>
      <c r="G65" s="3739">
        <v>2002</v>
      </c>
      <c r="H65" s="2946">
        <v>3</v>
      </c>
      <c r="I65" s="2993"/>
      <c r="J65" s="2993"/>
      <c r="K65" s="2993"/>
      <c r="L65" s="2993"/>
      <c r="X65" s="2985"/>
      <c r="Y65" s="2985"/>
      <c r="Z65" s="2985"/>
    </row>
    <row r="66" spans="1:26">
      <c r="A66" s="2916" t="s">
        <v>2770</v>
      </c>
      <c r="B66" s="2995">
        <f t="shared" si="54"/>
        <v>104</v>
      </c>
      <c r="C66" s="2995">
        <f t="shared" si="54"/>
        <v>105</v>
      </c>
      <c r="D66" s="2995">
        <f t="shared" si="16"/>
        <v>105</v>
      </c>
      <c r="E66" s="2995">
        <f t="shared" si="55"/>
        <v>104</v>
      </c>
      <c r="F66" s="2995">
        <f t="shared" si="55"/>
        <v>101</v>
      </c>
      <c r="G66" s="3739">
        <v>2002</v>
      </c>
      <c r="H66" s="2922">
        <v>2</v>
      </c>
      <c r="I66" s="2993"/>
      <c r="J66" s="2993"/>
      <c r="K66" s="2993"/>
      <c r="L66" s="2993"/>
      <c r="X66" s="2985"/>
      <c r="Y66" s="2985"/>
      <c r="Z66" s="2985"/>
    </row>
    <row r="67" spans="1:26" s="2957" customFormat="1" ht="13.5" thickBot="1">
      <c r="A67" s="2953" t="s">
        <v>2771</v>
      </c>
      <c r="B67" s="2999">
        <f t="shared" si="54"/>
        <v>103</v>
      </c>
      <c r="C67" s="2999">
        <f t="shared" si="54"/>
        <v>104</v>
      </c>
      <c r="D67" s="2999">
        <f t="shared" si="16"/>
        <v>104</v>
      </c>
      <c r="E67" s="2999">
        <f t="shared" si="55"/>
        <v>103.5</v>
      </c>
      <c r="F67" s="2999">
        <f t="shared" si="55"/>
        <v>100.5</v>
      </c>
      <c r="G67" s="3740">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2772</v>
      </c>
      <c r="G70" s="3009"/>
      <c r="N70" s="3009"/>
      <c r="S70" s="3009"/>
    </row>
    <row r="71" spans="1:26" s="3008" customFormat="1">
      <c r="A71" s="3008" t="s">
        <v>2773</v>
      </c>
      <c r="G71" s="3009"/>
      <c r="N71" s="3009"/>
      <c r="S71" s="3009"/>
    </row>
    <row r="72" spans="1:26" s="3008" customFormat="1">
      <c r="A72" s="3008" t="s">
        <v>2774</v>
      </c>
      <c r="G72" s="3009"/>
      <c r="I72" s="3010"/>
      <c r="J72" s="3010"/>
      <c r="K72" s="3010"/>
      <c r="L72" s="3010"/>
      <c r="N72" s="3011"/>
      <c r="O72" s="3010"/>
      <c r="P72" s="3010"/>
      <c r="Q72" s="3010"/>
      <c r="S72" s="3011"/>
      <c r="T72" s="3010"/>
      <c r="U72" s="3010"/>
      <c r="V72" s="3010"/>
    </row>
    <row r="73" spans="1:26" s="3008" customFormat="1">
      <c r="A73" s="3008" t="s">
        <v>2775</v>
      </c>
      <c r="G73" s="3009"/>
      <c r="N73" s="3009"/>
      <c r="S73" s="3009"/>
    </row>
    <row r="80" spans="1:26" ht="13.5" thickBot="1"/>
    <row r="81" spans="14:22" s="2930" customFormat="1">
      <c r="N81" s="2945"/>
      <c r="S81" s="3012" t="s">
        <v>2776</v>
      </c>
      <c r="T81" s="3013" t="s">
        <v>2777</v>
      </c>
      <c r="U81" s="3013" t="s">
        <v>2778</v>
      </c>
      <c r="V81" s="3013" t="s">
        <v>2779</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2379</v>
      </c>
      <c r="C1" s="3749" t="s">
        <v>2380</v>
      </c>
      <c r="D1" s="3750"/>
      <c r="E1" s="3750"/>
      <c r="F1" s="3750"/>
      <c r="G1" s="3750"/>
      <c r="H1" s="3750"/>
      <c r="I1" s="3750"/>
      <c r="J1" s="3750"/>
      <c r="K1" s="3750"/>
      <c r="L1" s="3750"/>
      <c r="M1" s="3750"/>
      <c r="N1" s="3750"/>
      <c r="O1" s="3750"/>
      <c r="P1" s="3750"/>
      <c r="Q1" s="3750"/>
      <c r="R1" s="3750"/>
      <c r="S1" s="3751"/>
      <c r="T1" s="2442" t="s">
        <v>2381</v>
      </c>
    </row>
    <row r="2" spans="1:45" s="1116" customFormat="1">
      <c r="A2" s="2443"/>
      <c r="B2" s="1112" t="s">
        <v>2382</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3027</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3026</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3025</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3024</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3023</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3022</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2383</v>
      </c>
      <c r="B17" s="2486" t="s">
        <v>2384</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3059</v>
      </c>
      <c r="E19" s="3353"/>
      <c r="F19" s="3353"/>
      <c r="G19" s="3353"/>
      <c r="H19" s="2539"/>
      <c r="I19" s="500"/>
      <c r="J19" s="500"/>
      <c r="K19" s="500"/>
      <c r="L19" s="500"/>
      <c r="M19" s="500"/>
      <c r="N19" s="500"/>
      <c r="O19" s="500"/>
      <c r="P19" s="500"/>
      <c r="Q19" s="500"/>
      <c r="R19" s="1416"/>
      <c r="S19" s="469"/>
    </row>
    <row r="20" spans="1:45" ht="16.5" thickBot="1">
      <c r="A20" s="1124" t="s">
        <v>521</v>
      </c>
      <c r="B20" s="673" t="e">
        <f ca="1">IF(D20="——",S22,S22-F20)</f>
        <v>#REF!</v>
      </c>
      <c r="C20" s="500"/>
      <c r="D20" s="3354" t="s">
        <v>3060</v>
      </c>
      <c r="E20" s="3355"/>
      <c r="F20" s="2442" t="e">
        <f ca="1">SUMIF(INDIRECT("'"&amp;H20&amp;"'"&amp;"!A:A"),"承租人权益价值",INDIRECT("'"&amp;H20&amp;"'"&amp;"!c:c"))</f>
        <v>#REF!</v>
      </c>
      <c r="G20" s="3356" t="s">
        <v>3048</v>
      </c>
      <c r="H20" s="3357"/>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46" t="s">
        <v>169</v>
      </c>
      <c r="D22" s="3747"/>
      <c r="E22" s="3747"/>
      <c r="F22" s="3747"/>
      <c r="G22" s="3747"/>
      <c r="H22" s="3747"/>
      <c r="I22" s="3747"/>
      <c r="J22" s="3747"/>
      <c r="K22" s="3747"/>
      <c r="L22" s="3747"/>
      <c r="M22" s="3747"/>
      <c r="N22" s="3747"/>
      <c r="O22" s="3747"/>
      <c r="P22" s="3747"/>
      <c r="Q22" s="3748"/>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813</v>
      </c>
      <c r="B1" s="573"/>
      <c r="C1" s="574"/>
      <c r="D1" s="574"/>
      <c r="E1" s="574"/>
      <c r="F1" s="574"/>
      <c r="G1" s="575"/>
    </row>
    <row r="2" spans="1:7" s="576" customFormat="1" ht="18" customHeight="1">
      <c r="A2" s="577" t="s">
        <v>814</v>
      </c>
      <c r="B2" s="578">
        <f ca="1">C52</f>
        <v>82506</v>
      </c>
      <c r="C2" s="85" t="s">
        <v>863</v>
      </c>
      <c r="D2" s="575"/>
      <c r="E2" s="575"/>
      <c r="F2" s="575"/>
      <c r="G2" s="575"/>
    </row>
    <row r="3" spans="1:7" s="576" customFormat="1" ht="18" customHeight="1" thickBot="1">
      <c r="A3" s="579" t="s">
        <v>815</v>
      </c>
      <c r="B3" s="580">
        <f ca="1">ROUND(B2*10000/'数据-汇总表'!E3,0)</f>
        <v>8919</v>
      </c>
      <c r="C3" s="85" t="s">
        <v>864</v>
      </c>
      <c r="D3" s="575"/>
      <c r="E3" s="575"/>
      <c r="F3" s="575"/>
      <c r="G3" s="575"/>
    </row>
    <row r="4" spans="1:7" s="584" customFormat="1" ht="15.75">
      <c r="A4" s="581" t="s">
        <v>816</v>
      </c>
      <c r="B4" s="582"/>
      <c r="C4" s="582"/>
      <c r="D4" s="582"/>
      <c r="E4" s="582"/>
      <c r="F4" s="582"/>
      <c r="G4" s="583"/>
    </row>
    <row r="5" spans="1:7" s="590" customFormat="1" ht="13.5" customHeight="1">
      <c r="A5" s="631" t="s">
        <v>2502</v>
      </c>
      <c r="B5" s="586" t="s">
        <v>817</v>
      </c>
      <c r="C5" s="587">
        <f>C6+C7+C8</f>
        <v>20610</v>
      </c>
      <c r="D5" s="587" t="s">
        <v>818</v>
      </c>
      <c r="E5" s="588" t="s">
        <v>819</v>
      </c>
      <c r="F5" s="588" t="s">
        <v>820</v>
      </c>
      <c r="G5" s="589"/>
    </row>
    <row r="6" spans="1:7" s="590" customFormat="1" ht="13.5" customHeight="1">
      <c r="A6" s="1804" t="s">
        <v>1919</v>
      </c>
      <c r="B6" s="591" t="s">
        <v>821</v>
      </c>
      <c r="C6" s="592">
        <v>20000</v>
      </c>
      <c r="D6" s="593"/>
      <c r="E6" s="594"/>
      <c r="F6" s="594"/>
      <c r="G6" s="595"/>
    </row>
    <row r="7" spans="1:7" s="590" customFormat="1" ht="13.5" customHeight="1">
      <c r="A7" s="1804" t="s">
        <v>1920</v>
      </c>
      <c r="B7" s="591" t="s">
        <v>347</v>
      </c>
      <c r="C7" s="596">
        <f>ROUND(C6*F7,0)</f>
        <v>610</v>
      </c>
      <c r="D7" s="596"/>
      <c r="E7" s="594"/>
      <c r="F7" s="597">
        <f>'数据-取费表'!B48+'数据-取费表'!B49</f>
        <v>3.0499999999999999E-2</v>
      </c>
      <c r="G7" s="595"/>
    </row>
    <row r="8" spans="1:7" s="599" customFormat="1">
      <c r="A8" s="1804" t="s">
        <v>1921</v>
      </c>
      <c r="B8" s="591" t="s">
        <v>822</v>
      </c>
      <c r="C8" s="596" t="str">
        <f>IF(G8="已包含在土地购买价格中","0",'数据-取费表'!B29)</f>
        <v>0</v>
      </c>
      <c r="D8" s="598"/>
      <c r="E8" s="596"/>
      <c r="F8" s="597"/>
      <c r="G8" s="84" t="s">
        <v>2680</v>
      </c>
    </row>
    <row r="9" spans="1:7" s="590" customFormat="1" ht="13.5" customHeight="1">
      <c r="A9" s="1805" t="s">
        <v>1928</v>
      </c>
      <c r="B9" s="600" t="s">
        <v>823</v>
      </c>
      <c r="C9" s="601">
        <f>ROUND(D9*E9/10000,0)</f>
        <v>0</v>
      </c>
      <c r="D9" s="1909">
        <f>'数据-汇总表'!E5</f>
        <v>0</v>
      </c>
      <c r="E9" s="601">
        <f>'数据-取费表'!B27</f>
        <v>160</v>
      </c>
      <c r="F9" s="597"/>
      <c r="G9" s="602"/>
    </row>
    <row r="10" spans="1:7" s="590" customFormat="1" ht="13.5" customHeight="1">
      <c r="A10" s="1805" t="s">
        <v>1929</v>
      </c>
      <c r="B10" s="600" t="s">
        <v>824</v>
      </c>
      <c r="C10" s="601">
        <f>ROUND(D10*E10/10000,0)</f>
        <v>1850</v>
      </c>
      <c r="D10" s="1909">
        <f>'数据-汇总表'!E6</f>
        <v>92501.329999999987</v>
      </c>
      <c r="E10" s="601">
        <f>'数据-取费表'!B28</f>
        <v>200</v>
      </c>
      <c r="F10" s="597"/>
      <c r="G10" s="602"/>
    </row>
    <row r="11" spans="1:7" s="590" customFormat="1" ht="13.5" hidden="1" customHeight="1">
      <c r="A11" s="603" t="s">
        <v>42</v>
      </c>
      <c r="B11" s="591" t="s">
        <v>825</v>
      </c>
      <c r="C11" s="587"/>
      <c r="D11" s="1911"/>
      <c r="E11" s="594"/>
      <c r="F11" s="594"/>
      <c r="G11" s="595"/>
    </row>
    <row r="12" spans="1:7" s="590" customFormat="1" ht="13.5" hidden="1" customHeight="1">
      <c r="A12" s="603" t="s">
        <v>43</v>
      </c>
      <c r="B12" s="591" t="s">
        <v>826</v>
      </c>
      <c r="C12" s="587">
        <v>0</v>
      </c>
      <c r="D12" s="1911"/>
      <c r="E12" s="604"/>
      <c r="F12" s="597">
        <v>3.0499999999999999E-2</v>
      </c>
      <c r="G12" s="595"/>
    </row>
    <row r="13" spans="1:7" s="590" customFormat="1" ht="13.5" hidden="1" customHeight="1">
      <c r="A13" s="603" t="s">
        <v>44</v>
      </c>
      <c r="B13" s="591" t="s">
        <v>827</v>
      </c>
      <c r="C13" s="587"/>
      <c r="D13" s="1911"/>
      <c r="E13" s="594"/>
      <c r="F13" s="594"/>
      <c r="G13" s="595"/>
    </row>
    <row r="14" spans="1:7" s="590" customFormat="1" ht="13.5" hidden="1" customHeight="1">
      <c r="A14" s="603" t="s">
        <v>45</v>
      </c>
      <c r="B14" s="591" t="s">
        <v>822</v>
      </c>
      <c r="C14" s="587"/>
      <c r="D14" s="1911"/>
      <c r="E14" s="594"/>
      <c r="F14" s="594"/>
      <c r="G14" s="595" t="s">
        <v>828</v>
      </c>
    </row>
    <row r="15" spans="1:7" s="590" customFormat="1" ht="13.5" hidden="1" customHeight="1">
      <c r="A15" s="603" t="s">
        <v>46</v>
      </c>
      <c r="B15" s="591" t="s">
        <v>829</v>
      </c>
      <c r="C15" s="596"/>
      <c r="D15" s="1911"/>
      <c r="E15" s="594"/>
      <c r="F15" s="594"/>
      <c r="G15" s="595" t="s">
        <v>830</v>
      </c>
    </row>
    <row r="16" spans="1:7"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2503</v>
      </c>
      <c r="B19" s="586" t="s">
        <v>841</v>
      </c>
      <c r="C19" s="587">
        <f>IF(G19="已包含在土地取得成本中","0",ROUND(D19*E19/10000,0))</f>
        <v>1850</v>
      </c>
      <c r="D19" s="1913">
        <f>'数据-汇总表'!E3</f>
        <v>92501.329999999987</v>
      </c>
      <c r="E19" s="587">
        <f>'数据-取费表'!B31</f>
        <v>200</v>
      </c>
      <c r="F19" s="607"/>
      <c r="G19" s="84" t="s">
        <v>2525</v>
      </c>
    </row>
    <row r="20" spans="1:7" s="590" customFormat="1" ht="13.5" customHeight="1">
      <c r="A20" s="1803" t="s">
        <v>2505</v>
      </c>
      <c r="B20" s="586" t="s">
        <v>834</v>
      </c>
      <c r="C20" s="608">
        <f>ROUND((C5+C19)*F20,0)</f>
        <v>674</v>
      </c>
      <c r="D20" s="608"/>
      <c r="E20" s="608"/>
      <c r="F20" s="609">
        <f>'数据-取费表'!B37</f>
        <v>0.03</v>
      </c>
      <c r="G20" s="2621" t="s">
        <v>2516</v>
      </c>
    </row>
    <row r="21" spans="1:7" s="590" customFormat="1" ht="13.5" customHeight="1">
      <c r="A21" s="1803" t="s">
        <v>2507</v>
      </c>
      <c r="B21" s="586" t="s">
        <v>835</v>
      </c>
      <c r="C21" s="611">
        <f>F21</f>
        <v>0.03</v>
      </c>
      <c r="D21" s="612" t="s">
        <v>856</v>
      </c>
      <c r="E21" s="608"/>
      <c r="F21" s="609">
        <f>'数据-取费表'!B38</f>
        <v>0.03</v>
      </c>
      <c r="G21" s="610" t="s">
        <v>836</v>
      </c>
    </row>
    <row r="22" spans="1:7" s="590" customFormat="1" ht="13.5" customHeight="1">
      <c r="A22" s="1803" t="s">
        <v>1914</v>
      </c>
      <c r="B22" s="586" t="s">
        <v>837</v>
      </c>
      <c r="C22" s="2700">
        <f ca="1">ROUND(SUM(C23:C25),0)</f>
        <v>2216</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1922</v>
      </c>
      <c r="B23" s="591" t="s">
        <v>2509</v>
      </c>
      <c r="C23" s="2701">
        <f ca="1">ROUND(IF('数据-取费表'!B22&lt;=1,C5*F22*'数据-取费表'!B23,C5*(POWER((1+F22),'数据-取费表'!B23)-1)),0)</f>
        <v>2004</v>
      </c>
      <c r="D23" s="614"/>
      <c r="E23" s="614"/>
      <c r="F23" s="615"/>
      <c r="G23" s="616" t="s">
        <v>838</v>
      </c>
    </row>
    <row r="24" spans="1:7" s="590" customFormat="1" ht="13.5" customHeight="1">
      <c r="A24" s="1806" t="s">
        <v>1920</v>
      </c>
      <c r="B24" s="591" t="s">
        <v>2504</v>
      </c>
      <c r="C24" s="2701">
        <f ca="1">ROUND(IF('数据-取费表'!B22&lt;=1,C19*F22*('数据-取费表'!B19/2+'数据-取费表'!B21),C19*(POWER((1+F22),('数据-取费表'!B19/2+'数据-取费表'!B21))-1)),0)</f>
        <v>180</v>
      </c>
      <c r="D24" s="614"/>
      <c r="E24" s="614"/>
      <c r="F24" s="615"/>
      <c r="G24" s="616" t="s">
        <v>839</v>
      </c>
    </row>
    <row r="25" spans="1:7" s="590" customFormat="1" ht="24">
      <c r="A25" s="1806" t="s">
        <v>1921</v>
      </c>
      <c r="B25" s="591" t="s">
        <v>2506</v>
      </c>
      <c r="C25" s="2701">
        <f ca="1">ROUND(IF('数据-取费表'!B22&lt;=1,C20*F22*'数据-取费表'!B23/2,C20*(POWER((1+F22),'数据-取费表'!B23/2)-1)),0)</f>
        <v>32</v>
      </c>
      <c r="D25" s="614"/>
      <c r="E25" s="617"/>
      <c r="F25" s="615"/>
      <c r="G25" s="618" t="s">
        <v>840</v>
      </c>
    </row>
    <row r="26" spans="1:7" s="590" customFormat="1">
      <c r="A26" s="1806" t="s">
        <v>1923</v>
      </c>
      <c r="B26" s="591" t="s">
        <v>2508</v>
      </c>
      <c r="C26" s="614">
        <f ca="1">ROUND(IF('数据-取费表'!B22&lt;=1,F21*F22*'数据-取费表'!B23/2,F21*(POWER((1+F22),'数据-取费表'!B23/2)-1)),4)</f>
        <v>1.4E-3</v>
      </c>
      <c r="D26" s="614"/>
      <c r="E26" s="617"/>
      <c r="F26" s="615"/>
      <c r="G26" s="619"/>
    </row>
    <row r="27" spans="1:7" s="590" customFormat="1" ht="24.75">
      <c r="A27" s="1803" t="s">
        <v>1915</v>
      </c>
      <c r="B27" s="620" t="s">
        <v>842</v>
      </c>
      <c r="C27" s="621">
        <f>C28</f>
        <v>4858</v>
      </c>
      <c r="D27" s="611">
        <f>C29</f>
        <v>6.3E-3</v>
      </c>
      <c r="E27" s="612" t="s">
        <v>856</v>
      </c>
      <c r="F27" s="622">
        <f>'数据-取费表'!Q16</f>
        <v>0.21</v>
      </c>
      <c r="G27" s="623" t="s">
        <v>2517</v>
      </c>
    </row>
    <row r="28" spans="1:7" s="590" customFormat="1" ht="13.5" customHeight="1">
      <c r="A28" s="1806" t="s">
        <v>1922</v>
      </c>
      <c r="B28" s="624" t="s">
        <v>2510</v>
      </c>
      <c r="C28" s="625">
        <f>ROUND((C5+C19+C20)*F27*'数据-取费表'!B21/'数据-取费表'!B20,0)</f>
        <v>4858</v>
      </c>
      <c r="D28" s="611"/>
      <c r="E28" s="612"/>
      <c r="F28" s="622"/>
      <c r="G28" s="623"/>
    </row>
    <row r="29" spans="1:7" s="590" customFormat="1" ht="13.5" customHeight="1">
      <c r="A29" s="1806" t="s">
        <v>1920</v>
      </c>
      <c r="B29" s="624" t="s">
        <v>2511</v>
      </c>
      <c r="C29" s="614">
        <f>ROUND(C21*F27*'数据-取费表'!B21/'数据-取费表'!B20,4)</f>
        <v>6.3E-3</v>
      </c>
      <c r="D29" s="611"/>
      <c r="E29" s="612"/>
      <c r="F29" s="622"/>
      <c r="G29" s="623"/>
    </row>
    <row r="30" spans="1:7" s="590" customFormat="1" ht="13.5" customHeight="1">
      <c r="A30" s="1803" t="s">
        <v>1916</v>
      </c>
      <c r="B30" s="586" t="s">
        <v>348</v>
      </c>
      <c r="C30" s="611">
        <f>F30</f>
        <v>5.6000000000000001E-2</v>
      </c>
      <c r="D30" s="612" t="s">
        <v>857</v>
      </c>
      <c r="E30" s="617"/>
      <c r="F30" s="613">
        <f>'数据-取费表'!B41</f>
        <v>5.6000000000000001E-2</v>
      </c>
      <c r="G30" s="610" t="s">
        <v>843</v>
      </c>
    </row>
    <row r="31" spans="1:7" ht="16.5" customHeight="1">
      <c r="A31" s="585">
        <v>1</v>
      </c>
      <c r="B31" s="586" t="s">
        <v>858</v>
      </c>
      <c r="C31" s="587">
        <f ca="1">ROUND((C5+C19+C20+C22+C27)/(1-C21-D22-D27-C30/(1+'数据-取费表'!B42)),0)</f>
        <v>33233</v>
      </c>
      <c r="D31" s="606"/>
      <c r="E31" s="587"/>
      <c r="F31" s="626"/>
      <c r="G31" s="610" t="s">
        <v>2518</v>
      </c>
    </row>
    <row r="32" spans="1:7" s="584" customFormat="1" ht="15.75">
      <c r="A32" s="628" t="s">
        <v>844</v>
      </c>
      <c r="B32" s="629"/>
      <c r="C32" s="629"/>
      <c r="D32" s="629"/>
      <c r="E32" s="629"/>
      <c r="F32" s="629"/>
      <c r="G32" s="630"/>
    </row>
    <row r="33" spans="1:7" s="590" customFormat="1" ht="13.5" customHeight="1">
      <c r="A33" s="631" t="s">
        <v>1910</v>
      </c>
      <c r="B33" s="586" t="s">
        <v>845</v>
      </c>
      <c r="C33" s="632">
        <f>SUM(C34:C38)</f>
        <v>42170</v>
      </c>
      <c r="D33" s="608"/>
      <c r="E33" s="588"/>
      <c r="F33" s="617"/>
      <c r="G33" s="610"/>
    </row>
    <row r="34" spans="1:7" s="634" customFormat="1" ht="13.5" customHeight="1">
      <c r="A34" s="1806" t="s">
        <v>1922</v>
      </c>
      <c r="B34" s="591" t="s">
        <v>349</v>
      </c>
      <c r="C34" s="596">
        <f>IF(F34=100%,'数据-取费表'!M16-SUMIF('数据-取费表'!C:C,"公共配套",'数据-取费表'!M:M),'数据-取费表'!O16-SUMIF('数据-取费表'!C:C,"公共配套",'数据-取费表'!O:O))</f>
        <v>37859</v>
      </c>
      <c r="D34" s="593"/>
      <c r="E34" s="596"/>
      <c r="F34" s="633">
        <f>IF('数据-取费表'!B24=0,1,'数据-取费表'!N16)</f>
        <v>1</v>
      </c>
      <c r="G34" s="595" t="s">
        <v>846</v>
      </c>
    </row>
    <row r="35" spans="1:7" ht="13.5" customHeight="1">
      <c r="A35" s="1806" t="s">
        <v>1924</v>
      </c>
      <c r="B35" s="591" t="s">
        <v>350</v>
      </c>
      <c r="C35" s="596">
        <f>ROUND(C34*F35,0)</f>
        <v>1893</v>
      </c>
      <c r="D35" s="596"/>
      <c r="E35" s="596"/>
      <c r="F35" s="635">
        <f>'数据-取费表'!B33</f>
        <v>0.05</v>
      </c>
      <c r="G35" s="595" t="s">
        <v>847</v>
      </c>
    </row>
    <row r="36" spans="1:7" ht="24">
      <c r="A36" s="1806" t="s">
        <v>1925</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1926</v>
      </c>
      <c r="B37" s="591" t="s">
        <v>848</v>
      </c>
      <c r="C37" s="625">
        <f>ROUND(E37*D37*F34/10000,0)</f>
        <v>1850</v>
      </c>
      <c r="D37" s="593">
        <f>'数据-汇总表'!E3</f>
        <v>92501.329999999987</v>
      </c>
      <c r="E37" s="625">
        <f>'数据-取费表'!B35</f>
        <v>200</v>
      </c>
      <c r="F37" s="635"/>
      <c r="G37" s="637" t="s">
        <v>849</v>
      </c>
    </row>
    <row r="38" spans="1:7" ht="13.5" customHeight="1">
      <c r="A38" s="1806" t="s">
        <v>1927</v>
      </c>
      <c r="B38" s="591" t="s">
        <v>353</v>
      </c>
      <c r="C38" s="596">
        <f>ROUND(C34*F38,0)</f>
        <v>568</v>
      </c>
      <c r="D38" s="596"/>
      <c r="E38" s="596"/>
      <c r="F38" s="635">
        <f>'数据-取费表'!B36</f>
        <v>1.4999999999999999E-2</v>
      </c>
      <c r="G38" s="595" t="s">
        <v>847</v>
      </c>
    </row>
    <row r="39" spans="1:7" s="590" customFormat="1" ht="13.5" customHeight="1">
      <c r="A39" s="1803" t="s">
        <v>1911</v>
      </c>
      <c r="B39" s="586" t="s">
        <v>834</v>
      </c>
      <c r="C39" s="608">
        <f>ROUND(C33*F20,0)</f>
        <v>1265</v>
      </c>
      <c r="D39" s="608"/>
      <c r="E39" s="608"/>
      <c r="F39" s="609"/>
      <c r="G39" s="2621" t="s">
        <v>2519</v>
      </c>
    </row>
    <row r="40" spans="1:7" s="590" customFormat="1" ht="13.5" customHeight="1">
      <c r="A40" s="1803" t="s">
        <v>1912</v>
      </c>
      <c r="B40" s="586" t="s">
        <v>835</v>
      </c>
      <c r="C40" s="638">
        <f>F21</f>
        <v>0.03</v>
      </c>
      <c r="D40" s="612" t="s">
        <v>859</v>
      </c>
      <c r="E40" s="608"/>
      <c r="F40" s="609"/>
      <c r="G40" s="610" t="s">
        <v>850</v>
      </c>
    </row>
    <row r="41" spans="1:7" s="590" customFormat="1" ht="13.5" customHeight="1">
      <c r="A41" s="1803" t="s">
        <v>1913</v>
      </c>
      <c r="B41" s="586" t="s">
        <v>837</v>
      </c>
      <c r="C41" s="608">
        <f ca="1">ROUND(SUM(C42:C43),0)</f>
        <v>2063</v>
      </c>
      <c r="D41" s="611">
        <f ca="1">C44</f>
        <v>1.4E-3</v>
      </c>
      <c r="E41" s="612" t="s">
        <v>859</v>
      </c>
      <c r="F41" s="613"/>
      <c r="G41" s="2621" t="str">
        <f>IF('数据-取费表'!B22&lt;=1,"单利计息","复利计息")</f>
        <v>复利计息</v>
      </c>
    </row>
    <row r="42" spans="1:7" ht="13.5" customHeight="1">
      <c r="A42" s="1806" t="s">
        <v>1922</v>
      </c>
      <c r="B42" s="591" t="s">
        <v>2509</v>
      </c>
      <c r="C42" s="614">
        <f ca="1">ROUND(IF('数据-取费表'!B22&lt;=1,C33*F22*'数据-取费表'!B21/2,C33*(POWER((1+F22),'数据-取费表'!B21/2)-1)),0)</f>
        <v>2003</v>
      </c>
      <c r="D42" s="614"/>
      <c r="E42" s="614"/>
      <c r="F42" s="615"/>
      <c r="G42" s="3592" t="s">
        <v>851</v>
      </c>
    </row>
    <row r="43" spans="1:7" ht="13.5" customHeight="1">
      <c r="A43" s="1806" t="s">
        <v>1920</v>
      </c>
      <c r="B43" s="591" t="s">
        <v>2512</v>
      </c>
      <c r="C43" s="614">
        <f ca="1">ROUND(IF('数据-取费表'!B22&lt;=1,C39*F22*'数据-取费表'!B21/2,C39*(POWER((1+F22),'数据-取费表'!B21/2)-1)),0)</f>
        <v>60</v>
      </c>
      <c r="D43" s="614"/>
      <c r="E43" s="614"/>
      <c r="F43" s="615"/>
      <c r="G43" s="3593"/>
    </row>
    <row r="44" spans="1:7" ht="13.5" customHeight="1">
      <c r="A44" s="1806" t="s">
        <v>1921</v>
      </c>
      <c r="B44" s="591" t="s">
        <v>2514</v>
      </c>
      <c r="C44" s="614">
        <f ca="1">ROUND(IF('数据-取费表'!B22&lt;=1,C40*F22*'数据-取费表'!B21/2,C40*(POWER((1+F22),'数据-取费表'!B21/2)-1)),4)</f>
        <v>1.4E-3</v>
      </c>
      <c r="D44" s="614"/>
      <c r="E44" s="614"/>
      <c r="F44" s="615"/>
      <c r="G44" s="3594"/>
    </row>
    <row r="45" spans="1:7" s="590" customFormat="1" ht="13.5" customHeight="1">
      <c r="A45" s="1803" t="s">
        <v>1914</v>
      </c>
      <c r="B45" s="620" t="s">
        <v>842</v>
      </c>
      <c r="C45" s="621">
        <f>C46</f>
        <v>9121</v>
      </c>
      <c r="D45" s="611">
        <f>C47</f>
        <v>6.3E-3</v>
      </c>
      <c r="E45" s="612" t="s">
        <v>859</v>
      </c>
      <c r="F45" s="622"/>
      <c r="G45" s="623" t="s">
        <v>2520</v>
      </c>
    </row>
    <row r="46" spans="1:7" s="590" customFormat="1" ht="13.5" customHeight="1">
      <c r="A46" s="1806" t="s">
        <v>1922</v>
      </c>
      <c r="B46" s="624" t="s">
        <v>2513</v>
      </c>
      <c r="C46" s="625">
        <f>ROUND((C33+C39)*F27,0)</f>
        <v>9121</v>
      </c>
      <c r="D46" s="639"/>
      <c r="E46" s="612"/>
      <c r="F46" s="622"/>
      <c r="G46" s="623"/>
    </row>
    <row r="47" spans="1:7" s="590" customFormat="1" ht="13.5" customHeight="1">
      <c r="A47" s="1806" t="s">
        <v>1920</v>
      </c>
      <c r="B47" s="624" t="s">
        <v>2515</v>
      </c>
      <c r="C47" s="614">
        <f>ROUND(C40*F27,4)</f>
        <v>6.3E-3</v>
      </c>
      <c r="D47" s="639"/>
      <c r="E47" s="612"/>
      <c r="F47" s="622"/>
      <c r="G47" s="623"/>
    </row>
    <row r="48" spans="1:7" s="590" customFormat="1" ht="13.5" customHeight="1">
      <c r="A48" s="1803" t="s">
        <v>1915</v>
      </c>
      <c r="B48" s="586" t="s">
        <v>852</v>
      </c>
      <c r="C48" s="638">
        <f>F30</f>
        <v>5.6000000000000001E-2</v>
      </c>
      <c r="D48" s="612" t="s">
        <v>860</v>
      </c>
      <c r="E48" s="608"/>
      <c r="F48" s="613"/>
      <c r="G48" s="610" t="s">
        <v>853</v>
      </c>
    </row>
    <row r="49" spans="1:7" ht="16.5" customHeight="1">
      <c r="A49" s="1803" t="s">
        <v>1916</v>
      </c>
      <c r="B49" s="586" t="s">
        <v>861</v>
      </c>
      <c r="C49" s="608">
        <f ca="1">ROUND((C33+C39+C41+C45)/(1-C40-D41-D45-C48/(1+'数据-取费表'!B42)),0)</f>
        <v>60089</v>
      </c>
      <c r="D49" s="608"/>
      <c r="E49" s="608"/>
      <c r="F49" s="640"/>
      <c r="G49" s="610" t="s">
        <v>2521</v>
      </c>
    </row>
    <row r="50" spans="1:7" s="634" customFormat="1" ht="24">
      <c r="A50" s="1803" t="s">
        <v>1917</v>
      </c>
      <c r="B50" s="586" t="s">
        <v>854</v>
      </c>
      <c r="C50" s="608"/>
      <c r="D50" s="608"/>
      <c r="E50" s="608"/>
      <c r="F50" s="640">
        <f>IF('数据-取费表'!B24=0,'数据-取费表'!N16,1)</f>
        <v>0.82</v>
      </c>
      <c r="G50" s="623" t="s">
        <v>855</v>
      </c>
    </row>
    <row r="51" spans="1:7" ht="16.5" customHeight="1">
      <c r="A51" s="1803" t="s">
        <v>1918</v>
      </c>
      <c r="B51" s="586" t="s">
        <v>862</v>
      </c>
      <c r="C51" s="608">
        <f ca="1">ROUND(C49*F50,0)</f>
        <v>49273</v>
      </c>
      <c r="D51" s="608"/>
      <c r="E51" s="608"/>
      <c r="F51" s="640"/>
      <c r="G51" s="610" t="s">
        <v>354</v>
      </c>
    </row>
    <row r="52" spans="1:7" s="584" customFormat="1" ht="16.5" thickBot="1">
      <c r="A52" s="641" t="s">
        <v>355</v>
      </c>
      <c r="B52" s="642"/>
      <c r="C52" s="643">
        <f ca="1">C31+C51</f>
        <v>82506</v>
      </c>
      <c r="D52" s="642"/>
      <c r="E52" s="642"/>
      <c r="F52" s="642"/>
      <c r="G52" s="644"/>
    </row>
    <row r="55" spans="1:7" ht="15">
      <c r="B55" s="646" t="s">
        <v>356</v>
      </c>
      <c r="C55" s="647"/>
    </row>
    <row r="56" spans="1:7">
      <c r="B56" s="649" t="s">
        <v>357</v>
      </c>
      <c r="C56" s="650">
        <f ca="1">ROUND(C51/C52,3)</f>
        <v>0.59699999999999998</v>
      </c>
    </row>
    <row r="57" spans="1:7">
      <c r="B57" s="649" t="s">
        <v>358</v>
      </c>
      <c r="C57" s="651">
        <f ca="1">1-C56</f>
        <v>0.40300000000000002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52" t="s">
        <v>1168</v>
      </c>
      <c r="B1" s="3752"/>
      <c r="C1" s="3752"/>
      <c r="D1" s="3752"/>
      <c r="E1" s="3752"/>
      <c r="F1" s="3752"/>
      <c r="H1" s="1521" t="s">
        <v>1169</v>
      </c>
      <c r="I1" s="1522" t="s">
        <v>1170</v>
      </c>
      <c r="J1" s="1522" t="s">
        <v>1171</v>
      </c>
      <c r="K1" s="1522" t="s">
        <v>1172</v>
      </c>
      <c r="L1" s="1522" t="s">
        <v>1173</v>
      </c>
      <c r="M1" s="1522" t="s">
        <v>1174</v>
      </c>
      <c r="N1" s="1522" t="s">
        <v>1175</v>
      </c>
      <c r="O1" s="1522" t="s">
        <v>1176</v>
      </c>
      <c r="P1" s="1522" t="s">
        <v>1177</v>
      </c>
      <c r="Q1" s="1522" t="s">
        <v>1178</v>
      </c>
      <c r="R1" s="1522" t="s">
        <v>1179</v>
      </c>
      <c r="S1" s="1523" t="s">
        <v>1180</v>
      </c>
    </row>
    <row r="2" spans="1:19" ht="14.25" thickBot="1">
      <c r="A2" s="3753" t="s">
        <v>1181</v>
      </c>
      <c r="B2" s="3753"/>
      <c r="C2" s="3753"/>
      <c r="D2" s="3753"/>
      <c r="E2" s="3753"/>
      <c r="F2" s="3753"/>
      <c r="H2" s="1524" t="s">
        <v>1182</v>
      </c>
      <c r="I2" s="1525" t="s">
        <v>1183</v>
      </c>
      <c r="J2" s="1525" t="s">
        <v>1184</v>
      </c>
      <c r="K2" s="1525" t="s">
        <v>1185</v>
      </c>
      <c r="L2" s="1525" t="s">
        <v>1186</v>
      </c>
      <c r="M2" s="1525" t="s">
        <v>1187</v>
      </c>
      <c r="N2" s="1525" t="s">
        <v>1188</v>
      </c>
      <c r="O2" s="1525" t="s">
        <v>1189</v>
      </c>
      <c r="P2" s="1525" t="s">
        <v>1190</v>
      </c>
      <c r="Q2" s="1525" t="s">
        <v>1191</v>
      </c>
      <c r="R2" s="1525" t="s">
        <v>1192</v>
      </c>
      <c r="S2" s="1525" t="s">
        <v>1193</v>
      </c>
    </row>
    <row r="3" spans="1:19" s="1520" customFormat="1" ht="19.5" customHeight="1">
      <c r="A3" s="3754" t="s">
        <v>1194</v>
      </c>
      <c r="B3" s="1526"/>
      <c r="C3" s="1527" t="s">
        <v>1195</v>
      </c>
      <c r="D3" s="1527" t="s">
        <v>1196</v>
      </c>
      <c r="E3" s="1527" t="s">
        <v>1843</v>
      </c>
      <c r="F3" s="1527" t="s">
        <v>1198</v>
      </c>
      <c r="G3" s="1528"/>
      <c r="H3" s="1524" t="s">
        <v>1199</v>
      </c>
      <c r="I3" s="1525" t="s">
        <v>1200</v>
      </c>
      <c r="J3" s="1525" t="s">
        <v>1201</v>
      </c>
      <c r="K3" s="1525" t="s">
        <v>1202</v>
      </c>
      <c r="L3" s="1525" t="s">
        <v>1203</v>
      </c>
      <c r="M3" s="1525" t="s">
        <v>1204</v>
      </c>
      <c r="N3" s="1525" t="s">
        <v>1205</v>
      </c>
      <c r="O3" s="1525" t="s">
        <v>1206</v>
      </c>
      <c r="P3" s="1525" t="s">
        <v>1207</v>
      </c>
      <c r="Q3" s="1525" t="s">
        <v>1208</v>
      </c>
      <c r="R3" s="1525" t="s">
        <v>1209</v>
      </c>
      <c r="S3" s="1525" t="s">
        <v>1210</v>
      </c>
    </row>
    <row r="4" spans="1:19" s="1520" customFormat="1" ht="19.5" customHeight="1" thickBot="1">
      <c r="A4" s="3755"/>
      <c r="B4" s="1529" t="s">
        <v>1211</v>
      </c>
      <c r="C4" s="1529" t="s">
        <v>1212</v>
      </c>
      <c r="D4" s="1529" t="s">
        <v>1212</v>
      </c>
      <c r="E4" s="1529" t="s">
        <v>1212</v>
      </c>
      <c r="F4" s="1530" t="s">
        <v>1212</v>
      </c>
      <c r="G4" s="1528"/>
      <c r="H4" s="1524" t="s">
        <v>1213</v>
      </c>
      <c r="I4" s="1525" t="s">
        <v>1136</v>
      </c>
      <c r="J4" s="1525" t="s">
        <v>1214</v>
      </c>
      <c r="K4" s="1525" t="s">
        <v>1215</v>
      </c>
      <c r="L4" s="1525" t="s">
        <v>1216</v>
      </c>
      <c r="M4" s="1525" t="s">
        <v>1217</v>
      </c>
      <c r="N4" s="1525" t="s">
        <v>1218</v>
      </c>
      <c r="O4" s="1525" t="s">
        <v>1219</v>
      </c>
      <c r="P4" s="1525" t="s">
        <v>1220</v>
      </c>
      <c r="Q4" s="1525" t="s">
        <v>1221</v>
      </c>
      <c r="R4" s="1525" t="s">
        <v>1222</v>
      </c>
      <c r="S4" s="1525" t="s">
        <v>1223</v>
      </c>
    </row>
    <row r="5" spans="1:19" ht="14.25" customHeight="1" thickBot="1">
      <c r="A5" s="1531" t="s">
        <v>1950</v>
      </c>
      <c r="B5" s="1532" t="s">
        <v>1951</v>
      </c>
      <c r="C5" s="1532">
        <v>29530</v>
      </c>
      <c r="D5" s="1532">
        <v>28130</v>
      </c>
      <c r="E5" s="1532">
        <v>27930</v>
      </c>
      <c r="F5" s="1533">
        <v>11300</v>
      </c>
      <c r="G5" s="1528"/>
      <c r="H5" s="1524" t="s">
        <v>1225</v>
      </c>
      <c r="I5" s="1525" t="s">
        <v>1226</v>
      </c>
      <c r="J5" s="1525" t="s">
        <v>1227</v>
      </c>
      <c r="K5" s="1525" t="s">
        <v>1228</v>
      </c>
      <c r="L5" s="1525" t="s">
        <v>1229</v>
      </c>
      <c r="M5" s="1525" t="s">
        <v>1230</v>
      </c>
      <c r="N5" s="1525" t="s">
        <v>1231</v>
      </c>
      <c r="O5" s="1525" t="s">
        <v>1232</v>
      </c>
      <c r="P5" s="1525" t="s">
        <v>1233</v>
      </c>
      <c r="Q5" s="1525" t="s">
        <v>1234</v>
      </c>
      <c r="R5" s="1525" t="s">
        <v>1235</v>
      </c>
      <c r="S5" s="1525" t="s">
        <v>1236</v>
      </c>
    </row>
    <row r="6" spans="1:19" ht="14.25" customHeight="1" thickBot="1">
      <c r="A6" s="1531" t="s">
        <v>1224</v>
      </c>
      <c r="B6" s="1525" t="s">
        <v>1199</v>
      </c>
      <c r="C6" s="1525">
        <v>30290</v>
      </c>
      <c r="D6" s="1525">
        <v>29210</v>
      </c>
      <c r="E6" s="1525">
        <v>28860</v>
      </c>
      <c r="F6" s="1534">
        <v>12600</v>
      </c>
      <c r="G6" s="1528"/>
      <c r="H6" s="1524" t="s">
        <v>1237</v>
      </c>
      <c r="I6" s="1525" t="s">
        <v>1238</v>
      </c>
      <c r="J6" s="1525" t="s">
        <v>1239</v>
      </c>
      <c r="K6" s="1525" t="s">
        <v>1240</v>
      </c>
      <c r="L6" s="1525" t="s">
        <v>1241</v>
      </c>
      <c r="M6" s="1525" t="s">
        <v>1242</v>
      </c>
      <c r="N6" s="1525" t="s">
        <v>1243</v>
      </c>
      <c r="O6" s="1525" t="s">
        <v>1244</v>
      </c>
      <c r="P6" s="1525" t="s">
        <v>1245</v>
      </c>
      <c r="Q6" s="1525" t="s">
        <v>1246</v>
      </c>
      <c r="R6" s="1525" t="s">
        <v>1247</v>
      </c>
      <c r="S6" s="1525" t="s">
        <v>1248</v>
      </c>
    </row>
    <row r="7" spans="1:19" ht="14.25" customHeight="1" thickBot="1">
      <c r="A7" s="1531" t="s">
        <v>1224</v>
      </c>
      <c r="B7" s="1535" t="s">
        <v>1213</v>
      </c>
      <c r="C7" s="1525">
        <v>29350</v>
      </c>
      <c r="D7" s="1525">
        <v>28410</v>
      </c>
      <c r="E7" s="1525">
        <v>27990</v>
      </c>
      <c r="F7" s="1534">
        <v>12300</v>
      </c>
      <c r="G7" s="1528"/>
      <c r="I7" s="1525" t="s">
        <v>1249</v>
      </c>
      <c r="J7" s="1525" t="s">
        <v>1250</v>
      </c>
      <c r="K7" s="1525" t="s">
        <v>1251</v>
      </c>
      <c r="L7" s="1525" t="s">
        <v>1252</v>
      </c>
      <c r="M7" s="1525" t="s">
        <v>1253</v>
      </c>
      <c r="N7" s="1525" t="s">
        <v>1254</v>
      </c>
      <c r="O7" s="1525" t="s">
        <v>1255</v>
      </c>
      <c r="P7" s="1525" t="s">
        <v>1256</v>
      </c>
      <c r="Q7" s="1525" t="s">
        <v>1257</v>
      </c>
      <c r="R7" s="1525" t="s">
        <v>1258</v>
      </c>
      <c r="S7" s="1535" t="s">
        <v>1259</v>
      </c>
    </row>
    <row r="8" spans="1:19" ht="14.25" customHeight="1" thickBot="1">
      <c r="A8" s="1531" t="s">
        <v>1224</v>
      </c>
      <c r="B8" s="1525" t="s">
        <v>1225</v>
      </c>
      <c r="C8" s="1525">
        <v>30890</v>
      </c>
      <c r="D8" s="1525">
        <v>29780</v>
      </c>
      <c r="E8" s="1525">
        <v>29270</v>
      </c>
      <c r="F8" s="1534">
        <v>11600</v>
      </c>
      <c r="G8" s="1528"/>
      <c r="I8" s="1525" t="s">
        <v>1260</v>
      </c>
      <c r="J8" s="1525" t="s">
        <v>1261</v>
      </c>
      <c r="K8" s="1525" t="s">
        <v>1262</v>
      </c>
      <c r="L8" s="1525" t="s">
        <v>1263</v>
      </c>
      <c r="M8" s="1525" t="s">
        <v>1264</v>
      </c>
      <c r="N8" s="1525" t="s">
        <v>1265</v>
      </c>
      <c r="O8" s="1525" t="s">
        <v>1266</v>
      </c>
      <c r="P8" s="1525" t="s">
        <v>1267</v>
      </c>
      <c r="Q8" s="1525" t="s">
        <v>1268</v>
      </c>
      <c r="R8" s="1525" t="s">
        <v>1269</v>
      </c>
      <c r="S8" s="1525" t="s">
        <v>1270</v>
      </c>
    </row>
    <row r="9" spans="1:19" ht="14.25" customHeight="1" thickBot="1">
      <c r="A9" s="1531" t="s">
        <v>1224</v>
      </c>
      <c r="B9" s="1536" t="s">
        <v>1237</v>
      </c>
      <c r="C9" s="1537">
        <v>28140</v>
      </c>
      <c r="D9" s="1537"/>
      <c r="E9" s="1537"/>
      <c r="F9" s="1538"/>
      <c r="G9" s="1528"/>
      <c r="I9" s="1525" t="s">
        <v>1271</v>
      </c>
      <c r="J9" s="1525" t="s">
        <v>1272</v>
      </c>
      <c r="K9" s="1525" t="s">
        <v>1273</v>
      </c>
      <c r="L9" s="1525" t="s">
        <v>1274</v>
      </c>
      <c r="M9" s="1525" t="s">
        <v>1275</v>
      </c>
      <c r="N9" s="1525" t="s">
        <v>1276</v>
      </c>
      <c r="O9" s="1525" t="s">
        <v>1277</v>
      </c>
      <c r="P9" s="1525" t="s">
        <v>1278</v>
      </c>
      <c r="Q9" s="1525" t="s">
        <v>1279</v>
      </c>
      <c r="R9" s="1525" t="s">
        <v>1280</v>
      </c>
    </row>
    <row r="10" spans="1:19" ht="14.25" customHeight="1" thickBot="1">
      <c r="A10" s="1531" t="s">
        <v>1281</v>
      </c>
      <c r="B10" s="1532" t="s">
        <v>1282</v>
      </c>
      <c r="C10" s="1532">
        <v>27450</v>
      </c>
      <c r="D10" s="1532">
        <v>26180</v>
      </c>
      <c r="E10" s="1532">
        <v>25980</v>
      </c>
      <c r="F10" s="1533">
        <v>8910</v>
      </c>
      <c r="G10" s="1528"/>
      <c r="I10" s="1525" t="s">
        <v>1283</v>
      </c>
      <c r="J10" s="1525" t="s">
        <v>1284</v>
      </c>
      <c r="K10" s="1525" t="s">
        <v>1285</v>
      </c>
      <c r="L10" s="1525" t="s">
        <v>1286</v>
      </c>
      <c r="M10" s="1525" t="s">
        <v>1287</v>
      </c>
      <c r="N10" s="1525" t="s">
        <v>1288</v>
      </c>
      <c r="O10" s="1525" t="s">
        <v>1289</v>
      </c>
      <c r="P10" s="1525" t="s">
        <v>1290</v>
      </c>
      <c r="Q10" s="1525" t="s">
        <v>1291</v>
      </c>
      <c r="R10" s="1525" t="s">
        <v>1292</v>
      </c>
    </row>
    <row r="11" spans="1:19" ht="14.25" customHeight="1" thickBot="1">
      <c r="A11" s="1531" t="s">
        <v>1281</v>
      </c>
      <c r="B11" s="1535" t="s">
        <v>1200</v>
      </c>
      <c r="C11" s="1525">
        <v>22950</v>
      </c>
      <c r="D11" s="1525">
        <v>22630</v>
      </c>
      <c r="E11" s="1525">
        <v>22030</v>
      </c>
      <c r="F11" s="1539">
        <v>8330</v>
      </c>
      <c r="G11" s="1528"/>
      <c r="I11" s="1525" t="s">
        <v>1293</v>
      </c>
      <c r="J11" s="1525" t="s">
        <v>1294</v>
      </c>
      <c r="K11" s="1525" t="s">
        <v>1295</v>
      </c>
      <c r="L11" s="1525" t="s">
        <v>1296</v>
      </c>
      <c r="M11" s="1525" t="s">
        <v>1297</v>
      </c>
      <c r="N11" s="1525" t="s">
        <v>1298</v>
      </c>
      <c r="O11" s="1525" t="s">
        <v>1299</v>
      </c>
      <c r="P11" s="1525" t="s">
        <v>1300</v>
      </c>
      <c r="Q11" s="1525" t="s">
        <v>1301</v>
      </c>
      <c r="R11" s="1525" t="s">
        <v>1302</v>
      </c>
    </row>
    <row r="12" spans="1:19" ht="14.25" customHeight="1" thickBot="1">
      <c r="A12" s="1531" t="s">
        <v>1281</v>
      </c>
      <c r="B12" s="1535" t="s">
        <v>1136</v>
      </c>
      <c r="C12" s="1525">
        <v>24940</v>
      </c>
      <c r="D12" s="1525">
        <v>23180</v>
      </c>
      <c r="E12" s="1525">
        <v>22910</v>
      </c>
      <c r="F12" s="1539">
        <v>7180</v>
      </c>
      <c r="G12" s="1528"/>
      <c r="I12" s="1525" t="s">
        <v>1303</v>
      </c>
      <c r="J12" s="1525" t="s">
        <v>1304</v>
      </c>
      <c r="K12" s="1525" t="s">
        <v>1305</v>
      </c>
      <c r="L12" s="1525" t="s">
        <v>1306</v>
      </c>
      <c r="M12" s="1525" t="s">
        <v>1307</v>
      </c>
      <c r="N12" s="1525" t="s">
        <v>1308</v>
      </c>
      <c r="O12" s="1525" t="s">
        <v>1309</v>
      </c>
      <c r="P12" s="1525" t="s">
        <v>1310</v>
      </c>
      <c r="Q12" s="1525" t="s">
        <v>1311</v>
      </c>
      <c r="R12" s="1525" t="s">
        <v>1312</v>
      </c>
    </row>
    <row r="13" spans="1:19" ht="14.25" customHeight="1" thickBot="1">
      <c r="A13" s="1531" t="s">
        <v>1281</v>
      </c>
      <c r="B13" s="1535" t="s">
        <v>1226</v>
      </c>
      <c r="C13" s="1525">
        <v>24140</v>
      </c>
      <c r="D13" s="1525">
        <v>22270</v>
      </c>
      <c r="E13" s="1525">
        <v>21950</v>
      </c>
      <c r="F13" s="1539">
        <v>7600</v>
      </c>
      <c r="G13" s="1528"/>
      <c r="I13" s="1525" t="s">
        <v>1313</v>
      </c>
      <c r="J13" s="1525" t="s">
        <v>1314</v>
      </c>
      <c r="K13" s="1525" t="s">
        <v>1315</v>
      </c>
      <c r="L13" s="1525" t="s">
        <v>1316</v>
      </c>
      <c r="M13" s="1525" t="s">
        <v>1317</v>
      </c>
      <c r="N13" s="1525" t="s">
        <v>1318</v>
      </c>
      <c r="O13" s="1525" t="s">
        <v>1319</v>
      </c>
      <c r="P13" s="1525" t="s">
        <v>1320</v>
      </c>
      <c r="Q13" s="1525" t="s">
        <v>1321</v>
      </c>
      <c r="R13" s="1525" t="s">
        <v>1322</v>
      </c>
    </row>
    <row r="14" spans="1:19" ht="14.25" customHeight="1" thickBot="1">
      <c r="A14" s="1531" t="s">
        <v>1281</v>
      </c>
      <c r="B14" s="1535" t="s">
        <v>1238</v>
      </c>
      <c r="C14" s="1525">
        <v>25600</v>
      </c>
      <c r="D14" s="1525">
        <v>22260</v>
      </c>
      <c r="E14" s="1525">
        <v>22110</v>
      </c>
      <c r="F14" s="1539">
        <v>7630</v>
      </c>
      <c r="G14" s="1528"/>
      <c r="I14" s="1525" t="s">
        <v>1323</v>
      </c>
      <c r="J14" s="1525" t="s">
        <v>1324</v>
      </c>
      <c r="K14" s="1525" t="s">
        <v>1325</v>
      </c>
      <c r="L14" s="1525" t="s">
        <v>1326</v>
      </c>
      <c r="M14" s="1525" t="s">
        <v>1327</v>
      </c>
      <c r="N14" s="1525" t="s">
        <v>1328</v>
      </c>
      <c r="O14" s="1525" t="s">
        <v>1329</v>
      </c>
      <c r="P14" s="1525" t="s">
        <v>1330</v>
      </c>
      <c r="Q14" s="1525" t="s">
        <v>1331</v>
      </c>
      <c r="R14" s="1525" t="s">
        <v>1332</v>
      </c>
    </row>
    <row r="15" spans="1:19" ht="14.25" customHeight="1" thickBot="1">
      <c r="A15" s="1531" t="s">
        <v>1281</v>
      </c>
      <c r="B15" s="1535" t="s">
        <v>1249</v>
      </c>
      <c r="C15" s="1525">
        <v>24760</v>
      </c>
      <c r="D15" s="1525">
        <v>24440</v>
      </c>
      <c r="E15" s="1525">
        <v>24130</v>
      </c>
      <c r="F15" s="1539">
        <v>9480</v>
      </c>
      <c r="G15" s="1528"/>
      <c r="I15" s="1525" t="s">
        <v>1334</v>
      </c>
      <c r="J15" s="1525" t="s">
        <v>1335</v>
      </c>
      <c r="K15" s="1525" t="s">
        <v>1336</v>
      </c>
      <c r="L15" s="1525" t="s">
        <v>1337</v>
      </c>
      <c r="M15" s="1525" t="s">
        <v>1338</v>
      </c>
      <c r="N15" s="1525" t="s">
        <v>1339</v>
      </c>
      <c r="O15" s="1525" t="s">
        <v>1340</v>
      </c>
      <c r="P15" s="1525" t="s">
        <v>1341</v>
      </c>
      <c r="Q15" s="1525" t="s">
        <v>1342</v>
      </c>
      <c r="R15" s="1525" t="s">
        <v>1343</v>
      </c>
    </row>
    <row r="16" spans="1:19" ht="14.25" customHeight="1" thickBot="1">
      <c r="A16" s="1531" t="s">
        <v>1281</v>
      </c>
      <c r="B16" s="1535" t="s">
        <v>1260</v>
      </c>
      <c r="C16" s="1525">
        <v>22220</v>
      </c>
      <c r="D16" s="1525">
        <v>22310</v>
      </c>
      <c r="E16" s="1525">
        <v>22000</v>
      </c>
      <c r="F16" s="1539">
        <v>8900</v>
      </c>
      <c r="G16" s="1528"/>
      <c r="I16" s="1525" t="s">
        <v>1345</v>
      </c>
      <c r="J16" s="1525" t="s">
        <v>1346</v>
      </c>
      <c r="K16" s="1525" t="s">
        <v>1347</v>
      </c>
      <c r="L16" s="1525" t="s">
        <v>1348</v>
      </c>
      <c r="M16" s="1525" t="s">
        <v>1349</v>
      </c>
      <c r="N16" s="1525" t="s">
        <v>1350</v>
      </c>
      <c r="O16" s="1525" t="s">
        <v>1351</v>
      </c>
      <c r="P16" s="1525" t="s">
        <v>1352</v>
      </c>
      <c r="Q16" s="1525" t="s">
        <v>1353</v>
      </c>
      <c r="R16" s="1525" t="s">
        <v>1354</v>
      </c>
    </row>
    <row r="17" spans="1:18" ht="14.25" customHeight="1" thickBot="1">
      <c r="A17" s="1531" t="s">
        <v>1281</v>
      </c>
      <c r="B17" s="1535" t="s">
        <v>1271</v>
      </c>
      <c r="C17" s="1525">
        <v>24700</v>
      </c>
      <c r="D17" s="1525">
        <v>25150</v>
      </c>
      <c r="E17" s="1525">
        <v>24700</v>
      </c>
      <c r="F17" s="1540"/>
      <c r="G17" s="1528"/>
      <c r="I17" s="1525" t="s">
        <v>1355</v>
      </c>
      <c r="J17" s="1525" t="s">
        <v>1356</v>
      </c>
      <c r="K17" s="1525" t="s">
        <v>1357</v>
      </c>
      <c r="L17" s="1525" t="s">
        <v>1358</v>
      </c>
      <c r="M17" s="1525" t="s">
        <v>1359</v>
      </c>
      <c r="N17" s="1525" t="s">
        <v>1360</v>
      </c>
      <c r="O17" s="1525" t="s">
        <v>1361</v>
      </c>
      <c r="P17" s="1525" t="s">
        <v>1362</v>
      </c>
      <c r="Q17" s="1525" t="s">
        <v>1363</v>
      </c>
      <c r="R17" s="1525" t="s">
        <v>1364</v>
      </c>
    </row>
    <row r="18" spans="1:18" ht="14.25" customHeight="1" thickBot="1">
      <c r="A18" s="1531" t="s">
        <v>1281</v>
      </c>
      <c r="B18" s="1535" t="s">
        <v>1283</v>
      </c>
      <c r="C18" s="1525">
        <v>22350</v>
      </c>
      <c r="D18" s="1525">
        <v>24340</v>
      </c>
      <c r="E18" s="1525">
        <v>24100</v>
      </c>
      <c r="F18" s="1540"/>
      <c r="G18" s="1528"/>
      <c r="I18" s="1525" t="s">
        <v>1365</v>
      </c>
      <c r="J18" s="1525" t="s">
        <v>1366</v>
      </c>
      <c r="K18" s="1525" t="s">
        <v>1367</v>
      </c>
      <c r="L18" s="1525" t="s">
        <v>1368</v>
      </c>
      <c r="M18" s="1525" t="s">
        <v>1369</v>
      </c>
      <c r="N18" s="1525" t="s">
        <v>1370</v>
      </c>
      <c r="O18" s="1525" t="s">
        <v>1371</v>
      </c>
      <c r="P18" s="1525" t="s">
        <v>1372</v>
      </c>
      <c r="Q18" s="1525" t="s">
        <v>1373</v>
      </c>
      <c r="R18" s="1525" t="s">
        <v>1374</v>
      </c>
    </row>
    <row r="19" spans="1:18" ht="14.25" customHeight="1" thickBot="1">
      <c r="A19" s="1531" t="s">
        <v>1281</v>
      </c>
      <c r="B19" s="1535" t="s">
        <v>1293</v>
      </c>
      <c r="C19" s="1525">
        <v>23430</v>
      </c>
      <c r="D19" s="1525">
        <v>21580</v>
      </c>
      <c r="E19" s="1525">
        <v>21350</v>
      </c>
      <c r="F19" s="1540"/>
      <c r="G19" s="1528"/>
      <c r="I19" s="1525" t="s">
        <v>1375</v>
      </c>
      <c r="J19" s="1525" t="s">
        <v>1376</v>
      </c>
      <c r="K19" s="1525" t="s">
        <v>1377</v>
      </c>
      <c r="L19" s="1525" t="s">
        <v>1378</v>
      </c>
      <c r="M19" s="1525" t="s">
        <v>1379</v>
      </c>
      <c r="N19" s="1525" t="s">
        <v>1380</v>
      </c>
      <c r="O19" s="1525" t="s">
        <v>1381</v>
      </c>
      <c r="P19" s="1525" t="s">
        <v>1382</v>
      </c>
      <c r="Q19" s="1525" t="s">
        <v>1383</v>
      </c>
      <c r="R19" s="1525" t="s">
        <v>1384</v>
      </c>
    </row>
    <row r="20" spans="1:18" ht="14.25" customHeight="1" thickBot="1">
      <c r="A20" s="1531" t="s">
        <v>1281</v>
      </c>
      <c r="B20" s="1535" t="s">
        <v>1303</v>
      </c>
      <c r="C20" s="1525">
        <v>27660</v>
      </c>
      <c r="D20" s="1525">
        <v>24240</v>
      </c>
      <c r="E20" s="1525">
        <v>24020</v>
      </c>
      <c r="F20" s="1540"/>
      <c r="I20" s="1525" t="s">
        <v>1385</v>
      </c>
      <c r="J20" s="1525" t="s">
        <v>1386</v>
      </c>
      <c r="K20" s="1525" t="s">
        <v>1387</v>
      </c>
      <c r="L20" s="1525" t="s">
        <v>1388</v>
      </c>
      <c r="M20" s="1525" t="s">
        <v>1389</v>
      </c>
      <c r="N20" s="1525" t="s">
        <v>1390</v>
      </c>
      <c r="O20" s="1525" t="s">
        <v>1391</v>
      </c>
      <c r="P20" s="1525" t="s">
        <v>1392</v>
      </c>
      <c r="Q20" s="1525" t="s">
        <v>1393</v>
      </c>
      <c r="R20" s="1525" t="s">
        <v>1394</v>
      </c>
    </row>
    <row r="21" spans="1:18" ht="14.25" customHeight="1" thickBot="1">
      <c r="A21" s="1531" t="s">
        <v>1281</v>
      </c>
      <c r="B21" s="1535" t="s">
        <v>1313</v>
      </c>
      <c r="C21" s="1525">
        <v>24720</v>
      </c>
      <c r="D21" s="1525">
        <v>21670</v>
      </c>
      <c r="E21" s="1525">
        <v>21510</v>
      </c>
      <c r="F21" s="1540"/>
      <c r="J21" s="1525" t="s">
        <v>1395</v>
      </c>
      <c r="K21" s="1525" t="s">
        <v>1396</v>
      </c>
      <c r="L21" s="1525" t="s">
        <v>1397</v>
      </c>
      <c r="M21" s="1525" t="s">
        <v>1398</v>
      </c>
      <c r="N21" s="1525" t="s">
        <v>1399</v>
      </c>
      <c r="O21" s="1525" t="s">
        <v>1400</v>
      </c>
      <c r="P21" s="1525" t="s">
        <v>1401</v>
      </c>
      <c r="Q21" s="1525" t="s">
        <v>1402</v>
      </c>
      <c r="R21" s="1525" t="s">
        <v>1403</v>
      </c>
    </row>
    <row r="22" spans="1:18" ht="14.25" customHeight="1" thickBot="1">
      <c r="A22" s="1531" t="s">
        <v>1281</v>
      </c>
      <c r="B22" s="1535" t="s">
        <v>1404</v>
      </c>
      <c r="C22" s="1525">
        <v>26530</v>
      </c>
      <c r="D22" s="1525">
        <v>22980</v>
      </c>
      <c r="E22" s="1525">
        <v>22650</v>
      </c>
      <c r="F22" s="1540"/>
      <c r="K22" s="1525" t="s">
        <v>1405</v>
      </c>
      <c r="L22" s="1525" t="s">
        <v>1406</v>
      </c>
      <c r="M22" s="1525" t="s">
        <v>1407</v>
      </c>
      <c r="N22" s="1525" t="s">
        <v>1408</v>
      </c>
      <c r="O22" s="1525" t="s">
        <v>1409</v>
      </c>
      <c r="P22" s="1525" t="s">
        <v>1410</v>
      </c>
      <c r="Q22" s="1525" t="s">
        <v>1411</v>
      </c>
      <c r="R22" s="1535" t="s">
        <v>1412</v>
      </c>
    </row>
    <row r="23" spans="1:18" ht="14.25" customHeight="1" thickBot="1">
      <c r="A23" s="1531" t="s">
        <v>1281</v>
      </c>
      <c r="B23" s="1535" t="s">
        <v>1334</v>
      </c>
      <c r="C23" s="1525">
        <v>24700</v>
      </c>
      <c r="D23" s="1525">
        <v>27290</v>
      </c>
      <c r="E23" s="1525">
        <v>26710</v>
      </c>
      <c r="F23" s="1540"/>
      <c r="K23" s="1525" t="s">
        <v>1413</v>
      </c>
      <c r="L23" s="1525" t="s">
        <v>1414</v>
      </c>
      <c r="M23" s="1525" t="s">
        <v>1415</v>
      </c>
      <c r="N23" s="1525" t="s">
        <v>1416</v>
      </c>
      <c r="O23" s="1525" t="s">
        <v>1417</v>
      </c>
      <c r="P23" s="1525" t="s">
        <v>1418</v>
      </c>
      <c r="Q23" s="1525" t="s">
        <v>1419</v>
      </c>
    </row>
    <row r="24" spans="1:18" ht="14.25" customHeight="1" thickBot="1">
      <c r="A24" s="1531" t="s">
        <v>1281</v>
      </c>
      <c r="B24" s="1535" t="s">
        <v>1345</v>
      </c>
      <c r="C24" s="1525">
        <v>23070</v>
      </c>
      <c r="D24" s="1525">
        <v>24130</v>
      </c>
      <c r="E24" s="1525">
        <v>23860</v>
      </c>
      <c r="F24" s="1540"/>
      <c r="K24" s="1525" t="s">
        <v>1420</v>
      </c>
      <c r="L24" s="1525" t="s">
        <v>1421</v>
      </c>
      <c r="M24" s="1525" t="s">
        <v>1422</v>
      </c>
      <c r="N24" s="1525" t="s">
        <v>1423</v>
      </c>
      <c r="O24" s="1525" t="s">
        <v>1424</v>
      </c>
      <c r="P24" s="1525" t="s">
        <v>1425</v>
      </c>
      <c r="Q24" s="1525" t="s">
        <v>1426</v>
      </c>
    </row>
    <row r="25" spans="1:18" ht="14.25" customHeight="1" thickBot="1">
      <c r="A25" s="1531" t="s">
        <v>1281</v>
      </c>
      <c r="B25" s="1535" t="s">
        <v>1355</v>
      </c>
      <c r="C25" s="1525">
        <v>27550</v>
      </c>
      <c r="D25" s="1525">
        <v>25850</v>
      </c>
      <c r="E25" s="1525">
        <v>25340</v>
      </c>
      <c r="F25" s="1540"/>
      <c r="K25" s="1525" t="s">
        <v>1427</v>
      </c>
      <c r="L25" s="1525" t="s">
        <v>1428</v>
      </c>
      <c r="M25" s="1525" t="s">
        <v>1429</v>
      </c>
      <c r="N25" s="1525" t="s">
        <v>1430</v>
      </c>
      <c r="O25" s="1525" t="s">
        <v>1431</v>
      </c>
      <c r="P25" s="1525" t="s">
        <v>1432</v>
      </c>
      <c r="Q25" s="1525" t="s">
        <v>1433</v>
      </c>
    </row>
    <row r="26" spans="1:18" ht="14.25" customHeight="1" thickBot="1">
      <c r="A26" s="1531" t="s">
        <v>1281</v>
      </c>
      <c r="B26" s="1535" t="s">
        <v>1365</v>
      </c>
      <c r="C26" s="1525"/>
      <c r="D26" s="1525">
        <v>23900</v>
      </c>
      <c r="E26" s="1525">
        <v>23590</v>
      </c>
      <c r="F26" s="1540"/>
      <c r="K26" s="1525" t="s">
        <v>1434</v>
      </c>
      <c r="L26" s="1525" t="s">
        <v>1435</v>
      </c>
      <c r="M26" s="1525" t="s">
        <v>1436</v>
      </c>
      <c r="N26" s="1525" t="s">
        <v>1437</v>
      </c>
      <c r="O26" s="1525" t="s">
        <v>1438</v>
      </c>
      <c r="P26" s="1525" t="s">
        <v>1439</v>
      </c>
      <c r="Q26" s="1525" t="s">
        <v>1440</v>
      </c>
    </row>
    <row r="27" spans="1:18" ht="14.25" customHeight="1" thickBot="1">
      <c r="A27" s="1531" t="s">
        <v>1281</v>
      </c>
      <c r="B27" s="1535" t="s">
        <v>1375</v>
      </c>
      <c r="C27" s="1525"/>
      <c r="D27" s="1525">
        <v>22850</v>
      </c>
      <c r="E27" s="1525">
        <v>21920</v>
      </c>
      <c r="F27" s="1540"/>
      <c r="K27" s="1525" t="s">
        <v>1441</v>
      </c>
      <c r="L27" s="1525" t="s">
        <v>1442</v>
      </c>
      <c r="M27" s="1525" t="s">
        <v>1443</v>
      </c>
      <c r="N27" s="1525" t="s">
        <v>1444</v>
      </c>
      <c r="O27" s="1525" t="s">
        <v>1445</v>
      </c>
      <c r="P27" s="1525" t="s">
        <v>1446</v>
      </c>
      <c r="Q27" s="1525" t="s">
        <v>1447</v>
      </c>
    </row>
    <row r="28" spans="1:18" ht="14.25" customHeight="1" thickBot="1">
      <c r="A28" s="1541" t="s">
        <v>1281</v>
      </c>
      <c r="B28" s="1536" t="s">
        <v>1385</v>
      </c>
      <c r="C28" s="1537"/>
      <c r="D28" s="1537">
        <v>26610</v>
      </c>
      <c r="E28" s="1537">
        <v>26370</v>
      </c>
      <c r="F28" s="1538"/>
      <c r="K28" s="1525" t="s">
        <v>1448</v>
      </c>
      <c r="L28" s="1525" t="s">
        <v>1449</v>
      </c>
      <c r="M28" s="1525" t="s">
        <v>1450</v>
      </c>
      <c r="N28" s="1525" t="s">
        <v>1451</v>
      </c>
      <c r="O28" s="1525" t="s">
        <v>1452</v>
      </c>
      <c r="P28" s="1525" t="s">
        <v>1453</v>
      </c>
    </row>
    <row r="29" spans="1:18" ht="14.25" customHeight="1" thickBot="1">
      <c r="A29" s="1531" t="s">
        <v>1454</v>
      </c>
      <c r="B29" s="1532" t="s">
        <v>1455</v>
      </c>
      <c r="C29" s="1532">
        <v>22090</v>
      </c>
      <c r="D29" s="1532">
        <v>21860</v>
      </c>
      <c r="E29" s="1532">
        <v>19380</v>
      </c>
      <c r="F29" s="1533">
        <v>6610</v>
      </c>
      <c r="L29" s="1525" t="s">
        <v>1456</v>
      </c>
      <c r="M29" s="1525" t="s">
        <v>1457</v>
      </c>
      <c r="N29" s="1525" t="s">
        <v>1458</v>
      </c>
      <c r="O29" s="1525" t="s">
        <v>1459</v>
      </c>
      <c r="P29" s="1525" t="s">
        <v>1460</v>
      </c>
    </row>
    <row r="30" spans="1:18" ht="14.25" customHeight="1" thickBot="1">
      <c r="A30" s="1531" t="s">
        <v>1454</v>
      </c>
      <c r="B30" s="1535" t="s">
        <v>1201</v>
      </c>
      <c r="C30" s="1525">
        <v>21380</v>
      </c>
      <c r="D30" s="1525">
        <v>19930</v>
      </c>
      <c r="E30" s="1525">
        <v>19860</v>
      </c>
      <c r="F30" s="1539">
        <v>6010</v>
      </c>
      <c r="L30" s="1525" t="s">
        <v>1461</v>
      </c>
      <c r="M30" s="1525" t="s">
        <v>1462</v>
      </c>
      <c r="N30" s="1525" t="s">
        <v>1463</v>
      </c>
      <c r="O30" s="1525" t="s">
        <v>2494</v>
      </c>
      <c r="P30" s="1525" t="s">
        <v>1464</v>
      </c>
    </row>
    <row r="31" spans="1:18" ht="14.25" customHeight="1" thickBot="1">
      <c r="A31" s="1531" t="s">
        <v>1454</v>
      </c>
      <c r="B31" s="1535" t="s">
        <v>1214</v>
      </c>
      <c r="C31" s="1525">
        <v>21670</v>
      </c>
      <c r="D31" s="1525">
        <v>20660</v>
      </c>
      <c r="E31" s="1525">
        <v>20290</v>
      </c>
      <c r="F31" s="1539">
        <v>5840</v>
      </c>
      <c r="L31" s="1525" t="s">
        <v>1465</v>
      </c>
      <c r="M31" s="1525" t="s">
        <v>1466</v>
      </c>
      <c r="N31" s="1525" t="s">
        <v>1467</v>
      </c>
      <c r="O31" s="1525" t="s">
        <v>1468</v>
      </c>
      <c r="P31" s="1525" t="s">
        <v>1469</v>
      </c>
    </row>
    <row r="32" spans="1:18" ht="14.25" customHeight="1" thickBot="1">
      <c r="A32" s="1531" t="s">
        <v>1454</v>
      </c>
      <c r="B32" s="1535" t="s">
        <v>1227</v>
      </c>
      <c r="C32" s="1525">
        <v>22280</v>
      </c>
      <c r="D32" s="1525">
        <v>21800</v>
      </c>
      <c r="E32" s="1525">
        <v>17650</v>
      </c>
      <c r="F32" s="1539">
        <v>4690</v>
      </c>
      <c r="L32" s="1525" t="s">
        <v>1470</v>
      </c>
      <c r="M32" s="1525" t="s">
        <v>1471</v>
      </c>
      <c r="N32" s="1525" t="s">
        <v>1472</v>
      </c>
      <c r="O32" s="1525" t="s">
        <v>1473</v>
      </c>
      <c r="P32" s="1525" t="s">
        <v>1474</v>
      </c>
    </row>
    <row r="33" spans="1:16" ht="14.25" customHeight="1" thickBot="1">
      <c r="A33" s="1531" t="s">
        <v>1454</v>
      </c>
      <c r="B33" s="1535" t="s">
        <v>1239</v>
      </c>
      <c r="C33" s="1525">
        <v>22130</v>
      </c>
      <c r="D33" s="1525">
        <v>20460</v>
      </c>
      <c r="E33" s="1525">
        <v>18500</v>
      </c>
      <c r="F33" s="1539">
        <v>5340</v>
      </c>
      <c r="L33" s="1525" t="s">
        <v>1475</v>
      </c>
      <c r="M33" s="1525" t="s">
        <v>1476</v>
      </c>
      <c r="N33" s="1525" t="s">
        <v>1477</v>
      </c>
      <c r="O33" s="1525" t="s">
        <v>1478</v>
      </c>
      <c r="P33" s="1525" t="s">
        <v>1479</v>
      </c>
    </row>
    <row r="34" spans="1:16" ht="14.25" customHeight="1" thickBot="1">
      <c r="A34" s="1531" t="s">
        <v>1454</v>
      </c>
      <c r="B34" s="1535" t="s">
        <v>1250</v>
      </c>
      <c r="C34" s="1525">
        <v>22070</v>
      </c>
      <c r="D34" s="1525">
        <v>20110</v>
      </c>
      <c r="E34" s="1525">
        <v>18830</v>
      </c>
      <c r="F34" s="1539">
        <v>5190</v>
      </c>
      <c r="L34" s="1525" t="s">
        <v>1480</v>
      </c>
      <c r="M34" s="1525" t="s">
        <v>1481</v>
      </c>
      <c r="N34" s="1525" t="s">
        <v>1482</v>
      </c>
      <c r="O34" s="1525" t="s">
        <v>1483</v>
      </c>
      <c r="P34" s="1525" t="s">
        <v>1484</v>
      </c>
    </row>
    <row r="35" spans="1:16" ht="14.25" customHeight="1" thickBot="1">
      <c r="A35" s="1531" t="s">
        <v>1454</v>
      </c>
      <c r="B35" s="1535" t="s">
        <v>1261</v>
      </c>
      <c r="C35" s="1525">
        <v>22240</v>
      </c>
      <c r="D35" s="1525">
        <v>19550</v>
      </c>
      <c r="E35" s="1525">
        <v>19220</v>
      </c>
      <c r="F35" s="1539">
        <v>5800</v>
      </c>
      <c r="L35" s="1525" t="s">
        <v>1485</v>
      </c>
      <c r="M35" s="1525" t="s">
        <v>1486</v>
      </c>
      <c r="N35" s="1525" t="s">
        <v>1487</v>
      </c>
      <c r="O35" s="1525" t="s">
        <v>1488</v>
      </c>
      <c r="P35" s="1525" t="s">
        <v>1489</v>
      </c>
    </row>
    <row r="36" spans="1:16" ht="14.25" customHeight="1" thickBot="1">
      <c r="A36" s="1531" t="s">
        <v>1454</v>
      </c>
      <c r="B36" s="1535" t="s">
        <v>1272</v>
      </c>
      <c r="C36" s="1525">
        <v>19750</v>
      </c>
      <c r="D36" s="1525">
        <v>19790</v>
      </c>
      <c r="E36" s="1525">
        <v>18510</v>
      </c>
      <c r="F36" s="1539">
        <v>6520</v>
      </c>
      <c r="M36" s="1525" t="s">
        <v>1490</v>
      </c>
      <c r="N36" s="1525" t="s">
        <v>1491</v>
      </c>
      <c r="O36" s="1525" t="s">
        <v>1492</v>
      </c>
      <c r="P36" s="1525" t="s">
        <v>1493</v>
      </c>
    </row>
    <row r="37" spans="1:16" ht="14.25" customHeight="1" thickBot="1">
      <c r="A37" s="1531" t="s">
        <v>1454</v>
      </c>
      <c r="B37" s="1535" t="s">
        <v>1284</v>
      </c>
      <c r="C37" s="1525">
        <v>22380</v>
      </c>
      <c r="D37" s="1525">
        <v>18530</v>
      </c>
      <c r="E37" s="1525">
        <v>17930</v>
      </c>
      <c r="F37" s="1539">
        <v>6270</v>
      </c>
      <c r="M37" s="1525" t="s">
        <v>1494</v>
      </c>
      <c r="N37" s="1525" t="s">
        <v>1495</v>
      </c>
      <c r="O37" s="1525" t="s">
        <v>1496</v>
      </c>
      <c r="P37" s="1525" t="s">
        <v>1497</v>
      </c>
    </row>
    <row r="38" spans="1:16" ht="14.25" customHeight="1" thickBot="1">
      <c r="A38" s="1531" t="s">
        <v>1454</v>
      </c>
      <c r="B38" s="1535" t="s">
        <v>1294</v>
      </c>
      <c r="C38" s="1525">
        <v>20200</v>
      </c>
      <c r="D38" s="1525">
        <v>20070</v>
      </c>
      <c r="E38" s="1525">
        <v>19950</v>
      </c>
      <c r="F38" s="1539"/>
      <c r="M38" s="1525" t="s">
        <v>1498</v>
      </c>
      <c r="N38" s="1525" t="s">
        <v>1499</v>
      </c>
      <c r="O38" s="1525" t="s">
        <v>1500</v>
      </c>
      <c r="P38" s="1525" t="s">
        <v>1501</v>
      </c>
    </row>
    <row r="39" spans="1:16" ht="14.25" customHeight="1" thickBot="1">
      <c r="A39" s="1531" t="s">
        <v>1454</v>
      </c>
      <c r="B39" s="1535" t="s">
        <v>1304</v>
      </c>
      <c r="C39" s="1525">
        <v>19300</v>
      </c>
      <c r="D39" s="1525">
        <v>20360</v>
      </c>
      <c r="E39" s="1525">
        <v>20230</v>
      </c>
      <c r="F39" s="1539"/>
      <c r="M39" s="1525" t="s">
        <v>1502</v>
      </c>
      <c r="N39" s="1525" t="s">
        <v>1503</v>
      </c>
      <c r="O39" s="1525" t="s">
        <v>1504</v>
      </c>
      <c r="P39" s="1525" t="s">
        <v>1505</v>
      </c>
    </row>
    <row r="40" spans="1:16" ht="14.25" customHeight="1" thickBot="1">
      <c r="A40" s="1531" t="s">
        <v>1454</v>
      </c>
      <c r="B40" s="1535" t="s">
        <v>1314</v>
      </c>
      <c r="C40" s="1525">
        <v>20210</v>
      </c>
      <c r="D40" s="1525">
        <v>19060</v>
      </c>
      <c r="E40" s="1525">
        <v>18890</v>
      </c>
      <c r="F40" s="1539"/>
      <c r="M40" s="1525" t="s">
        <v>1506</v>
      </c>
      <c r="N40" s="1525" t="s">
        <v>1507</v>
      </c>
      <c r="O40" s="1525" t="s">
        <v>1508</v>
      </c>
      <c r="P40" s="1525" t="s">
        <v>1509</v>
      </c>
    </row>
    <row r="41" spans="1:16" ht="14.25" customHeight="1" thickBot="1">
      <c r="A41" s="1531" t="s">
        <v>1454</v>
      </c>
      <c r="B41" s="1535" t="s">
        <v>1324</v>
      </c>
      <c r="C41" s="1525">
        <v>20560</v>
      </c>
      <c r="D41" s="1525">
        <v>21040</v>
      </c>
      <c r="E41" s="1525">
        <v>20740</v>
      </c>
      <c r="F41" s="1539"/>
      <c r="M41" s="1535" t="s">
        <v>1510</v>
      </c>
      <c r="N41" s="1535" t="s">
        <v>1511</v>
      </c>
      <c r="P41" s="1535" t="s">
        <v>1512</v>
      </c>
    </row>
    <row r="42" spans="1:16" ht="14.25" customHeight="1" thickBot="1">
      <c r="A42" s="1531" t="s">
        <v>1454</v>
      </c>
      <c r="B42" s="1535" t="s">
        <v>1335</v>
      </c>
      <c r="C42" s="1525">
        <v>19280</v>
      </c>
      <c r="D42" s="1525">
        <v>22940</v>
      </c>
      <c r="E42" s="1525">
        <v>22500</v>
      </c>
      <c r="F42" s="1539"/>
      <c r="M42" s="1525" t="s">
        <v>1513</v>
      </c>
      <c r="N42" s="1525" t="s">
        <v>1514</v>
      </c>
      <c r="P42" s="1525" t="s">
        <v>1515</v>
      </c>
    </row>
    <row r="43" spans="1:16" ht="14.25" customHeight="1" thickBot="1">
      <c r="A43" s="1531" t="s">
        <v>1454</v>
      </c>
      <c r="B43" s="1535" t="s">
        <v>1346</v>
      </c>
      <c r="C43" s="1525">
        <v>21520</v>
      </c>
      <c r="D43" s="1525">
        <v>19230</v>
      </c>
      <c r="E43" s="1525">
        <v>18540</v>
      </c>
      <c r="F43" s="1539"/>
      <c r="M43" s="1525" t="s">
        <v>1516</v>
      </c>
      <c r="N43" s="1525" t="s">
        <v>1517</v>
      </c>
      <c r="P43" s="1525" t="s">
        <v>1518</v>
      </c>
    </row>
    <row r="44" spans="1:16" ht="14.25" customHeight="1" thickBot="1">
      <c r="A44" s="1531" t="s">
        <v>1454</v>
      </c>
      <c r="B44" s="1535" t="s">
        <v>1356</v>
      </c>
      <c r="C44" s="1525">
        <v>23260</v>
      </c>
      <c r="D44" s="1525">
        <v>21180</v>
      </c>
      <c r="E44" s="1525">
        <v>20730</v>
      </c>
      <c r="F44" s="1539"/>
      <c r="M44" s="1525" t="s">
        <v>1519</v>
      </c>
      <c r="N44" s="1525" t="s">
        <v>1520</v>
      </c>
      <c r="P44" s="1525" t="s">
        <v>1521</v>
      </c>
    </row>
    <row r="45" spans="1:16" ht="14.25" customHeight="1" thickBot="1">
      <c r="A45" s="1531" t="s">
        <v>1454</v>
      </c>
      <c r="B45" s="1535" t="s">
        <v>1366</v>
      </c>
      <c r="C45" s="1525">
        <v>19610</v>
      </c>
      <c r="D45" s="1525">
        <v>18090</v>
      </c>
      <c r="E45" s="1525">
        <v>17970</v>
      </c>
      <c r="F45" s="1539"/>
      <c r="M45" s="1525" t="s">
        <v>1522</v>
      </c>
      <c r="N45" s="1525" t="s">
        <v>1523</v>
      </c>
      <c r="P45" s="1525" t="s">
        <v>1524</v>
      </c>
    </row>
    <row r="46" spans="1:16" ht="14.25" customHeight="1" thickBot="1">
      <c r="A46" s="1531" t="s">
        <v>1454</v>
      </c>
      <c r="B46" s="1535" t="s">
        <v>1376</v>
      </c>
      <c r="C46" s="1525">
        <v>21660</v>
      </c>
      <c r="D46" s="1525">
        <v>19190</v>
      </c>
      <c r="E46" s="1525">
        <v>19790</v>
      </c>
      <c r="F46" s="1539"/>
      <c r="M46" s="1525" t="s">
        <v>1525</v>
      </c>
      <c r="N46" s="1525" t="s">
        <v>1526</v>
      </c>
      <c r="P46" s="1525" t="s">
        <v>1527</v>
      </c>
    </row>
    <row r="47" spans="1:16" ht="14.25" customHeight="1" thickBot="1">
      <c r="A47" s="1531" t="s">
        <v>1454</v>
      </c>
      <c r="B47" s="1535" t="s">
        <v>1386</v>
      </c>
      <c r="C47" s="1525">
        <v>18220</v>
      </c>
      <c r="D47" s="1525"/>
      <c r="E47" s="1525">
        <v>17220</v>
      </c>
      <c r="F47" s="1539"/>
      <c r="M47" s="1525" t="s">
        <v>1528</v>
      </c>
      <c r="N47" s="1525" t="s">
        <v>1529</v>
      </c>
    </row>
    <row r="48" spans="1:16" ht="14.25" customHeight="1" thickBot="1">
      <c r="A48" s="1531" t="s">
        <v>1454</v>
      </c>
      <c r="B48" s="1536" t="s">
        <v>1395</v>
      </c>
      <c r="C48" s="1537">
        <v>19430</v>
      </c>
      <c r="D48" s="1537"/>
      <c r="E48" s="1537">
        <v>17830</v>
      </c>
      <c r="F48" s="1542"/>
      <c r="M48" s="1525" t="s">
        <v>1530</v>
      </c>
      <c r="N48" s="1525" t="s">
        <v>1531</v>
      </c>
    </row>
    <row r="49" spans="1:14" ht="14.25" customHeight="1" thickBot="1">
      <c r="A49" s="1531" t="s">
        <v>1135</v>
      </c>
      <c r="B49" s="1532" t="s">
        <v>1532</v>
      </c>
      <c r="C49" s="1532">
        <v>17090</v>
      </c>
      <c r="D49" s="1532">
        <v>16950</v>
      </c>
      <c r="E49" s="1532">
        <v>16310</v>
      </c>
      <c r="F49" s="1533">
        <v>4540</v>
      </c>
      <c r="M49" s="1525" t="s">
        <v>1533</v>
      </c>
      <c r="N49" s="1525" t="s">
        <v>1534</v>
      </c>
    </row>
    <row r="50" spans="1:14" ht="14.25" customHeight="1" thickBot="1">
      <c r="A50" s="1531" t="s">
        <v>1135</v>
      </c>
      <c r="B50" s="1525" t="s">
        <v>1202</v>
      </c>
      <c r="C50" s="1525">
        <v>19040</v>
      </c>
      <c r="D50" s="1525">
        <v>16960</v>
      </c>
      <c r="E50" s="1525">
        <v>14800</v>
      </c>
      <c r="F50" s="1539">
        <v>3940</v>
      </c>
    </row>
    <row r="51" spans="1:14" ht="14.25" customHeight="1" thickBot="1">
      <c r="A51" s="1531" t="s">
        <v>1135</v>
      </c>
      <c r="B51" s="1525" t="s">
        <v>1215</v>
      </c>
      <c r="C51" s="1525">
        <v>17040</v>
      </c>
      <c r="D51" s="1525">
        <v>16930</v>
      </c>
      <c r="E51" s="1525">
        <v>15030</v>
      </c>
      <c r="F51" s="1539">
        <v>4120</v>
      </c>
    </row>
    <row r="52" spans="1:14" ht="14.25" customHeight="1" thickBot="1">
      <c r="A52" s="1531" t="s">
        <v>1135</v>
      </c>
      <c r="B52" s="1525" t="s">
        <v>1228</v>
      </c>
      <c r="C52" s="1525">
        <v>17110</v>
      </c>
      <c r="D52" s="1525">
        <v>17750</v>
      </c>
      <c r="E52" s="1525">
        <v>17310</v>
      </c>
      <c r="F52" s="1539">
        <v>3220</v>
      </c>
    </row>
    <row r="53" spans="1:14" ht="14.25" customHeight="1" thickBot="1">
      <c r="A53" s="1531" t="s">
        <v>1135</v>
      </c>
      <c r="B53" s="1525" t="s">
        <v>1240</v>
      </c>
      <c r="C53" s="1525">
        <v>17810</v>
      </c>
      <c r="D53" s="1525">
        <v>17260</v>
      </c>
      <c r="E53" s="1525">
        <v>17090</v>
      </c>
      <c r="F53" s="1539">
        <v>3520</v>
      </c>
    </row>
    <row r="54" spans="1:14" ht="14.25" customHeight="1" thickBot="1">
      <c r="A54" s="1531" t="s">
        <v>1135</v>
      </c>
      <c r="B54" s="1525" t="s">
        <v>1251</v>
      </c>
      <c r="C54" s="1525">
        <v>17410</v>
      </c>
      <c r="D54" s="1525">
        <v>16780</v>
      </c>
      <c r="E54" s="1525">
        <v>16370</v>
      </c>
      <c r="F54" s="1539">
        <v>3410</v>
      </c>
    </row>
    <row r="55" spans="1:14" ht="14.25" customHeight="1" thickBot="1">
      <c r="A55" s="1531" t="s">
        <v>1135</v>
      </c>
      <c r="B55" s="1525" t="s">
        <v>1262</v>
      </c>
      <c r="C55" s="1525">
        <v>16930</v>
      </c>
      <c r="D55" s="1525">
        <v>14720</v>
      </c>
      <c r="E55" s="1525">
        <v>15000</v>
      </c>
      <c r="F55" s="1539">
        <v>3710</v>
      </c>
    </row>
    <row r="56" spans="1:14" ht="14.25" customHeight="1" thickBot="1">
      <c r="A56" s="1531" t="s">
        <v>1135</v>
      </c>
      <c r="B56" s="1525" t="s">
        <v>1273</v>
      </c>
      <c r="C56" s="1525">
        <v>14930</v>
      </c>
      <c r="D56" s="1525">
        <v>15850</v>
      </c>
      <c r="E56" s="1525">
        <v>14320</v>
      </c>
      <c r="F56" s="1539">
        <v>3960</v>
      </c>
    </row>
    <row r="57" spans="1:14" ht="14.25" customHeight="1" thickBot="1">
      <c r="A57" s="1531" t="s">
        <v>1135</v>
      </c>
      <c r="B57" s="1525" t="s">
        <v>1285</v>
      </c>
      <c r="C57" s="1525">
        <v>16160</v>
      </c>
      <c r="D57" s="1525">
        <v>16190</v>
      </c>
      <c r="E57" s="1525">
        <v>15650</v>
      </c>
      <c r="F57" s="1539">
        <v>4200</v>
      </c>
    </row>
    <row r="58" spans="1:14" ht="14.25" customHeight="1" thickBot="1">
      <c r="A58" s="1531" t="s">
        <v>1135</v>
      </c>
      <c r="B58" s="1525" t="s">
        <v>1295</v>
      </c>
      <c r="C58" s="1525">
        <v>16360</v>
      </c>
      <c r="D58" s="1525">
        <v>14050</v>
      </c>
      <c r="E58" s="1525">
        <v>16070</v>
      </c>
      <c r="F58" s="1539">
        <v>3990</v>
      </c>
    </row>
    <row r="59" spans="1:14" ht="14.25" customHeight="1" thickBot="1">
      <c r="A59" s="1531" t="s">
        <v>1135</v>
      </c>
      <c r="B59" s="1525" t="s">
        <v>1305</v>
      </c>
      <c r="C59" s="1525">
        <v>14160</v>
      </c>
      <c r="D59" s="1525">
        <v>16620</v>
      </c>
      <c r="E59" s="1525">
        <v>13940</v>
      </c>
      <c r="F59" s="1539">
        <v>4260</v>
      </c>
    </row>
    <row r="60" spans="1:14" ht="14.25" customHeight="1" thickBot="1">
      <c r="A60" s="1531" t="s">
        <v>1135</v>
      </c>
      <c r="B60" s="1525" t="s">
        <v>1315</v>
      </c>
      <c r="C60" s="1525">
        <v>16750</v>
      </c>
      <c r="D60" s="1525">
        <v>13910</v>
      </c>
      <c r="E60" s="1525">
        <v>16550</v>
      </c>
      <c r="F60" s="1539">
        <v>4550</v>
      </c>
    </row>
    <row r="61" spans="1:14" ht="14.25" customHeight="1" thickBot="1">
      <c r="A61" s="1531" t="s">
        <v>1135</v>
      </c>
      <c r="B61" s="1525" t="s">
        <v>1325</v>
      </c>
      <c r="C61" s="1525">
        <v>14000</v>
      </c>
      <c r="D61" s="1525">
        <v>14550</v>
      </c>
      <c r="E61" s="1525">
        <v>13860</v>
      </c>
      <c r="F61" s="1543"/>
    </row>
    <row r="62" spans="1:14" ht="14.25" customHeight="1" thickBot="1">
      <c r="A62" s="1531" t="s">
        <v>1135</v>
      </c>
      <c r="B62" s="1525" t="s">
        <v>1336</v>
      </c>
      <c r="C62" s="1525">
        <v>14660</v>
      </c>
      <c r="D62" s="1525">
        <v>17450</v>
      </c>
      <c r="E62" s="1525">
        <v>14470</v>
      </c>
      <c r="F62" s="1543"/>
    </row>
    <row r="63" spans="1:14" ht="14.25" customHeight="1" thickBot="1">
      <c r="A63" s="1531" t="s">
        <v>1135</v>
      </c>
      <c r="B63" s="1525" t="s">
        <v>1347</v>
      </c>
      <c r="C63" s="1525">
        <v>17610</v>
      </c>
      <c r="D63" s="1525">
        <v>16500</v>
      </c>
      <c r="E63" s="1525">
        <v>17330</v>
      </c>
      <c r="F63" s="1543"/>
    </row>
    <row r="64" spans="1:14" ht="14.25" customHeight="1" thickBot="1">
      <c r="A64" s="1531" t="s">
        <v>1135</v>
      </c>
      <c r="B64" s="1525" t="s">
        <v>1357</v>
      </c>
      <c r="C64" s="1525">
        <v>16590</v>
      </c>
      <c r="D64" s="1525">
        <v>15130</v>
      </c>
      <c r="E64" s="1525">
        <v>16420</v>
      </c>
      <c r="F64" s="1543"/>
    </row>
    <row r="65" spans="1:6" s="1519" customFormat="1" ht="14.25" customHeight="1" thickBot="1">
      <c r="A65" s="1531" t="s">
        <v>1135</v>
      </c>
      <c r="B65" s="1525" t="s">
        <v>1367</v>
      </c>
      <c r="C65" s="1525">
        <v>15220</v>
      </c>
      <c r="D65" s="1525">
        <v>14660</v>
      </c>
      <c r="E65" s="1525">
        <v>15060</v>
      </c>
      <c r="F65" s="1539"/>
    </row>
    <row r="66" spans="1:6" s="1519" customFormat="1" ht="14.25" customHeight="1" thickBot="1">
      <c r="A66" s="1531" t="s">
        <v>1135</v>
      </c>
      <c r="B66" s="1525" t="s">
        <v>1377</v>
      </c>
      <c r="C66" s="1525">
        <v>14720</v>
      </c>
      <c r="D66" s="1525">
        <v>15970</v>
      </c>
      <c r="E66" s="1525">
        <v>14610</v>
      </c>
      <c r="F66" s="1539"/>
    </row>
    <row r="67" spans="1:6" s="1519" customFormat="1" ht="14.25" customHeight="1" thickBot="1">
      <c r="A67" s="1531" t="s">
        <v>1135</v>
      </c>
      <c r="B67" s="1525" t="s">
        <v>1387</v>
      </c>
      <c r="C67" s="1525">
        <v>16080</v>
      </c>
      <c r="D67" s="1525">
        <v>14840</v>
      </c>
      <c r="E67" s="1525">
        <v>15630</v>
      </c>
      <c r="F67" s="1539"/>
    </row>
    <row r="68" spans="1:6" s="1519" customFormat="1" ht="14.25" customHeight="1" thickBot="1">
      <c r="A68" s="1531" t="s">
        <v>1135</v>
      </c>
      <c r="B68" s="1525" t="s">
        <v>1396</v>
      </c>
      <c r="C68" s="1525">
        <v>14940</v>
      </c>
      <c r="D68" s="1525">
        <v>18000</v>
      </c>
      <c r="E68" s="1525">
        <v>14040</v>
      </c>
      <c r="F68" s="1539"/>
    </row>
    <row r="69" spans="1:6" s="1519" customFormat="1" ht="14.25" customHeight="1" thickBot="1">
      <c r="A69" s="1531" t="s">
        <v>1135</v>
      </c>
      <c r="B69" s="1525" t="s">
        <v>1405</v>
      </c>
      <c r="C69" s="1525">
        <v>18810</v>
      </c>
      <c r="D69" s="1525">
        <v>15100</v>
      </c>
      <c r="E69" s="1525">
        <v>14710</v>
      </c>
      <c r="F69" s="1539"/>
    </row>
    <row r="70" spans="1:6" s="1519" customFormat="1" ht="14.25" customHeight="1" thickBot="1">
      <c r="A70" s="1531" t="s">
        <v>1135</v>
      </c>
      <c r="B70" s="1525" t="s">
        <v>1413</v>
      </c>
      <c r="C70" s="1525">
        <v>18270</v>
      </c>
      <c r="D70" s="1525"/>
      <c r="E70" s="1525"/>
      <c r="F70" s="1539"/>
    </row>
    <row r="71" spans="1:6" s="1519" customFormat="1" ht="14.25" customHeight="1" thickBot="1">
      <c r="A71" s="1531" t="s">
        <v>1135</v>
      </c>
      <c r="B71" s="1525" t="s">
        <v>1420</v>
      </c>
      <c r="C71" s="1525">
        <v>15230</v>
      </c>
      <c r="D71" s="1525"/>
      <c r="E71" s="1525"/>
      <c r="F71" s="1539"/>
    </row>
    <row r="72" spans="1:6" s="1519" customFormat="1" ht="14.25" customHeight="1" thickBot="1">
      <c r="A72" s="1531" t="s">
        <v>1135</v>
      </c>
      <c r="B72" s="1525" t="s">
        <v>1427</v>
      </c>
      <c r="C72" s="1525"/>
      <c r="D72" s="1525"/>
      <c r="E72" s="1525"/>
      <c r="F72" s="1539">
        <v>4120</v>
      </c>
    </row>
    <row r="73" spans="1:6" s="1519" customFormat="1" ht="14.25" customHeight="1" thickBot="1">
      <c r="A73" s="1531" t="s">
        <v>1135</v>
      </c>
      <c r="B73" s="1525" t="s">
        <v>1434</v>
      </c>
      <c r="C73" s="1525"/>
      <c r="D73" s="1525"/>
      <c r="E73" s="1525"/>
      <c r="F73" s="1539">
        <v>3930</v>
      </c>
    </row>
    <row r="74" spans="1:6" s="1519" customFormat="1" ht="14.25" customHeight="1" thickBot="1">
      <c r="A74" s="1531" t="s">
        <v>1135</v>
      </c>
      <c r="B74" s="1525" t="s">
        <v>1441</v>
      </c>
      <c r="C74" s="1525"/>
      <c r="D74" s="1525"/>
      <c r="E74" s="1525"/>
      <c r="F74" s="1539">
        <v>4060</v>
      </c>
    </row>
    <row r="75" spans="1:6" s="1519" customFormat="1" ht="14.25" customHeight="1" thickBot="1">
      <c r="A75" s="1531" t="s">
        <v>1135</v>
      </c>
      <c r="B75" s="1537" t="s">
        <v>1448</v>
      </c>
      <c r="C75" s="1537"/>
      <c r="D75" s="1537"/>
      <c r="E75" s="1537"/>
      <c r="F75" s="1542">
        <v>3750</v>
      </c>
    </row>
    <row r="76" spans="1:6" s="1519" customFormat="1" ht="14.25" customHeight="1" thickBot="1">
      <c r="A76" s="1531" t="s">
        <v>1535</v>
      </c>
      <c r="B76" s="1532" t="s">
        <v>1536</v>
      </c>
      <c r="C76" s="1532">
        <v>14690</v>
      </c>
      <c r="D76" s="1532">
        <v>14640</v>
      </c>
      <c r="E76" s="1532">
        <v>14590</v>
      </c>
      <c r="F76" s="1533">
        <v>3060</v>
      </c>
    </row>
    <row r="77" spans="1:6" s="1519" customFormat="1" ht="14.25" customHeight="1" thickBot="1">
      <c r="A77" s="1531" t="s">
        <v>1535</v>
      </c>
      <c r="B77" s="1525" t="s">
        <v>1203</v>
      </c>
      <c r="C77" s="1525">
        <v>12550</v>
      </c>
      <c r="D77" s="1525">
        <v>12480</v>
      </c>
      <c r="E77" s="1525">
        <v>12450</v>
      </c>
      <c r="F77" s="1539">
        <v>2590</v>
      </c>
    </row>
    <row r="78" spans="1:6" s="1519" customFormat="1" ht="14.25" customHeight="1" thickBot="1">
      <c r="A78" s="1531" t="s">
        <v>1535</v>
      </c>
      <c r="B78" s="1525" t="s">
        <v>1216</v>
      </c>
      <c r="C78" s="1525">
        <v>14360</v>
      </c>
      <c r="D78" s="1525">
        <v>14320</v>
      </c>
      <c r="E78" s="1525">
        <v>12510</v>
      </c>
      <c r="F78" s="1539">
        <v>2700</v>
      </c>
    </row>
    <row r="79" spans="1:6" s="1519" customFormat="1" ht="14.25" customHeight="1" thickBot="1">
      <c r="A79" s="1531" t="s">
        <v>1535</v>
      </c>
      <c r="B79" s="1525" t="s">
        <v>1229</v>
      </c>
      <c r="C79" s="1525">
        <v>12590</v>
      </c>
      <c r="D79" s="1525">
        <v>12540</v>
      </c>
      <c r="E79" s="1525">
        <v>12350</v>
      </c>
      <c r="F79" s="1539">
        <v>2740</v>
      </c>
    </row>
    <row r="80" spans="1:6" s="1519" customFormat="1" ht="14.25" customHeight="1" thickBot="1">
      <c r="A80" s="1531" t="s">
        <v>1535</v>
      </c>
      <c r="B80" s="1525" t="s">
        <v>1241</v>
      </c>
      <c r="C80" s="1525">
        <v>12450</v>
      </c>
      <c r="D80" s="1525">
        <v>12370</v>
      </c>
      <c r="E80" s="1525">
        <v>10790</v>
      </c>
      <c r="F80" s="1539">
        <v>2290</v>
      </c>
    </row>
    <row r="81" spans="1:6" s="1519" customFormat="1" ht="14.25" customHeight="1" thickBot="1">
      <c r="A81" s="1531" t="s">
        <v>1535</v>
      </c>
      <c r="B81" s="1525" t="s">
        <v>1252</v>
      </c>
      <c r="C81" s="1525">
        <v>14210</v>
      </c>
      <c r="D81" s="1525">
        <v>14150</v>
      </c>
      <c r="E81" s="1525">
        <v>12730</v>
      </c>
      <c r="F81" s="1539">
        <v>2240</v>
      </c>
    </row>
    <row r="82" spans="1:6" s="1519" customFormat="1" ht="14.25" customHeight="1" thickBot="1">
      <c r="A82" s="1531" t="s">
        <v>1535</v>
      </c>
      <c r="B82" s="1525" t="s">
        <v>1263</v>
      </c>
      <c r="C82" s="1525">
        <v>10860</v>
      </c>
      <c r="D82" s="1525">
        <v>10820</v>
      </c>
      <c r="E82" s="1525">
        <v>14720</v>
      </c>
      <c r="F82" s="1539">
        <v>2490</v>
      </c>
    </row>
    <row r="83" spans="1:6" s="1519" customFormat="1" ht="14.25" customHeight="1" thickBot="1">
      <c r="A83" s="1531" t="s">
        <v>1535</v>
      </c>
      <c r="B83" s="1525" t="s">
        <v>1274</v>
      </c>
      <c r="C83" s="1525">
        <v>12810</v>
      </c>
      <c r="D83" s="1525">
        <v>12760</v>
      </c>
      <c r="E83" s="1525">
        <v>14830</v>
      </c>
      <c r="F83" s="1539">
        <v>2450</v>
      </c>
    </row>
    <row r="84" spans="1:6" s="1519" customFormat="1" ht="14.25" customHeight="1" thickBot="1">
      <c r="A84" s="1531" t="s">
        <v>1535</v>
      </c>
      <c r="B84" s="1525" t="s">
        <v>1286</v>
      </c>
      <c r="C84" s="1525">
        <v>14950</v>
      </c>
      <c r="D84" s="1525">
        <v>14810</v>
      </c>
      <c r="E84" s="1525">
        <v>12590</v>
      </c>
      <c r="F84" s="1539">
        <v>2540</v>
      </c>
    </row>
    <row r="85" spans="1:6" s="1519" customFormat="1" ht="14.25" customHeight="1" thickBot="1">
      <c r="A85" s="1531" t="s">
        <v>1535</v>
      </c>
      <c r="B85" s="1525" t="s">
        <v>1296</v>
      </c>
      <c r="C85" s="1525">
        <v>14960</v>
      </c>
      <c r="D85" s="1525">
        <v>14890</v>
      </c>
      <c r="E85" s="1525">
        <v>12840</v>
      </c>
      <c r="F85" s="1539">
        <v>2840</v>
      </c>
    </row>
    <row r="86" spans="1:6" s="1519" customFormat="1" ht="14.25" customHeight="1" thickBot="1">
      <c r="A86" s="1531" t="s">
        <v>1535</v>
      </c>
      <c r="B86" s="1525" t="s">
        <v>1306</v>
      </c>
      <c r="C86" s="1525">
        <v>12730</v>
      </c>
      <c r="D86" s="1525">
        <v>12660</v>
      </c>
      <c r="E86" s="1525">
        <v>13310</v>
      </c>
      <c r="F86" s="1539">
        <v>3140</v>
      </c>
    </row>
    <row r="87" spans="1:6" s="1519" customFormat="1" ht="14.25" customHeight="1" thickBot="1">
      <c r="A87" s="1531" t="s">
        <v>1535</v>
      </c>
      <c r="B87" s="1525" t="s">
        <v>1316</v>
      </c>
      <c r="C87" s="1525">
        <v>12940</v>
      </c>
      <c r="D87" s="1525">
        <v>12890</v>
      </c>
      <c r="E87" s="1525">
        <v>11580</v>
      </c>
      <c r="F87" s="1543"/>
    </row>
    <row r="88" spans="1:6" s="1519" customFormat="1" ht="14.25" customHeight="1" thickBot="1">
      <c r="A88" s="1531" t="s">
        <v>1535</v>
      </c>
      <c r="B88" s="1525" t="s">
        <v>1326</v>
      </c>
      <c r="C88" s="1525">
        <v>13430</v>
      </c>
      <c r="D88" s="1525">
        <v>13360</v>
      </c>
      <c r="E88" s="1525">
        <v>12790</v>
      </c>
      <c r="F88" s="1543"/>
    </row>
    <row r="89" spans="1:6" s="1519" customFormat="1" ht="14.25" customHeight="1" thickBot="1">
      <c r="A89" s="1531" t="s">
        <v>1535</v>
      </c>
      <c r="B89" s="1525" t="s">
        <v>1337</v>
      </c>
      <c r="C89" s="1525">
        <v>11680</v>
      </c>
      <c r="D89" s="1525">
        <v>11630</v>
      </c>
      <c r="E89" s="1525">
        <v>11320</v>
      </c>
      <c r="F89" s="1543"/>
    </row>
    <row r="90" spans="1:6" s="1519" customFormat="1" ht="14.25" customHeight="1" thickBot="1">
      <c r="A90" s="1531" t="s">
        <v>1535</v>
      </c>
      <c r="B90" s="1525" t="s">
        <v>1348</v>
      </c>
      <c r="C90" s="1525">
        <v>12890</v>
      </c>
      <c r="D90" s="1525">
        <v>12820</v>
      </c>
      <c r="E90" s="1525">
        <v>12710</v>
      </c>
      <c r="F90" s="1543"/>
    </row>
    <row r="91" spans="1:6" s="1519" customFormat="1" ht="14.25" customHeight="1" thickBot="1">
      <c r="A91" s="1531" t="s">
        <v>1535</v>
      </c>
      <c r="B91" s="1525" t="s">
        <v>1358</v>
      </c>
      <c r="C91" s="1525">
        <v>11410</v>
      </c>
      <c r="D91" s="1525">
        <v>11360</v>
      </c>
      <c r="E91" s="1525">
        <v>12670</v>
      </c>
      <c r="F91" s="1543"/>
    </row>
    <row r="92" spans="1:6" s="1519" customFormat="1" ht="14.25" customHeight="1" thickBot="1">
      <c r="A92" s="1531" t="s">
        <v>1535</v>
      </c>
      <c r="B92" s="1525" t="s">
        <v>1368</v>
      </c>
      <c r="C92" s="1525">
        <v>12770</v>
      </c>
      <c r="D92" s="1525">
        <v>12740</v>
      </c>
      <c r="E92" s="1525">
        <v>11970</v>
      </c>
      <c r="F92" s="1543"/>
    </row>
    <row r="93" spans="1:6" s="1519" customFormat="1" ht="14.25" customHeight="1" thickBot="1">
      <c r="A93" s="1531" t="s">
        <v>1535</v>
      </c>
      <c r="B93" s="1525" t="s">
        <v>1378</v>
      </c>
      <c r="C93" s="1525">
        <v>12740</v>
      </c>
      <c r="D93" s="1525">
        <v>12700</v>
      </c>
      <c r="E93" s="1525">
        <v>12540</v>
      </c>
      <c r="F93" s="1543"/>
    </row>
    <row r="94" spans="1:6" s="1519" customFormat="1" ht="14.25" customHeight="1" thickBot="1">
      <c r="A94" s="1531" t="s">
        <v>1535</v>
      </c>
      <c r="B94" s="1525" t="s">
        <v>1388</v>
      </c>
      <c r="C94" s="1525">
        <v>12020</v>
      </c>
      <c r="D94" s="1525">
        <v>11990</v>
      </c>
      <c r="E94" s="1525">
        <v>13110</v>
      </c>
      <c r="F94" s="1543"/>
    </row>
    <row r="95" spans="1:6" s="1519" customFormat="1" ht="14.25" customHeight="1" thickBot="1">
      <c r="A95" s="1531" t="s">
        <v>1535</v>
      </c>
      <c r="B95" s="1525" t="s">
        <v>1397</v>
      </c>
      <c r="C95" s="1525">
        <v>12620</v>
      </c>
      <c r="D95" s="1525">
        <v>12580</v>
      </c>
      <c r="E95" s="1525">
        <v>13160</v>
      </c>
      <c r="F95" s="1539"/>
    </row>
    <row r="96" spans="1:6" s="1519" customFormat="1" ht="14.25" customHeight="1" thickBot="1">
      <c r="A96" s="1531" t="s">
        <v>1535</v>
      </c>
      <c r="B96" s="1525" t="s">
        <v>1406</v>
      </c>
      <c r="C96" s="1525">
        <v>13200</v>
      </c>
      <c r="D96" s="1525">
        <v>13150</v>
      </c>
      <c r="E96" s="1525">
        <v>12900</v>
      </c>
      <c r="F96" s="1539"/>
    </row>
    <row r="97" spans="1:6" s="1519" customFormat="1" ht="14.25" customHeight="1" thickBot="1">
      <c r="A97" s="1531" t="s">
        <v>1535</v>
      </c>
      <c r="B97" s="1525" t="s">
        <v>1414</v>
      </c>
      <c r="C97" s="1525">
        <v>13270</v>
      </c>
      <c r="D97" s="1525">
        <v>13210</v>
      </c>
      <c r="E97" s="1525">
        <v>11080</v>
      </c>
      <c r="F97" s="1539"/>
    </row>
    <row r="98" spans="1:6" s="1519" customFormat="1" ht="14.25" customHeight="1" thickBot="1">
      <c r="A98" s="1531" t="s">
        <v>1535</v>
      </c>
      <c r="B98" s="1525" t="s">
        <v>1421</v>
      </c>
      <c r="C98" s="1525">
        <v>13010</v>
      </c>
      <c r="D98" s="1525">
        <v>12930</v>
      </c>
      <c r="E98" s="1525">
        <v>12840</v>
      </c>
      <c r="F98" s="1539"/>
    </row>
    <row r="99" spans="1:6" s="1519" customFormat="1" ht="14.25" customHeight="1" thickBot="1">
      <c r="A99" s="1531" t="s">
        <v>1535</v>
      </c>
      <c r="B99" s="1525" t="s">
        <v>1428</v>
      </c>
      <c r="C99" s="1525">
        <v>11190</v>
      </c>
      <c r="D99" s="1525">
        <v>11130</v>
      </c>
      <c r="E99" s="1525"/>
      <c r="F99" s="1539"/>
    </row>
    <row r="100" spans="1:6" s="1519" customFormat="1" ht="14.25" customHeight="1" thickBot="1">
      <c r="A100" s="1531" t="s">
        <v>1535</v>
      </c>
      <c r="B100" s="1525" t="s">
        <v>1435</v>
      </c>
      <c r="C100" s="1525">
        <v>14280</v>
      </c>
      <c r="D100" s="1525">
        <v>14180</v>
      </c>
      <c r="E100" s="1525"/>
      <c r="F100" s="1539"/>
    </row>
    <row r="101" spans="1:6" s="1519" customFormat="1" ht="14.25" customHeight="1" thickBot="1">
      <c r="A101" s="1531" t="s">
        <v>1535</v>
      </c>
      <c r="B101" s="1525" t="s">
        <v>1442</v>
      </c>
      <c r="C101" s="1525">
        <v>12960</v>
      </c>
      <c r="D101" s="1525">
        <v>12890</v>
      </c>
      <c r="E101" s="1525"/>
      <c r="F101" s="1539"/>
    </row>
    <row r="102" spans="1:6" s="1519" customFormat="1" ht="14.25" customHeight="1" thickBot="1">
      <c r="A102" s="1531" t="s">
        <v>1535</v>
      </c>
      <c r="B102" s="1525" t="s">
        <v>1449</v>
      </c>
      <c r="C102" s="1525"/>
      <c r="D102" s="1525"/>
      <c r="E102" s="1525"/>
      <c r="F102" s="1539">
        <v>3100</v>
      </c>
    </row>
    <row r="103" spans="1:6" s="1519" customFormat="1" ht="14.25" customHeight="1" thickBot="1">
      <c r="A103" s="1531" t="s">
        <v>1535</v>
      </c>
      <c r="B103" s="1525" t="s">
        <v>1456</v>
      </c>
      <c r="C103" s="1525"/>
      <c r="D103" s="1525"/>
      <c r="E103" s="1525"/>
      <c r="F103" s="1539">
        <v>2320</v>
      </c>
    </row>
    <row r="104" spans="1:6" s="1519" customFormat="1" ht="14.25" customHeight="1" thickBot="1">
      <c r="A104" s="1531" t="s">
        <v>1535</v>
      </c>
      <c r="B104" s="1525" t="s">
        <v>1461</v>
      </c>
      <c r="C104" s="1525"/>
      <c r="D104" s="1525"/>
      <c r="E104" s="1525"/>
      <c r="F104" s="1539">
        <v>2320</v>
      </c>
    </row>
    <row r="105" spans="1:6" s="1519" customFormat="1" ht="14.25" customHeight="1" thickBot="1">
      <c r="A105" s="1531" t="s">
        <v>1535</v>
      </c>
      <c r="B105" s="1525" t="s">
        <v>1465</v>
      </c>
      <c r="C105" s="1525"/>
      <c r="D105" s="1525"/>
      <c r="E105" s="1525"/>
      <c r="F105" s="1539">
        <v>2320</v>
      </c>
    </row>
    <row r="106" spans="1:6" s="1519" customFormat="1" ht="14.25" customHeight="1" thickBot="1">
      <c r="A106" s="1531" t="s">
        <v>1535</v>
      </c>
      <c r="B106" s="1525" t="s">
        <v>1470</v>
      </c>
      <c r="C106" s="1525"/>
      <c r="D106" s="1525"/>
      <c r="E106" s="1525"/>
      <c r="F106" s="1539">
        <v>2320</v>
      </c>
    </row>
    <row r="107" spans="1:6" s="1519" customFormat="1" ht="14.25" customHeight="1" thickBot="1">
      <c r="A107" s="1531" t="s">
        <v>1535</v>
      </c>
      <c r="B107" s="1525" t="s">
        <v>1475</v>
      </c>
      <c r="C107" s="1525"/>
      <c r="D107" s="1525"/>
      <c r="E107" s="1525"/>
      <c r="F107" s="1539">
        <v>2280</v>
      </c>
    </row>
    <row r="108" spans="1:6" s="1519" customFormat="1" ht="14.25" customHeight="1" thickBot="1">
      <c r="A108" s="1531" t="s">
        <v>1535</v>
      </c>
      <c r="B108" s="1525" t="s">
        <v>1480</v>
      </c>
      <c r="C108" s="1525"/>
      <c r="D108" s="1525"/>
      <c r="E108" s="1525"/>
      <c r="F108" s="1539">
        <v>2280</v>
      </c>
    </row>
    <row r="109" spans="1:6" s="1519" customFormat="1" ht="14.25" customHeight="1" thickBot="1">
      <c r="A109" s="1531" t="s">
        <v>1535</v>
      </c>
      <c r="B109" s="1537" t="s">
        <v>1485</v>
      </c>
      <c r="C109" s="1537"/>
      <c r="D109" s="1537"/>
      <c r="E109" s="1537"/>
      <c r="F109" s="1542">
        <v>2280</v>
      </c>
    </row>
    <row r="110" spans="1:6" s="1519" customFormat="1" ht="14.25" customHeight="1" thickBot="1">
      <c r="A110" s="1531" t="s">
        <v>203</v>
      </c>
      <c r="B110" s="1532" t="s">
        <v>1537</v>
      </c>
      <c r="C110" s="1532">
        <v>10520</v>
      </c>
      <c r="D110" s="1532">
        <v>10490</v>
      </c>
      <c r="E110" s="1532">
        <v>10760</v>
      </c>
      <c r="F110" s="1533">
        <v>2160</v>
      </c>
    </row>
    <row r="111" spans="1:6" s="1519" customFormat="1" ht="14.25" customHeight="1" thickBot="1">
      <c r="A111" s="1531" t="s">
        <v>203</v>
      </c>
      <c r="B111" s="1525" t="s">
        <v>1204</v>
      </c>
      <c r="C111" s="1525">
        <v>10090</v>
      </c>
      <c r="D111" s="1525">
        <v>10060</v>
      </c>
      <c r="E111" s="1525">
        <v>10300</v>
      </c>
      <c r="F111" s="1539">
        <v>2010</v>
      </c>
    </row>
    <row r="112" spans="1:6" s="1519" customFormat="1" ht="14.25" customHeight="1" thickBot="1">
      <c r="A112" s="1531" t="s">
        <v>203</v>
      </c>
      <c r="B112" s="1525" t="s">
        <v>1217</v>
      </c>
      <c r="C112" s="1525">
        <v>9910</v>
      </c>
      <c r="D112" s="1525">
        <v>9850</v>
      </c>
      <c r="E112" s="1525">
        <v>9960</v>
      </c>
      <c r="F112" s="1539">
        <v>2090</v>
      </c>
    </row>
    <row r="113" spans="1:6" s="1519" customFormat="1" ht="14.25" customHeight="1" thickBot="1">
      <c r="A113" s="1531" t="s">
        <v>203</v>
      </c>
      <c r="B113" s="1525" t="s">
        <v>1230</v>
      </c>
      <c r="C113" s="1525">
        <v>11430</v>
      </c>
      <c r="D113" s="1525">
        <v>11400</v>
      </c>
      <c r="E113" s="1525">
        <v>11710</v>
      </c>
      <c r="F113" s="1539">
        <v>2050</v>
      </c>
    </row>
    <row r="114" spans="1:6" s="1519" customFormat="1" ht="14.25" customHeight="1" thickBot="1">
      <c r="A114" s="1531" t="s">
        <v>203</v>
      </c>
      <c r="B114" s="1525" t="s">
        <v>1242</v>
      </c>
      <c r="C114" s="1525">
        <v>11390</v>
      </c>
      <c r="D114" s="1525">
        <v>11350</v>
      </c>
      <c r="E114" s="1525">
        <v>11640</v>
      </c>
      <c r="F114" s="1539">
        <v>1620</v>
      </c>
    </row>
    <row r="115" spans="1:6" s="1519" customFormat="1" ht="14.25" customHeight="1" thickBot="1">
      <c r="A115" s="1531" t="s">
        <v>203</v>
      </c>
      <c r="B115" s="1525" t="s">
        <v>1253</v>
      </c>
      <c r="C115" s="1525">
        <v>9930</v>
      </c>
      <c r="D115" s="1525">
        <v>9900</v>
      </c>
      <c r="E115" s="1525">
        <v>10160</v>
      </c>
      <c r="F115" s="1539">
        <v>1580</v>
      </c>
    </row>
    <row r="116" spans="1:6" s="1519" customFormat="1" ht="14.25" customHeight="1" thickBot="1">
      <c r="A116" s="1531" t="s">
        <v>203</v>
      </c>
      <c r="B116" s="1525" t="s">
        <v>1264</v>
      </c>
      <c r="C116" s="1525">
        <v>9150</v>
      </c>
      <c r="D116" s="1525">
        <v>9120</v>
      </c>
      <c r="E116" s="1525">
        <v>9380</v>
      </c>
      <c r="F116" s="1539">
        <v>1750</v>
      </c>
    </row>
    <row r="117" spans="1:6" s="1519" customFormat="1" ht="14.25" customHeight="1" thickBot="1">
      <c r="A117" s="1531" t="s">
        <v>203</v>
      </c>
      <c r="B117" s="1525" t="s">
        <v>1275</v>
      </c>
      <c r="C117" s="1525">
        <v>10680</v>
      </c>
      <c r="D117" s="1525">
        <v>10650</v>
      </c>
      <c r="E117" s="1525">
        <v>10970</v>
      </c>
      <c r="F117" s="1539">
        <v>1730</v>
      </c>
    </row>
    <row r="118" spans="1:6" s="1519" customFormat="1" ht="14.25" customHeight="1" thickBot="1">
      <c r="A118" s="1531" t="s">
        <v>203</v>
      </c>
      <c r="B118" s="1525" t="s">
        <v>1287</v>
      </c>
      <c r="C118" s="1525">
        <v>10080</v>
      </c>
      <c r="D118" s="1525">
        <v>10050</v>
      </c>
      <c r="E118" s="1525">
        <v>10350</v>
      </c>
      <c r="F118" s="1539">
        <v>1920</v>
      </c>
    </row>
    <row r="119" spans="1:6" s="1519" customFormat="1" ht="14.25" customHeight="1" thickBot="1">
      <c r="A119" s="1531" t="s">
        <v>203</v>
      </c>
      <c r="B119" s="1525" t="s">
        <v>1297</v>
      </c>
      <c r="C119" s="1525">
        <v>9450</v>
      </c>
      <c r="D119" s="1525">
        <v>9410</v>
      </c>
      <c r="E119" s="1525">
        <v>9680</v>
      </c>
      <c r="F119" s="1539">
        <v>1880</v>
      </c>
    </row>
    <row r="120" spans="1:6" s="1519" customFormat="1" ht="14.25" customHeight="1" thickBot="1">
      <c r="A120" s="1531" t="s">
        <v>203</v>
      </c>
      <c r="B120" s="1525" t="s">
        <v>1307</v>
      </c>
      <c r="C120" s="1525">
        <v>8730</v>
      </c>
      <c r="D120" s="1525">
        <v>8700</v>
      </c>
      <c r="E120" s="1525">
        <v>8950</v>
      </c>
      <c r="F120" s="1539">
        <v>1830</v>
      </c>
    </row>
    <row r="121" spans="1:6" s="1519" customFormat="1" ht="14.25" customHeight="1" thickBot="1">
      <c r="A121" s="1531" t="s">
        <v>203</v>
      </c>
      <c r="B121" s="1525" t="s">
        <v>1317</v>
      </c>
      <c r="C121" s="1525">
        <v>10070</v>
      </c>
      <c r="D121" s="1525">
        <v>10040</v>
      </c>
      <c r="E121" s="1525">
        <v>10270</v>
      </c>
      <c r="F121" s="1539">
        <v>1960</v>
      </c>
    </row>
    <row r="122" spans="1:6" s="1519" customFormat="1" ht="14.25" customHeight="1" thickBot="1">
      <c r="A122" s="1531" t="s">
        <v>203</v>
      </c>
      <c r="B122" s="1525" t="s">
        <v>1327</v>
      </c>
      <c r="C122" s="1525">
        <v>10500</v>
      </c>
      <c r="D122" s="1525">
        <v>10470</v>
      </c>
      <c r="E122" s="1525">
        <v>10780</v>
      </c>
      <c r="F122" s="1539">
        <v>2180</v>
      </c>
    </row>
    <row r="123" spans="1:6" s="1519" customFormat="1" ht="14.25" customHeight="1" thickBot="1">
      <c r="A123" s="1531" t="s">
        <v>203</v>
      </c>
      <c r="B123" s="1525" t="s">
        <v>1338</v>
      </c>
      <c r="C123" s="1525">
        <v>10390</v>
      </c>
      <c r="D123" s="1525">
        <v>10360</v>
      </c>
      <c r="E123" s="1525">
        <v>10660</v>
      </c>
      <c r="F123" s="1539">
        <v>2040</v>
      </c>
    </row>
    <row r="124" spans="1:6" s="1519" customFormat="1" ht="14.25" customHeight="1" thickBot="1">
      <c r="A124" s="1531" t="s">
        <v>203</v>
      </c>
      <c r="B124" s="1525" t="s">
        <v>1349</v>
      </c>
      <c r="C124" s="1525">
        <v>10390</v>
      </c>
      <c r="D124" s="1525">
        <v>10360</v>
      </c>
      <c r="E124" s="1525">
        <v>10680</v>
      </c>
      <c r="F124" s="1543"/>
    </row>
    <row r="125" spans="1:6" s="1519" customFormat="1" ht="14.25" customHeight="1" thickBot="1">
      <c r="A125" s="1531" t="s">
        <v>203</v>
      </c>
      <c r="B125" s="1525" t="s">
        <v>1359</v>
      </c>
      <c r="C125" s="1525">
        <v>10440</v>
      </c>
      <c r="D125" s="1525">
        <v>10410</v>
      </c>
      <c r="E125" s="1525">
        <v>10710</v>
      </c>
      <c r="F125" s="1543"/>
    </row>
    <row r="126" spans="1:6" s="1519" customFormat="1" ht="14.25" customHeight="1" thickBot="1">
      <c r="A126" s="1531" t="s">
        <v>203</v>
      </c>
      <c r="B126" s="1525" t="s">
        <v>1369</v>
      </c>
      <c r="C126" s="1525">
        <v>10780</v>
      </c>
      <c r="D126" s="1525">
        <v>10750</v>
      </c>
      <c r="E126" s="1525">
        <v>11080</v>
      </c>
      <c r="F126" s="1543"/>
    </row>
    <row r="127" spans="1:6" s="1519" customFormat="1" ht="14.25" customHeight="1" thickBot="1">
      <c r="A127" s="1531" t="s">
        <v>203</v>
      </c>
      <c r="B127" s="1525" t="s">
        <v>1379</v>
      </c>
      <c r="C127" s="1525">
        <v>10100</v>
      </c>
      <c r="D127" s="1525">
        <v>10070</v>
      </c>
      <c r="E127" s="1525">
        <v>10350</v>
      </c>
      <c r="F127" s="1543"/>
    </row>
    <row r="128" spans="1:6" s="1519" customFormat="1" ht="14.25" customHeight="1" thickBot="1">
      <c r="A128" s="1531" t="s">
        <v>203</v>
      </c>
      <c r="B128" s="1525" t="s">
        <v>1389</v>
      </c>
      <c r="C128" s="1525">
        <v>9200</v>
      </c>
      <c r="D128" s="1525">
        <v>9160</v>
      </c>
      <c r="E128" s="1525">
        <v>9660</v>
      </c>
      <c r="F128" s="1543"/>
    </row>
    <row r="129" spans="1:6" s="1519" customFormat="1" ht="14.25" customHeight="1" thickBot="1">
      <c r="A129" s="1531" t="s">
        <v>203</v>
      </c>
      <c r="B129" s="1525" t="s">
        <v>1398</v>
      </c>
      <c r="C129" s="1525">
        <v>10340</v>
      </c>
      <c r="D129" s="1525">
        <v>10310</v>
      </c>
      <c r="E129" s="1525">
        <v>10580</v>
      </c>
      <c r="F129" s="1543"/>
    </row>
    <row r="130" spans="1:6" s="1519" customFormat="1" ht="14.25" customHeight="1" thickBot="1">
      <c r="A130" s="1531" t="s">
        <v>203</v>
      </c>
      <c r="B130" s="1525" t="s">
        <v>1407</v>
      </c>
      <c r="C130" s="1525">
        <v>9680</v>
      </c>
      <c r="D130" s="1525">
        <v>9660</v>
      </c>
      <c r="E130" s="1525">
        <v>9950</v>
      </c>
      <c r="F130" s="1543"/>
    </row>
    <row r="131" spans="1:6" s="1519" customFormat="1" ht="14.25" customHeight="1" thickBot="1">
      <c r="A131" s="1531" t="s">
        <v>203</v>
      </c>
      <c r="B131" s="1525" t="s">
        <v>1415</v>
      </c>
      <c r="C131" s="1525">
        <v>9540</v>
      </c>
      <c r="D131" s="1525">
        <v>9510</v>
      </c>
      <c r="E131" s="1525">
        <v>9790</v>
      </c>
      <c r="F131" s="1543"/>
    </row>
    <row r="132" spans="1:6" s="1519" customFormat="1" ht="14.25" customHeight="1" thickBot="1">
      <c r="A132" s="1531" t="s">
        <v>203</v>
      </c>
      <c r="B132" s="1525" t="s">
        <v>1422</v>
      </c>
      <c r="C132" s="1525">
        <v>9320</v>
      </c>
      <c r="D132" s="1525">
        <v>9290</v>
      </c>
      <c r="E132" s="1525">
        <v>9570</v>
      </c>
      <c r="F132" s="1543"/>
    </row>
    <row r="133" spans="1:6" s="1519" customFormat="1" ht="14.25" customHeight="1" thickBot="1">
      <c r="A133" s="1531" t="s">
        <v>203</v>
      </c>
      <c r="B133" s="1525" t="s">
        <v>1429</v>
      </c>
      <c r="C133" s="1525">
        <v>10310</v>
      </c>
      <c r="D133" s="1525">
        <v>10280</v>
      </c>
      <c r="E133" s="1525">
        <v>10530</v>
      </c>
      <c r="F133" s="1543"/>
    </row>
    <row r="134" spans="1:6" s="1519" customFormat="1" ht="14.25" customHeight="1" thickBot="1">
      <c r="A134" s="1531" t="s">
        <v>203</v>
      </c>
      <c r="B134" s="1525" t="s">
        <v>1436</v>
      </c>
      <c r="C134" s="1525">
        <v>10370</v>
      </c>
      <c r="D134" s="1525">
        <v>10310</v>
      </c>
      <c r="E134" s="1525">
        <v>10240</v>
      </c>
      <c r="F134" s="1539">
        <v>2060</v>
      </c>
    </row>
    <row r="135" spans="1:6" s="1519" customFormat="1" ht="14.25" customHeight="1" thickBot="1">
      <c r="A135" s="1531" t="s">
        <v>203</v>
      </c>
      <c r="B135" s="1525" t="s">
        <v>1443</v>
      </c>
      <c r="C135" s="1525">
        <v>9300</v>
      </c>
      <c r="D135" s="1525">
        <v>9270</v>
      </c>
      <c r="E135" s="1525">
        <v>9350</v>
      </c>
      <c r="F135" s="1543"/>
    </row>
    <row r="136" spans="1:6" s="1519" customFormat="1" ht="14.25" customHeight="1" thickBot="1">
      <c r="A136" s="1531" t="s">
        <v>203</v>
      </c>
      <c r="B136" s="1525" t="s">
        <v>1450</v>
      </c>
      <c r="C136" s="1525">
        <v>10160</v>
      </c>
      <c r="D136" s="1525">
        <v>10110</v>
      </c>
      <c r="E136" s="1525">
        <v>10080</v>
      </c>
      <c r="F136" s="1543"/>
    </row>
    <row r="137" spans="1:6" s="1519" customFormat="1" ht="14.25" customHeight="1" thickBot="1">
      <c r="A137" s="1531" t="s">
        <v>203</v>
      </c>
      <c r="B137" s="1525" t="s">
        <v>1457</v>
      </c>
      <c r="C137" s="1525">
        <v>9200</v>
      </c>
      <c r="D137" s="1525">
        <v>9170</v>
      </c>
      <c r="E137" s="1525">
        <v>9450</v>
      </c>
      <c r="F137" s="1543"/>
    </row>
    <row r="138" spans="1:6" s="1519" customFormat="1" ht="14.25" customHeight="1" thickBot="1">
      <c r="A138" s="1531" t="s">
        <v>203</v>
      </c>
      <c r="B138" s="1525" t="s">
        <v>1462</v>
      </c>
      <c r="C138" s="1525">
        <v>9690</v>
      </c>
      <c r="D138" s="1525">
        <v>9660</v>
      </c>
      <c r="E138" s="1525">
        <v>9840</v>
      </c>
      <c r="F138" s="1543"/>
    </row>
    <row r="139" spans="1:6" s="1519" customFormat="1" ht="14.25" customHeight="1" thickBot="1">
      <c r="A139" s="1531" t="s">
        <v>203</v>
      </c>
      <c r="B139" s="1525" t="s">
        <v>1466</v>
      </c>
      <c r="C139" s="1525">
        <v>10290</v>
      </c>
      <c r="D139" s="1525">
        <v>10260</v>
      </c>
      <c r="E139" s="1525">
        <v>10550</v>
      </c>
      <c r="F139" s="1539">
        <v>1700</v>
      </c>
    </row>
    <row r="140" spans="1:6" s="1519" customFormat="1" ht="14.25" customHeight="1" thickBot="1">
      <c r="A140" s="1531" t="s">
        <v>203</v>
      </c>
      <c r="B140" s="1525" t="s">
        <v>1471</v>
      </c>
      <c r="C140" s="1525">
        <v>9740</v>
      </c>
      <c r="D140" s="1525">
        <v>9710</v>
      </c>
      <c r="E140" s="1525">
        <v>10000</v>
      </c>
      <c r="F140" s="1539">
        <v>2000</v>
      </c>
    </row>
    <row r="141" spans="1:6" s="1519" customFormat="1" ht="14.25" customHeight="1" thickBot="1">
      <c r="A141" s="1531" t="s">
        <v>203</v>
      </c>
      <c r="B141" s="1525" t="s">
        <v>1476</v>
      </c>
      <c r="C141" s="1525">
        <v>9810</v>
      </c>
      <c r="D141" s="1525">
        <v>9770</v>
      </c>
      <c r="E141" s="1525">
        <v>10060</v>
      </c>
      <c r="F141" s="1543"/>
    </row>
    <row r="142" spans="1:6" s="1519" customFormat="1" ht="14.25" customHeight="1" thickBot="1">
      <c r="A142" s="1531" t="s">
        <v>203</v>
      </c>
      <c r="B142" s="1525" t="s">
        <v>1481</v>
      </c>
      <c r="C142" s="1525">
        <v>9300</v>
      </c>
      <c r="D142" s="1525">
        <v>9270</v>
      </c>
      <c r="E142" s="1525">
        <v>9530</v>
      </c>
      <c r="F142" s="1543"/>
    </row>
    <row r="143" spans="1:6" s="1519" customFormat="1" ht="14.25" customHeight="1" thickBot="1">
      <c r="A143" s="1531" t="s">
        <v>203</v>
      </c>
      <c r="B143" s="1525" t="s">
        <v>1486</v>
      </c>
      <c r="C143" s="1525">
        <v>10080</v>
      </c>
      <c r="D143" s="1525">
        <v>10050</v>
      </c>
      <c r="E143" s="1525">
        <v>10340</v>
      </c>
      <c r="F143" s="1543"/>
    </row>
    <row r="144" spans="1:6" s="1519" customFormat="1" ht="14.25" customHeight="1" thickBot="1">
      <c r="A144" s="1531" t="s">
        <v>203</v>
      </c>
      <c r="B144" s="1525" t="s">
        <v>1490</v>
      </c>
      <c r="C144" s="1525">
        <v>9820</v>
      </c>
      <c r="D144" s="1525">
        <v>9750</v>
      </c>
      <c r="E144" s="1525">
        <v>9900</v>
      </c>
      <c r="F144" s="1543"/>
    </row>
    <row r="145" spans="1:6" s="1519" customFormat="1" ht="14.25" customHeight="1" thickBot="1">
      <c r="A145" s="1531" t="s">
        <v>203</v>
      </c>
      <c r="B145" s="1525" t="s">
        <v>1494</v>
      </c>
      <c r="C145" s="1525"/>
      <c r="D145" s="1525"/>
      <c r="E145" s="1525"/>
      <c r="F145" s="1539">
        <v>1740</v>
      </c>
    </row>
    <row r="146" spans="1:6" s="1519" customFormat="1" ht="14.25" customHeight="1" thickBot="1">
      <c r="A146" s="1531" t="s">
        <v>203</v>
      </c>
      <c r="B146" s="1525" t="s">
        <v>1498</v>
      </c>
      <c r="C146" s="1525"/>
      <c r="D146" s="1525"/>
      <c r="E146" s="1525"/>
      <c r="F146" s="1539">
        <v>1740</v>
      </c>
    </row>
    <row r="147" spans="1:6" s="1519" customFormat="1" ht="14.25" customHeight="1" thickBot="1">
      <c r="A147" s="1531" t="s">
        <v>203</v>
      </c>
      <c r="B147" s="1525" t="s">
        <v>1502</v>
      </c>
      <c r="C147" s="1525"/>
      <c r="D147" s="1525"/>
      <c r="E147" s="1525"/>
      <c r="F147" s="1539">
        <v>1740</v>
      </c>
    </row>
    <row r="148" spans="1:6" s="1519" customFormat="1" ht="14.25" customHeight="1" thickBot="1">
      <c r="A148" s="1531" t="s">
        <v>203</v>
      </c>
      <c r="B148" s="1525" t="s">
        <v>1506</v>
      </c>
      <c r="C148" s="1525"/>
      <c r="D148" s="1525"/>
      <c r="E148" s="1525"/>
      <c r="F148" s="1539">
        <v>1740</v>
      </c>
    </row>
    <row r="149" spans="1:6" s="1519" customFormat="1" ht="14.25" customHeight="1" thickBot="1">
      <c r="A149" s="1531" t="s">
        <v>203</v>
      </c>
      <c r="B149" s="1525" t="s">
        <v>1510</v>
      </c>
      <c r="C149" s="1525"/>
      <c r="D149" s="1525"/>
      <c r="E149" s="1525"/>
      <c r="F149" s="1539">
        <v>1740</v>
      </c>
    </row>
    <row r="150" spans="1:6" s="1519" customFormat="1" ht="14.25" customHeight="1" thickBot="1">
      <c r="A150" s="1531" t="s">
        <v>203</v>
      </c>
      <c r="B150" s="1525" t="s">
        <v>1513</v>
      </c>
      <c r="C150" s="1525"/>
      <c r="D150" s="1525"/>
      <c r="E150" s="1525"/>
      <c r="F150" s="1539">
        <v>1610</v>
      </c>
    </row>
    <row r="151" spans="1:6" s="1519" customFormat="1" ht="14.25" customHeight="1" thickBot="1">
      <c r="A151" s="1531" t="s">
        <v>203</v>
      </c>
      <c r="B151" s="1525" t="s">
        <v>1516</v>
      </c>
      <c r="C151" s="1525"/>
      <c r="D151" s="1525"/>
      <c r="E151" s="1525"/>
      <c r="F151" s="1539">
        <v>1610</v>
      </c>
    </row>
    <row r="152" spans="1:6" s="1519" customFormat="1" ht="14.25" customHeight="1" thickBot="1">
      <c r="A152" s="1531" t="s">
        <v>203</v>
      </c>
      <c r="B152" s="1525" t="s">
        <v>1519</v>
      </c>
      <c r="C152" s="1525"/>
      <c r="D152" s="1525"/>
      <c r="E152" s="1525"/>
      <c r="F152" s="1539">
        <v>1610</v>
      </c>
    </row>
    <row r="153" spans="1:6" s="1519" customFormat="1" ht="14.25" customHeight="1" thickBot="1">
      <c r="A153" s="1531" t="s">
        <v>203</v>
      </c>
      <c r="B153" s="1525" t="s">
        <v>1522</v>
      </c>
      <c r="C153" s="1525"/>
      <c r="D153" s="1525"/>
      <c r="E153" s="1525"/>
      <c r="F153" s="1539">
        <v>1610</v>
      </c>
    </row>
    <row r="154" spans="1:6" s="1519" customFormat="1" ht="14.25" customHeight="1" thickBot="1">
      <c r="A154" s="1531" t="s">
        <v>203</v>
      </c>
      <c r="B154" s="1525" t="s">
        <v>1525</v>
      </c>
      <c r="C154" s="1525"/>
      <c r="D154" s="1525"/>
      <c r="E154" s="1525"/>
      <c r="F154" s="1539">
        <v>1610</v>
      </c>
    </row>
    <row r="155" spans="1:6" s="1519" customFormat="1" ht="14.25" customHeight="1" thickBot="1">
      <c r="A155" s="1531" t="s">
        <v>203</v>
      </c>
      <c r="B155" s="1525" t="s">
        <v>1528</v>
      </c>
      <c r="C155" s="1525"/>
      <c r="D155" s="1525"/>
      <c r="E155" s="1525"/>
      <c r="F155" s="1539">
        <v>1800</v>
      </c>
    </row>
    <row r="156" spans="1:6" s="1519" customFormat="1" ht="14.25" customHeight="1" thickBot="1">
      <c r="A156" s="1531" t="s">
        <v>203</v>
      </c>
      <c r="B156" s="1525" t="s">
        <v>1530</v>
      </c>
      <c r="C156" s="1525"/>
      <c r="D156" s="1525"/>
      <c r="E156" s="1525"/>
      <c r="F156" s="1539">
        <v>1910</v>
      </c>
    </row>
    <row r="157" spans="1:6" s="1519" customFormat="1" ht="14.25" customHeight="1" thickBot="1">
      <c r="A157" s="1531" t="s">
        <v>203</v>
      </c>
      <c r="B157" s="1537" t="s">
        <v>1533</v>
      </c>
      <c r="C157" s="1537"/>
      <c r="D157" s="1537"/>
      <c r="E157" s="1537"/>
      <c r="F157" s="1542">
        <v>1500</v>
      </c>
    </row>
    <row r="158" spans="1:6" s="1519" customFormat="1" ht="14.25" customHeight="1" thickBot="1">
      <c r="A158" s="1531" t="s">
        <v>1538</v>
      </c>
      <c r="B158" s="1532" t="s">
        <v>1539</v>
      </c>
      <c r="C158" s="1532">
        <v>8170</v>
      </c>
      <c r="D158" s="1532">
        <v>8140</v>
      </c>
      <c r="E158" s="1532">
        <v>8590</v>
      </c>
      <c r="F158" s="1533">
        <v>1450</v>
      </c>
    </row>
    <row r="159" spans="1:6" s="1519" customFormat="1" ht="14.25" customHeight="1" thickBot="1">
      <c r="A159" s="1531" t="s">
        <v>1538</v>
      </c>
      <c r="B159" s="1525" t="s">
        <v>1205</v>
      </c>
      <c r="C159" s="1525">
        <v>7410</v>
      </c>
      <c r="D159" s="1525">
        <v>7370</v>
      </c>
      <c r="E159" s="1525">
        <v>8030</v>
      </c>
      <c r="F159" s="1539">
        <v>1510</v>
      </c>
    </row>
    <row r="160" spans="1:6" s="1519" customFormat="1" ht="14.25" customHeight="1" thickBot="1">
      <c r="A160" s="1531" t="s">
        <v>1538</v>
      </c>
      <c r="B160" s="1525" t="s">
        <v>1218</v>
      </c>
      <c r="C160" s="1525">
        <v>7240</v>
      </c>
      <c r="D160" s="1525">
        <v>7210</v>
      </c>
      <c r="E160" s="1525">
        <v>7860</v>
      </c>
      <c r="F160" s="1539">
        <v>1370</v>
      </c>
    </row>
    <row r="161" spans="1:6" s="1519" customFormat="1" ht="14.25" customHeight="1" thickBot="1">
      <c r="A161" s="1531" t="s">
        <v>1538</v>
      </c>
      <c r="B161" s="1525" t="s">
        <v>1231</v>
      </c>
      <c r="C161" s="1525">
        <v>7720</v>
      </c>
      <c r="D161" s="1525">
        <v>7690</v>
      </c>
      <c r="E161" s="1525">
        <v>8200</v>
      </c>
      <c r="F161" s="1539">
        <v>1190</v>
      </c>
    </row>
    <row r="162" spans="1:6" s="1519" customFormat="1" ht="14.25" customHeight="1" thickBot="1">
      <c r="A162" s="1531" t="s">
        <v>1538</v>
      </c>
      <c r="B162" s="1525" t="s">
        <v>1243</v>
      </c>
      <c r="C162" s="1525">
        <v>6900</v>
      </c>
      <c r="D162" s="1525">
        <v>6870</v>
      </c>
      <c r="E162" s="1525">
        <v>7500</v>
      </c>
      <c r="F162" s="1539">
        <v>1390</v>
      </c>
    </row>
    <row r="163" spans="1:6" s="1519" customFormat="1" ht="14.25" customHeight="1" thickBot="1">
      <c r="A163" s="1531" t="s">
        <v>1538</v>
      </c>
      <c r="B163" s="1525" t="s">
        <v>1254</v>
      </c>
      <c r="C163" s="1525">
        <v>7120</v>
      </c>
      <c r="D163" s="1525">
        <v>7090</v>
      </c>
      <c r="E163" s="1525">
        <v>7690</v>
      </c>
      <c r="F163" s="1539">
        <v>1230</v>
      </c>
    </row>
    <row r="164" spans="1:6" s="1519" customFormat="1" ht="14.25" customHeight="1" thickBot="1">
      <c r="A164" s="1531" t="s">
        <v>1538</v>
      </c>
      <c r="B164" s="1525" t="s">
        <v>1265</v>
      </c>
      <c r="C164" s="1525">
        <v>6560</v>
      </c>
      <c r="D164" s="1525">
        <v>6530</v>
      </c>
      <c r="E164" s="1525">
        <v>7110</v>
      </c>
      <c r="F164" s="1539">
        <v>1340</v>
      </c>
    </row>
    <row r="165" spans="1:6" s="1519" customFormat="1" ht="14.25" customHeight="1" thickBot="1">
      <c r="A165" s="1531" t="s">
        <v>1538</v>
      </c>
      <c r="B165" s="1525" t="s">
        <v>1276</v>
      </c>
      <c r="C165" s="1525">
        <v>7450</v>
      </c>
      <c r="D165" s="1525">
        <v>7430</v>
      </c>
      <c r="E165" s="1525">
        <v>8110</v>
      </c>
      <c r="F165" s="1539">
        <v>1290</v>
      </c>
    </row>
    <row r="166" spans="1:6" s="1519" customFormat="1" ht="14.25" customHeight="1" thickBot="1">
      <c r="A166" s="1531" t="s">
        <v>1538</v>
      </c>
      <c r="B166" s="1525" t="s">
        <v>1288</v>
      </c>
      <c r="C166" s="1525">
        <v>7490</v>
      </c>
      <c r="D166" s="1525">
        <v>7460</v>
      </c>
      <c r="E166" s="1525">
        <v>8150</v>
      </c>
      <c r="F166" s="1539">
        <v>1350</v>
      </c>
    </row>
    <row r="167" spans="1:6" s="1519" customFormat="1" ht="14.25" customHeight="1" thickBot="1">
      <c r="A167" s="1531" t="s">
        <v>1538</v>
      </c>
      <c r="B167" s="1525" t="s">
        <v>1298</v>
      </c>
      <c r="C167" s="1525">
        <v>7540</v>
      </c>
      <c r="D167" s="1525">
        <v>7510</v>
      </c>
      <c r="E167" s="1525">
        <v>8030</v>
      </c>
      <c r="F167" s="1543"/>
    </row>
    <row r="168" spans="1:6" s="1519" customFormat="1" ht="14.25" customHeight="1" thickBot="1">
      <c r="A168" s="1531" t="s">
        <v>1538</v>
      </c>
      <c r="B168" s="1525" t="s">
        <v>1308</v>
      </c>
      <c r="C168" s="1525">
        <v>7210</v>
      </c>
      <c r="D168" s="1525">
        <v>7180</v>
      </c>
      <c r="E168" s="1525">
        <v>7830</v>
      </c>
      <c r="F168" s="1543"/>
    </row>
    <row r="169" spans="1:6" s="1519" customFormat="1" ht="14.25" customHeight="1" thickBot="1">
      <c r="A169" s="1531" t="s">
        <v>1538</v>
      </c>
      <c r="B169" s="1525" t="s">
        <v>1318</v>
      </c>
      <c r="C169" s="1525">
        <v>7040</v>
      </c>
      <c r="D169" s="1525">
        <v>7020</v>
      </c>
      <c r="E169" s="1525">
        <v>7670</v>
      </c>
      <c r="F169" s="1543"/>
    </row>
    <row r="170" spans="1:6" s="1519" customFormat="1" ht="14.25" customHeight="1" thickBot="1">
      <c r="A170" s="1531" t="s">
        <v>1538</v>
      </c>
      <c r="B170" s="1525" t="s">
        <v>1328</v>
      </c>
      <c r="C170" s="1525">
        <v>8040</v>
      </c>
      <c r="D170" s="1525">
        <v>7190</v>
      </c>
      <c r="E170" s="1525">
        <v>7850</v>
      </c>
      <c r="F170" s="1543"/>
    </row>
    <row r="171" spans="1:6" s="1519" customFormat="1" ht="14.25" customHeight="1" thickBot="1">
      <c r="A171" s="1531" t="s">
        <v>1538</v>
      </c>
      <c r="B171" s="1525" t="s">
        <v>1339</v>
      </c>
      <c r="C171" s="1525">
        <v>7860</v>
      </c>
      <c r="D171" s="1525">
        <v>7720</v>
      </c>
      <c r="E171" s="1525">
        <v>8150</v>
      </c>
      <c r="F171" s="1539">
        <v>1110</v>
      </c>
    </row>
    <row r="172" spans="1:6" s="1519" customFormat="1" ht="14.25" customHeight="1" thickBot="1">
      <c r="A172" s="1531" t="s">
        <v>1538</v>
      </c>
      <c r="B172" s="1525" t="s">
        <v>1350</v>
      </c>
      <c r="C172" s="1525">
        <v>7210</v>
      </c>
      <c r="D172" s="1525">
        <v>7170</v>
      </c>
      <c r="E172" s="1525">
        <v>7320</v>
      </c>
      <c r="F172" s="1543"/>
    </row>
    <row r="173" spans="1:6" s="1519" customFormat="1" ht="14.25" customHeight="1" thickBot="1">
      <c r="A173" s="1531" t="s">
        <v>1538</v>
      </c>
      <c r="B173" s="1525" t="s">
        <v>1360</v>
      </c>
      <c r="C173" s="1525">
        <v>6860</v>
      </c>
      <c r="D173" s="1525">
        <v>6810</v>
      </c>
      <c r="E173" s="1525">
        <v>7440</v>
      </c>
      <c r="F173" s="1543"/>
    </row>
    <row r="174" spans="1:6" s="1519" customFormat="1" ht="14.25" customHeight="1" thickBot="1">
      <c r="A174" s="1531" t="s">
        <v>1538</v>
      </c>
      <c r="B174" s="1525" t="s">
        <v>1370</v>
      </c>
      <c r="C174" s="1525">
        <v>7120</v>
      </c>
      <c r="D174" s="1525">
        <v>7090</v>
      </c>
      <c r="E174" s="1525">
        <v>7500</v>
      </c>
      <c r="F174" s="1539">
        <v>1490</v>
      </c>
    </row>
    <row r="175" spans="1:6" s="1519" customFormat="1" ht="14.25" customHeight="1" thickBot="1">
      <c r="A175" s="1531" t="s">
        <v>1538</v>
      </c>
      <c r="B175" s="1525" t="s">
        <v>1380</v>
      </c>
      <c r="C175" s="1525">
        <v>7850</v>
      </c>
      <c r="D175" s="1525">
        <v>7820</v>
      </c>
      <c r="E175" s="1525">
        <v>8120</v>
      </c>
      <c r="F175" s="1539">
        <v>1530</v>
      </c>
    </row>
    <row r="176" spans="1:6" s="1519" customFormat="1" ht="14.25" customHeight="1" thickBot="1">
      <c r="A176" s="1531" t="s">
        <v>1538</v>
      </c>
      <c r="B176" s="1525" t="s">
        <v>1390</v>
      </c>
      <c r="C176" s="1525">
        <v>7620</v>
      </c>
      <c r="D176" s="1525">
        <v>7570</v>
      </c>
      <c r="E176" s="1525">
        <v>7990</v>
      </c>
      <c r="F176" s="1539">
        <v>1480</v>
      </c>
    </row>
    <row r="177" spans="1:6" s="1519" customFormat="1" ht="14.25" customHeight="1" thickBot="1">
      <c r="A177" s="1531" t="s">
        <v>1538</v>
      </c>
      <c r="B177" s="1525" t="s">
        <v>1399</v>
      </c>
      <c r="C177" s="1525">
        <v>8590</v>
      </c>
      <c r="D177" s="1525">
        <v>8570</v>
      </c>
      <c r="E177" s="1525">
        <v>8740</v>
      </c>
      <c r="F177" s="1539">
        <v>1540</v>
      </c>
    </row>
    <row r="178" spans="1:6" s="1519" customFormat="1" ht="14.25" customHeight="1" thickBot="1">
      <c r="A178" s="1531" t="s">
        <v>1538</v>
      </c>
      <c r="B178" s="1525" t="s">
        <v>1408</v>
      </c>
      <c r="C178" s="1525">
        <v>7510</v>
      </c>
      <c r="D178" s="1525">
        <v>7470</v>
      </c>
      <c r="E178" s="1525">
        <v>8090</v>
      </c>
      <c r="F178" s="1539">
        <v>1320</v>
      </c>
    </row>
    <row r="179" spans="1:6" s="1519" customFormat="1" ht="14.25" customHeight="1" thickBot="1">
      <c r="A179" s="1531" t="s">
        <v>1538</v>
      </c>
      <c r="B179" s="1525" t="s">
        <v>1416</v>
      </c>
      <c r="C179" s="1525">
        <v>6380</v>
      </c>
      <c r="D179" s="1525">
        <v>6340</v>
      </c>
      <c r="E179" s="1525">
        <v>6810</v>
      </c>
      <c r="F179" s="1543"/>
    </row>
    <row r="180" spans="1:6" s="1519" customFormat="1" ht="14.25" customHeight="1" thickBot="1">
      <c r="A180" s="1531" t="s">
        <v>1538</v>
      </c>
      <c r="B180" s="1525" t="s">
        <v>1423</v>
      </c>
      <c r="C180" s="1525">
        <v>7830</v>
      </c>
      <c r="D180" s="1525">
        <v>7800</v>
      </c>
      <c r="E180" s="1525">
        <v>7780</v>
      </c>
      <c r="F180" s="1539">
        <v>1440</v>
      </c>
    </row>
    <row r="181" spans="1:6" s="1519" customFormat="1" ht="14.25" customHeight="1" thickBot="1">
      <c r="A181" s="1531" t="s">
        <v>1538</v>
      </c>
      <c r="B181" s="1525" t="s">
        <v>1430</v>
      </c>
      <c r="C181" s="1525">
        <v>7110</v>
      </c>
      <c r="D181" s="1525">
        <v>7080</v>
      </c>
      <c r="E181" s="1525">
        <v>7730</v>
      </c>
      <c r="F181" s="1539">
        <v>1350</v>
      </c>
    </row>
    <row r="182" spans="1:6" s="1519" customFormat="1" ht="14.25" customHeight="1" thickBot="1">
      <c r="A182" s="1531" t="s">
        <v>1538</v>
      </c>
      <c r="B182" s="1525" t="s">
        <v>1437</v>
      </c>
      <c r="C182" s="1525">
        <v>7310</v>
      </c>
      <c r="D182" s="1525">
        <v>7280</v>
      </c>
      <c r="E182" s="1525">
        <v>7950</v>
      </c>
      <c r="F182" s="1539">
        <v>1220</v>
      </c>
    </row>
    <row r="183" spans="1:6" s="1519" customFormat="1" ht="14.25" customHeight="1" thickBot="1">
      <c r="A183" s="1531" t="s">
        <v>1538</v>
      </c>
      <c r="B183" s="1525" t="s">
        <v>1444</v>
      </c>
      <c r="C183" s="1525">
        <v>7470</v>
      </c>
      <c r="D183" s="1525">
        <v>7440</v>
      </c>
      <c r="E183" s="1525">
        <v>7880</v>
      </c>
      <c r="F183" s="1543"/>
    </row>
    <row r="184" spans="1:6" s="1519" customFormat="1" ht="14.25" customHeight="1" thickBot="1">
      <c r="A184" s="1531" t="s">
        <v>1538</v>
      </c>
      <c r="B184" s="1525" t="s">
        <v>1451</v>
      </c>
      <c r="C184" s="1525">
        <v>6960</v>
      </c>
      <c r="D184" s="1525">
        <v>6930</v>
      </c>
      <c r="E184" s="1525">
        <v>7570</v>
      </c>
      <c r="F184" s="1543"/>
    </row>
    <row r="185" spans="1:6" s="1519" customFormat="1" ht="14.25" customHeight="1" thickBot="1">
      <c r="A185" s="1531" t="s">
        <v>1538</v>
      </c>
      <c r="B185" s="1525" t="s">
        <v>1458</v>
      </c>
      <c r="C185" s="1525">
        <v>7260</v>
      </c>
      <c r="D185" s="1525">
        <v>7230</v>
      </c>
      <c r="E185" s="1525">
        <v>7710</v>
      </c>
      <c r="F185" s="1539">
        <v>1360</v>
      </c>
    </row>
    <row r="186" spans="1:6" s="1519" customFormat="1" ht="14.25" customHeight="1" thickBot="1">
      <c r="A186" s="1531" t="s">
        <v>1538</v>
      </c>
      <c r="B186" s="1525" t="s">
        <v>1463</v>
      </c>
      <c r="C186" s="1525"/>
      <c r="D186" s="1525"/>
      <c r="E186" s="1525"/>
      <c r="F186" s="1539">
        <v>1560</v>
      </c>
    </row>
    <row r="187" spans="1:6" s="1519" customFormat="1" ht="14.25" customHeight="1" thickBot="1">
      <c r="A187" s="1531" t="s">
        <v>1538</v>
      </c>
      <c r="B187" s="1525" t="s">
        <v>1467</v>
      </c>
      <c r="C187" s="1525"/>
      <c r="D187" s="1525"/>
      <c r="E187" s="1525"/>
      <c r="F187" s="1539">
        <v>1560</v>
      </c>
    </row>
    <row r="188" spans="1:6" s="1519" customFormat="1" ht="14.25" customHeight="1" thickBot="1">
      <c r="A188" s="1531" t="s">
        <v>1538</v>
      </c>
      <c r="B188" s="1525" t="s">
        <v>1472</v>
      </c>
      <c r="C188" s="1525"/>
      <c r="D188" s="1525"/>
      <c r="E188" s="1525"/>
      <c r="F188" s="1539">
        <v>1560</v>
      </c>
    </row>
    <row r="189" spans="1:6" s="1519" customFormat="1" ht="14.25" customHeight="1" thickBot="1">
      <c r="A189" s="1531" t="s">
        <v>1538</v>
      </c>
      <c r="B189" s="1525" t="s">
        <v>1477</v>
      </c>
      <c r="C189" s="1525"/>
      <c r="D189" s="1525"/>
      <c r="E189" s="1525"/>
      <c r="F189" s="1539">
        <v>1320</v>
      </c>
    </row>
    <row r="190" spans="1:6" s="1519" customFormat="1" ht="14.25" customHeight="1" thickBot="1">
      <c r="A190" s="1531" t="s">
        <v>1538</v>
      </c>
      <c r="B190" s="1525" t="s">
        <v>1482</v>
      </c>
      <c r="C190" s="1525"/>
      <c r="D190" s="1525"/>
      <c r="E190" s="1525"/>
      <c r="F190" s="1539">
        <v>1320</v>
      </c>
    </row>
    <row r="191" spans="1:6" s="1519" customFormat="1" ht="14.25" customHeight="1" thickBot="1">
      <c r="A191" s="1531" t="s">
        <v>1538</v>
      </c>
      <c r="B191" s="1525" t="s">
        <v>1487</v>
      </c>
      <c r="C191" s="1525"/>
      <c r="D191" s="1525"/>
      <c r="E191" s="1525"/>
      <c r="F191" s="1539">
        <v>1320</v>
      </c>
    </row>
    <row r="192" spans="1:6" s="1519" customFormat="1" ht="14.25" customHeight="1" thickBot="1">
      <c r="A192" s="1531" t="s">
        <v>1538</v>
      </c>
      <c r="B192" s="1525" t="s">
        <v>1491</v>
      </c>
      <c r="C192" s="1525"/>
      <c r="D192" s="1525"/>
      <c r="E192" s="1525"/>
      <c r="F192" s="1539">
        <v>1100</v>
      </c>
    </row>
    <row r="193" spans="1:6" s="1519" customFormat="1" ht="14.25" customHeight="1" thickBot="1">
      <c r="A193" s="1531" t="s">
        <v>1538</v>
      </c>
      <c r="B193" s="1525" t="s">
        <v>1495</v>
      </c>
      <c r="C193" s="1525"/>
      <c r="D193" s="1525"/>
      <c r="E193" s="1525"/>
      <c r="F193" s="1539">
        <v>1100</v>
      </c>
    </row>
    <row r="194" spans="1:6" s="1519" customFormat="1" ht="14.25" customHeight="1" thickBot="1">
      <c r="A194" s="1531" t="s">
        <v>1538</v>
      </c>
      <c r="B194" s="1525" t="s">
        <v>1499</v>
      </c>
      <c r="C194" s="1525"/>
      <c r="D194" s="1525"/>
      <c r="E194" s="1525"/>
      <c r="F194" s="1539">
        <v>1080</v>
      </c>
    </row>
    <row r="195" spans="1:6" s="1519" customFormat="1" ht="14.25" customHeight="1" thickBot="1">
      <c r="A195" s="1531" t="s">
        <v>1538</v>
      </c>
      <c r="B195" s="1525" t="s">
        <v>1503</v>
      </c>
      <c r="C195" s="1525"/>
      <c r="D195" s="1525"/>
      <c r="E195" s="1525"/>
      <c r="F195" s="1539">
        <v>1270</v>
      </c>
    </row>
    <row r="196" spans="1:6" s="1519" customFormat="1" ht="14.25" customHeight="1" thickBot="1">
      <c r="A196" s="1531" t="s">
        <v>1538</v>
      </c>
      <c r="B196" s="1525" t="s">
        <v>1507</v>
      </c>
      <c r="C196" s="1525"/>
      <c r="D196" s="1525"/>
      <c r="E196" s="1525"/>
      <c r="F196" s="1539">
        <v>1150</v>
      </c>
    </row>
    <row r="197" spans="1:6" s="1519" customFormat="1" ht="14.25" customHeight="1" thickBot="1">
      <c r="A197" s="1531" t="s">
        <v>1538</v>
      </c>
      <c r="B197" s="1525" t="s">
        <v>1511</v>
      </c>
      <c r="C197" s="1525"/>
      <c r="D197" s="1525"/>
      <c r="E197" s="1525"/>
      <c r="F197" s="1539">
        <v>1330</v>
      </c>
    </row>
    <row r="198" spans="1:6" s="1519" customFormat="1" ht="14.25" customHeight="1" thickBot="1">
      <c r="A198" s="1531" t="s">
        <v>1538</v>
      </c>
      <c r="B198" s="1525" t="s">
        <v>1514</v>
      </c>
      <c r="C198" s="1525"/>
      <c r="D198" s="1525"/>
      <c r="E198" s="1525"/>
      <c r="F198" s="1539">
        <v>1170</v>
      </c>
    </row>
    <row r="199" spans="1:6" s="1519" customFormat="1" ht="14.25" customHeight="1" thickBot="1">
      <c r="A199" s="1531" t="s">
        <v>1538</v>
      </c>
      <c r="B199" s="1525" t="s">
        <v>1517</v>
      </c>
      <c r="C199" s="1525"/>
      <c r="D199" s="1525"/>
      <c r="E199" s="1525"/>
      <c r="F199" s="1539">
        <v>1120</v>
      </c>
    </row>
    <row r="200" spans="1:6" s="1519" customFormat="1" ht="14.25" customHeight="1" thickBot="1">
      <c r="A200" s="1531" t="s">
        <v>1538</v>
      </c>
      <c r="B200" s="1525" t="s">
        <v>1520</v>
      </c>
      <c r="C200" s="1525"/>
      <c r="D200" s="1525"/>
      <c r="E200" s="1525"/>
      <c r="F200" s="1539">
        <v>1120</v>
      </c>
    </row>
    <row r="201" spans="1:6" s="1519" customFormat="1" ht="14.25" customHeight="1" thickBot="1">
      <c r="A201" s="1531" t="s">
        <v>1538</v>
      </c>
      <c r="B201" s="1525" t="s">
        <v>1523</v>
      </c>
      <c r="C201" s="1525"/>
      <c r="D201" s="1525"/>
      <c r="E201" s="1525"/>
      <c r="F201" s="1539">
        <v>1540</v>
      </c>
    </row>
    <row r="202" spans="1:6" s="1519" customFormat="1" ht="14.25" customHeight="1" thickBot="1">
      <c r="A202" s="1531" t="s">
        <v>1538</v>
      </c>
      <c r="B202" s="1525" t="s">
        <v>1526</v>
      </c>
      <c r="C202" s="1525"/>
      <c r="D202" s="1525"/>
      <c r="E202" s="1525"/>
      <c r="F202" s="1539">
        <v>1310</v>
      </c>
    </row>
    <row r="203" spans="1:6" s="1519" customFormat="1" ht="14.25" customHeight="1" thickBot="1">
      <c r="A203" s="1531" t="s">
        <v>1538</v>
      </c>
      <c r="B203" s="1525" t="s">
        <v>1529</v>
      </c>
      <c r="C203" s="1525"/>
      <c r="D203" s="1525"/>
      <c r="E203" s="1525"/>
      <c r="F203" s="1539">
        <v>1310</v>
      </c>
    </row>
    <row r="204" spans="1:6" s="1519" customFormat="1" ht="14.25" customHeight="1" thickBot="1">
      <c r="A204" s="1531" t="s">
        <v>1538</v>
      </c>
      <c r="B204" s="1525" t="s">
        <v>1531</v>
      </c>
      <c r="C204" s="1525"/>
      <c r="D204" s="1525"/>
      <c r="E204" s="1525"/>
      <c r="F204" s="1539">
        <v>1080</v>
      </c>
    </row>
    <row r="205" spans="1:6" s="1519" customFormat="1" ht="14.25" customHeight="1" thickBot="1">
      <c r="A205" s="1531" t="s">
        <v>1538</v>
      </c>
      <c r="B205" s="1525" t="s">
        <v>1534</v>
      </c>
      <c r="C205" s="1525"/>
      <c r="D205" s="1525"/>
      <c r="E205" s="1525"/>
      <c r="F205" s="1539">
        <v>1080</v>
      </c>
    </row>
    <row r="206" spans="1:6" s="1519" customFormat="1" ht="14.25" customHeight="1" thickBot="1">
      <c r="A206" s="1531" t="s">
        <v>1540</v>
      </c>
      <c r="B206" s="1532" t="s">
        <v>1541</v>
      </c>
      <c r="C206" s="1532">
        <v>5450</v>
      </c>
      <c r="D206" s="1532">
        <v>5430</v>
      </c>
      <c r="E206" s="1532">
        <v>5700</v>
      </c>
      <c r="F206" s="1533">
        <v>1020</v>
      </c>
    </row>
    <row r="207" spans="1:6" s="1519" customFormat="1" ht="14.25" customHeight="1" thickBot="1">
      <c r="A207" s="1531" t="s">
        <v>1540</v>
      </c>
      <c r="B207" s="1525" t="s">
        <v>1206</v>
      </c>
      <c r="C207" s="1525">
        <v>5860</v>
      </c>
      <c r="D207" s="1525">
        <v>5820</v>
      </c>
      <c r="E207" s="1525">
        <v>6050</v>
      </c>
      <c r="F207" s="1539">
        <v>1080</v>
      </c>
    </row>
    <row r="208" spans="1:6" s="1519" customFormat="1" ht="14.25" customHeight="1" thickBot="1">
      <c r="A208" s="1531" t="s">
        <v>1540</v>
      </c>
      <c r="B208" s="1525" t="s">
        <v>1219</v>
      </c>
      <c r="C208" s="1525">
        <v>4630</v>
      </c>
      <c r="D208" s="1525">
        <v>4600</v>
      </c>
      <c r="E208" s="1525">
        <v>4840</v>
      </c>
      <c r="F208" s="1539">
        <v>900</v>
      </c>
    </row>
    <row r="209" spans="1:6" s="1519" customFormat="1" ht="14.25" customHeight="1" thickBot="1">
      <c r="A209" s="1531" t="s">
        <v>1540</v>
      </c>
      <c r="B209" s="1525" t="s">
        <v>1232</v>
      </c>
      <c r="C209" s="1525">
        <v>5320</v>
      </c>
      <c r="D209" s="1525">
        <v>5270</v>
      </c>
      <c r="E209" s="1525">
        <v>5540</v>
      </c>
      <c r="F209" s="1539">
        <v>980</v>
      </c>
    </row>
    <row r="210" spans="1:6" s="1519" customFormat="1" ht="14.25" customHeight="1" thickBot="1">
      <c r="A210" s="1531" t="s">
        <v>1540</v>
      </c>
      <c r="B210" s="1525" t="s">
        <v>1244</v>
      </c>
      <c r="C210" s="1525">
        <v>5760</v>
      </c>
      <c r="D210" s="1525">
        <v>5710</v>
      </c>
      <c r="E210" s="1525">
        <v>6010</v>
      </c>
      <c r="F210" s="1539">
        <v>870</v>
      </c>
    </row>
    <row r="211" spans="1:6" s="1519" customFormat="1" ht="14.25" customHeight="1" thickBot="1">
      <c r="A211" s="1531" t="s">
        <v>1540</v>
      </c>
      <c r="B211" s="1525" t="s">
        <v>1255</v>
      </c>
      <c r="C211" s="1525">
        <v>4160</v>
      </c>
      <c r="D211" s="1525">
        <v>4100</v>
      </c>
      <c r="E211" s="1525">
        <v>4270</v>
      </c>
      <c r="F211" s="1539">
        <v>790</v>
      </c>
    </row>
    <row r="212" spans="1:6" s="1519" customFormat="1" ht="14.25" customHeight="1" thickBot="1">
      <c r="A212" s="1531" t="s">
        <v>1540</v>
      </c>
      <c r="B212" s="1525" t="s">
        <v>1266</v>
      </c>
      <c r="C212" s="1525">
        <v>4880</v>
      </c>
      <c r="D212" s="1525">
        <v>4850</v>
      </c>
      <c r="E212" s="1525">
        <v>5110</v>
      </c>
      <c r="F212" s="1539">
        <v>940</v>
      </c>
    </row>
    <row r="213" spans="1:6" s="1519" customFormat="1" ht="14.25" customHeight="1" thickBot="1">
      <c r="A213" s="1531" t="s">
        <v>1540</v>
      </c>
      <c r="B213" s="1525" t="s">
        <v>1277</v>
      </c>
      <c r="C213" s="1525">
        <v>4640</v>
      </c>
      <c r="D213" s="1525">
        <v>4590</v>
      </c>
      <c r="E213" s="1525">
        <v>4700</v>
      </c>
      <c r="F213" s="1539">
        <v>1030</v>
      </c>
    </row>
    <row r="214" spans="1:6" s="1519" customFormat="1" ht="14.25" customHeight="1" thickBot="1">
      <c r="A214" s="1531" t="s">
        <v>1540</v>
      </c>
      <c r="B214" s="1525" t="s">
        <v>1289</v>
      </c>
      <c r="C214" s="1525">
        <v>4540</v>
      </c>
      <c r="D214" s="1525">
        <v>4490</v>
      </c>
      <c r="E214" s="1525">
        <v>4610</v>
      </c>
      <c r="F214" s="1543"/>
    </row>
    <row r="215" spans="1:6" s="1519" customFormat="1" ht="14.25" customHeight="1" thickBot="1">
      <c r="A215" s="1531" t="s">
        <v>1540</v>
      </c>
      <c r="B215" s="1525" t="s">
        <v>1299</v>
      </c>
      <c r="C215" s="1525">
        <v>5280</v>
      </c>
      <c r="D215" s="1525">
        <v>5250</v>
      </c>
      <c r="E215" s="1525">
        <v>5520</v>
      </c>
      <c r="F215" s="1539">
        <v>1000</v>
      </c>
    </row>
    <row r="216" spans="1:6" s="1519" customFormat="1" ht="14.25" customHeight="1" thickBot="1">
      <c r="A216" s="1531" t="s">
        <v>1540</v>
      </c>
      <c r="B216" s="1525" t="s">
        <v>1309</v>
      </c>
      <c r="C216" s="1525">
        <v>5100</v>
      </c>
      <c r="D216" s="1525">
        <v>5050</v>
      </c>
      <c r="E216" s="1525">
        <v>5300</v>
      </c>
      <c r="F216" s="1539">
        <v>950</v>
      </c>
    </row>
    <row r="217" spans="1:6" s="1519" customFormat="1" ht="14.25" customHeight="1" thickBot="1">
      <c r="A217" s="1531" t="s">
        <v>1540</v>
      </c>
      <c r="B217" s="1525" t="s">
        <v>1319</v>
      </c>
      <c r="C217" s="1525">
        <v>5370</v>
      </c>
      <c r="D217" s="1525">
        <v>5320</v>
      </c>
      <c r="E217" s="1525">
        <v>5410</v>
      </c>
      <c r="F217" s="1539">
        <v>950</v>
      </c>
    </row>
    <row r="218" spans="1:6" s="1519" customFormat="1" ht="14.25" customHeight="1" thickBot="1">
      <c r="A218" s="1531" t="s">
        <v>1540</v>
      </c>
      <c r="B218" s="1525" t="s">
        <v>1329</v>
      </c>
      <c r="C218" s="1525">
        <v>5540</v>
      </c>
      <c r="D218" s="1525">
        <v>5480</v>
      </c>
      <c r="E218" s="1525">
        <v>5740</v>
      </c>
      <c r="F218" s="1539">
        <v>1020</v>
      </c>
    </row>
    <row r="219" spans="1:6" s="1519" customFormat="1" ht="14.25" customHeight="1" thickBot="1">
      <c r="A219" s="1531" t="s">
        <v>1540</v>
      </c>
      <c r="B219" s="1525" t="s">
        <v>1340</v>
      </c>
      <c r="C219" s="1525">
        <v>5140</v>
      </c>
      <c r="D219" s="1525">
        <v>5100</v>
      </c>
      <c r="E219" s="1525">
        <v>5350</v>
      </c>
      <c r="F219" s="1539">
        <v>1120</v>
      </c>
    </row>
    <row r="220" spans="1:6" s="1519" customFormat="1" ht="14.25" customHeight="1" thickBot="1">
      <c r="A220" s="1531" t="s">
        <v>1540</v>
      </c>
      <c r="B220" s="1525" t="s">
        <v>1351</v>
      </c>
      <c r="C220" s="1525">
        <v>5040</v>
      </c>
      <c r="D220" s="1525">
        <v>5000</v>
      </c>
      <c r="E220" s="1525">
        <v>5240</v>
      </c>
      <c r="F220" s="1539">
        <v>980</v>
      </c>
    </row>
    <row r="221" spans="1:6" s="1519" customFormat="1" ht="14.25" customHeight="1" thickBot="1">
      <c r="A221" s="1531" t="s">
        <v>1540</v>
      </c>
      <c r="B221" s="1525" t="s">
        <v>1361</v>
      </c>
      <c r="C221" s="1544"/>
      <c r="D221" s="1544"/>
      <c r="E221" s="1544"/>
      <c r="F221" s="1539">
        <v>1070</v>
      </c>
    </row>
    <row r="222" spans="1:6" s="1519" customFormat="1" ht="14.25" customHeight="1" thickBot="1">
      <c r="A222" s="1531" t="s">
        <v>1540</v>
      </c>
      <c r="B222" s="1525" t="s">
        <v>1371</v>
      </c>
      <c r="C222" s="1544"/>
      <c r="D222" s="1544"/>
      <c r="E222" s="1544"/>
      <c r="F222" s="1539">
        <v>870</v>
      </c>
    </row>
    <row r="223" spans="1:6" s="1519" customFormat="1" ht="14.25" customHeight="1" thickBot="1">
      <c r="A223" s="1531" t="s">
        <v>1540</v>
      </c>
      <c r="B223" s="1525" t="s">
        <v>1381</v>
      </c>
      <c r="C223" s="1544"/>
      <c r="D223" s="1544"/>
      <c r="E223" s="1544"/>
      <c r="F223" s="1539">
        <v>940</v>
      </c>
    </row>
    <row r="224" spans="1:6" s="1519" customFormat="1" ht="14.25" customHeight="1" thickBot="1">
      <c r="A224" s="1531" t="s">
        <v>1540</v>
      </c>
      <c r="B224" s="1525" t="s">
        <v>1391</v>
      </c>
      <c r="C224" s="1544"/>
      <c r="D224" s="1544"/>
      <c r="E224" s="1544"/>
      <c r="F224" s="1539">
        <v>990</v>
      </c>
    </row>
    <row r="225" spans="1:6" s="1519" customFormat="1" ht="14.25" customHeight="1" thickBot="1">
      <c r="A225" s="1531" t="s">
        <v>1540</v>
      </c>
      <c r="B225" s="1525" t="s">
        <v>1400</v>
      </c>
      <c r="C225" s="1525">
        <v>5730</v>
      </c>
      <c r="D225" s="1525">
        <v>5680</v>
      </c>
      <c r="E225" s="1525">
        <v>6020</v>
      </c>
      <c r="F225" s="1539">
        <v>1000</v>
      </c>
    </row>
    <row r="226" spans="1:6" s="1519" customFormat="1" ht="14.25" customHeight="1" thickBot="1">
      <c r="A226" s="1531" t="s">
        <v>1540</v>
      </c>
      <c r="B226" s="1525" t="s">
        <v>1409</v>
      </c>
      <c r="C226" s="1525">
        <v>4970</v>
      </c>
      <c r="D226" s="1525">
        <v>4940</v>
      </c>
      <c r="E226" s="1525">
        <v>5180</v>
      </c>
      <c r="F226" s="1539">
        <v>960</v>
      </c>
    </row>
    <row r="227" spans="1:6" s="1519" customFormat="1" ht="14.25" customHeight="1" thickBot="1">
      <c r="A227" s="1531" t="s">
        <v>1540</v>
      </c>
      <c r="B227" s="1525" t="s">
        <v>1417</v>
      </c>
      <c r="C227" s="1525">
        <v>5550</v>
      </c>
      <c r="D227" s="1525">
        <v>5500</v>
      </c>
      <c r="E227" s="1525">
        <v>5780</v>
      </c>
      <c r="F227" s="1539">
        <v>940</v>
      </c>
    </row>
    <row r="228" spans="1:6" s="1519" customFormat="1" ht="14.25" customHeight="1" thickBot="1">
      <c r="A228" s="1531" t="s">
        <v>1540</v>
      </c>
      <c r="B228" s="1525" t="s">
        <v>1424</v>
      </c>
      <c r="C228" s="1525">
        <v>5460</v>
      </c>
      <c r="D228" s="1525">
        <v>5420</v>
      </c>
      <c r="E228" s="1525">
        <v>5690</v>
      </c>
      <c r="F228" s="1539">
        <v>910</v>
      </c>
    </row>
    <row r="229" spans="1:6" s="1519" customFormat="1" ht="14.25" customHeight="1" thickBot="1">
      <c r="A229" s="1531" t="s">
        <v>1540</v>
      </c>
      <c r="B229" s="1525" t="s">
        <v>1431</v>
      </c>
      <c r="C229" s="1525">
        <v>5310</v>
      </c>
      <c r="D229" s="1525">
        <v>5270</v>
      </c>
      <c r="E229" s="1525">
        <v>5510</v>
      </c>
      <c r="F229" s="1543"/>
    </row>
    <row r="230" spans="1:6" s="1519" customFormat="1" ht="14.25" customHeight="1" thickBot="1">
      <c r="A230" s="1531" t="s">
        <v>1540</v>
      </c>
      <c r="B230" s="1525" t="s">
        <v>1438</v>
      </c>
      <c r="C230" s="1525">
        <v>4540</v>
      </c>
      <c r="D230" s="1525">
        <v>4500</v>
      </c>
      <c r="E230" s="1525">
        <v>4730</v>
      </c>
      <c r="F230" s="1543"/>
    </row>
    <row r="231" spans="1:6" s="1519" customFormat="1" ht="14.25" customHeight="1" thickBot="1">
      <c r="A231" s="1531" t="s">
        <v>1540</v>
      </c>
      <c r="B231" s="1525" t="s">
        <v>1445</v>
      </c>
      <c r="C231" s="1525">
        <v>4480</v>
      </c>
      <c r="D231" s="1525">
        <v>4410</v>
      </c>
      <c r="E231" s="1525">
        <v>4640</v>
      </c>
      <c r="F231" s="1543"/>
    </row>
    <row r="232" spans="1:6" s="1519" customFormat="1" ht="14.25" customHeight="1" thickBot="1">
      <c r="A232" s="1531" t="s">
        <v>1540</v>
      </c>
      <c r="B232" s="1525" t="s">
        <v>1452</v>
      </c>
      <c r="C232" s="1525">
        <v>5670</v>
      </c>
      <c r="D232" s="1525">
        <v>5600</v>
      </c>
      <c r="E232" s="1525">
        <v>5890</v>
      </c>
      <c r="F232" s="1539">
        <v>1150</v>
      </c>
    </row>
    <row r="233" spans="1:6" s="1519" customFormat="1" ht="14.25" customHeight="1" thickBot="1">
      <c r="A233" s="1531" t="s">
        <v>1540</v>
      </c>
      <c r="B233" s="1525" t="s">
        <v>1459</v>
      </c>
      <c r="C233" s="1525">
        <v>4590</v>
      </c>
      <c r="D233" s="1525">
        <v>4500</v>
      </c>
      <c r="E233" s="1525">
        <v>4600</v>
      </c>
      <c r="F233" s="1543"/>
    </row>
    <row r="234" spans="1:6" s="1519" customFormat="1" ht="14.25" customHeight="1" thickBot="1">
      <c r="A234" s="1531" t="s">
        <v>1540</v>
      </c>
      <c r="B234" s="1525" t="s">
        <v>2494</v>
      </c>
      <c r="C234" s="1525">
        <v>3990</v>
      </c>
      <c r="D234" s="1525">
        <v>3950</v>
      </c>
      <c r="E234" s="1525">
        <v>4180</v>
      </c>
      <c r="F234" s="1543"/>
    </row>
    <row r="235" spans="1:6" s="1519" customFormat="1" ht="14.25" customHeight="1" thickBot="1">
      <c r="A235" s="1531" t="s">
        <v>1540</v>
      </c>
      <c r="B235" s="1525" t="s">
        <v>1468</v>
      </c>
      <c r="C235" s="1525">
        <v>5590</v>
      </c>
      <c r="D235" s="1525">
        <v>5540</v>
      </c>
      <c r="E235" s="1525">
        <v>5810</v>
      </c>
      <c r="F235" s="1539">
        <v>970</v>
      </c>
    </row>
    <row r="236" spans="1:6" s="1519" customFormat="1" ht="14.25" customHeight="1" thickBot="1">
      <c r="A236" s="1531" t="s">
        <v>1540</v>
      </c>
      <c r="B236" s="1525" t="s">
        <v>1473</v>
      </c>
      <c r="C236" s="1525"/>
      <c r="D236" s="1525"/>
      <c r="E236" s="1525"/>
      <c r="F236" s="1539">
        <v>1020</v>
      </c>
    </row>
    <row r="237" spans="1:6" s="1519" customFormat="1" ht="14.25" customHeight="1" thickBot="1">
      <c r="A237" s="1531" t="s">
        <v>1540</v>
      </c>
      <c r="B237" s="1525" t="s">
        <v>1478</v>
      </c>
      <c r="C237" s="1525"/>
      <c r="D237" s="1525"/>
      <c r="E237" s="1525"/>
      <c r="F237" s="1539">
        <v>960</v>
      </c>
    </row>
    <row r="238" spans="1:6" s="1519" customFormat="1" ht="14.25" customHeight="1" thickBot="1">
      <c r="A238" s="1531" t="s">
        <v>1540</v>
      </c>
      <c r="B238" s="1525" t="s">
        <v>1483</v>
      </c>
      <c r="C238" s="1525"/>
      <c r="D238" s="1525"/>
      <c r="E238" s="1525"/>
      <c r="F238" s="1539">
        <v>960</v>
      </c>
    </row>
    <row r="239" spans="1:6" s="1519" customFormat="1" ht="14.25" customHeight="1" thickBot="1">
      <c r="A239" s="1531" t="s">
        <v>1540</v>
      </c>
      <c r="B239" s="1525" t="s">
        <v>1488</v>
      </c>
      <c r="C239" s="1525"/>
      <c r="D239" s="1525"/>
      <c r="E239" s="1525"/>
      <c r="F239" s="1539">
        <v>960</v>
      </c>
    </row>
    <row r="240" spans="1:6" s="1519" customFormat="1" ht="14.25" customHeight="1" thickBot="1">
      <c r="A240" s="1531" t="s">
        <v>1540</v>
      </c>
      <c r="B240" s="1525" t="s">
        <v>1492</v>
      </c>
      <c r="C240" s="1525"/>
      <c r="D240" s="1525"/>
      <c r="E240" s="1525"/>
      <c r="F240" s="1539">
        <v>990</v>
      </c>
    </row>
    <row r="241" spans="1:6" s="1519" customFormat="1" ht="14.25" customHeight="1" thickBot="1">
      <c r="A241" s="1531" t="s">
        <v>1540</v>
      </c>
      <c r="B241" s="1525" t="s">
        <v>1496</v>
      </c>
      <c r="C241" s="1525"/>
      <c r="D241" s="1525"/>
      <c r="E241" s="1525"/>
      <c r="F241" s="1539">
        <v>1000</v>
      </c>
    </row>
    <row r="242" spans="1:6" s="1519" customFormat="1" ht="14.25" customHeight="1" thickBot="1">
      <c r="A242" s="1531" t="s">
        <v>1540</v>
      </c>
      <c r="B242" s="1525" t="s">
        <v>1500</v>
      </c>
      <c r="C242" s="1525"/>
      <c r="D242" s="1525"/>
      <c r="E242" s="1525"/>
      <c r="F242" s="1539">
        <v>980</v>
      </c>
    </row>
    <row r="243" spans="1:6" s="1519" customFormat="1" ht="14.25" customHeight="1" thickBot="1">
      <c r="A243" s="1531" t="s">
        <v>1540</v>
      </c>
      <c r="B243" s="1525" t="s">
        <v>1504</v>
      </c>
      <c r="C243" s="1525"/>
      <c r="D243" s="1525"/>
      <c r="E243" s="1525"/>
      <c r="F243" s="1539">
        <v>970</v>
      </c>
    </row>
    <row r="244" spans="1:6" s="1519" customFormat="1" ht="14.25" customHeight="1" thickBot="1">
      <c r="A244" s="1531" t="s">
        <v>1540</v>
      </c>
      <c r="B244" s="1537" t="s">
        <v>1508</v>
      </c>
      <c r="C244" s="1537"/>
      <c r="D244" s="1537"/>
      <c r="E244" s="1537"/>
      <c r="F244" s="1542">
        <v>970</v>
      </c>
    </row>
    <row r="245" spans="1:6" s="1519" customFormat="1" ht="14.25" customHeight="1" thickBot="1">
      <c r="A245" s="1531" t="s">
        <v>1542</v>
      </c>
      <c r="B245" s="1532" t="s">
        <v>1543</v>
      </c>
      <c r="C245" s="1532">
        <v>4050</v>
      </c>
      <c r="D245" s="1532">
        <v>4020</v>
      </c>
      <c r="E245" s="1532">
        <v>4160</v>
      </c>
      <c r="F245" s="1533">
        <v>840</v>
      </c>
    </row>
    <row r="246" spans="1:6" s="1519" customFormat="1" ht="14.25" customHeight="1" thickBot="1">
      <c r="A246" s="1531" t="s">
        <v>1542</v>
      </c>
      <c r="B246" s="1525" t="s">
        <v>1207</v>
      </c>
      <c r="C246" s="1525">
        <v>4010</v>
      </c>
      <c r="D246" s="1525">
        <v>3960</v>
      </c>
      <c r="E246" s="1525">
        <v>4130</v>
      </c>
      <c r="F246" s="1539">
        <v>840</v>
      </c>
    </row>
    <row r="247" spans="1:6" s="1519" customFormat="1" ht="14.25" customHeight="1" thickBot="1">
      <c r="A247" s="1531" t="s">
        <v>1542</v>
      </c>
      <c r="B247" s="1525" t="s">
        <v>1544</v>
      </c>
      <c r="C247" s="1525">
        <v>3170</v>
      </c>
      <c r="D247" s="1525">
        <v>3140</v>
      </c>
      <c r="E247" s="1525">
        <v>3270</v>
      </c>
      <c r="F247" s="1539">
        <v>640</v>
      </c>
    </row>
    <row r="248" spans="1:6" s="1519" customFormat="1" ht="14.25" customHeight="1" thickBot="1">
      <c r="A248" s="1531" t="s">
        <v>1542</v>
      </c>
      <c r="B248" s="1525" t="s">
        <v>1545</v>
      </c>
      <c r="C248" s="1525">
        <v>3140</v>
      </c>
      <c r="D248" s="1525">
        <v>3120</v>
      </c>
      <c r="E248" s="1525">
        <v>3240</v>
      </c>
      <c r="F248" s="1539">
        <v>620</v>
      </c>
    </row>
    <row r="249" spans="1:6" s="1519" customFormat="1" ht="14.25" customHeight="1" thickBot="1">
      <c r="A249" s="1531" t="s">
        <v>1542</v>
      </c>
      <c r="B249" s="1525" t="s">
        <v>1245</v>
      </c>
      <c r="C249" s="1525">
        <v>3200</v>
      </c>
      <c r="D249" s="1525">
        <v>3100</v>
      </c>
      <c r="E249" s="1525">
        <v>3230</v>
      </c>
      <c r="F249" s="1539">
        <v>750</v>
      </c>
    </row>
    <row r="250" spans="1:6" s="1519" customFormat="1" ht="14.25" customHeight="1" thickBot="1">
      <c r="A250" s="1531" t="s">
        <v>1542</v>
      </c>
      <c r="B250" s="1525" t="s">
        <v>1256</v>
      </c>
      <c r="C250" s="1525">
        <v>4060</v>
      </c>
      <c r="D250" s="1525">
        <v>4000</v>
      </c>
      <c r="E250" s="1525">
        <v>4140</v>
      </c>
      <c r="F250" s="1539">
        <v>790</v>
      </c>
    </row>
    <row r="251" spans="1:6" s="1519" customFormat="1" ht="14.25" customHeight="1" thickBot="1">
      <c r="A251" s="1531" t="s">
        <v>1542</v>
      </c>
      <c r="B251" s="1525" t="s">
        <v>1267</v>
      </c>
      <c r="C251" s="1525">
        <v>3990</v>
      </c>
      <c r="D251" s="1525">
        <v>3970</v>
      </c>
      <c r="E251" s="1525">
        <v>4110</v>
      </c>
      <c r="F251" s="1539">
        <v>730</v>
      </c>
    </row>
    <row r="252" spans="1:6" s="1519" customFormat="1" ht="14.25" customHeight="1" thickBot="1">
      <c r="A252" s="1531" t="s">
        <v>1542</v>
      </c>
      <c r="B252" s="1525" t="s">
        <v>1278</v>
      </c>
      <c r="C252" s="1525">
        <v>3560</v>
      </c>
      <c r="D252" s="1525">
        <v>3530</v>
      </c>
      <c r="E252" s="1525">
        <v>3650</v>
      </c>
      <c r="F252" s="1539">
        <v>750</v>
      </c>
    </row>
    <row r="253" spans="1:6" s="1519" customFormat="1" ht="14.25" customHeight="1" thickBot="1">
      <c r="A253" s="1531" t="s">
        <v>1542</v>
      </c>
      <c r="B253" s="1525" t="s">
        <v>1290</v>
      </c>
      <c r="C253" s="1525">
        <v>3780</v>
      </c>
      <c r="D253" s="1525">
        <v>3750</v>
      </c>
      <c r="E253" s="1525">
        <v>3870</v>
      </c>
      <c r="F253" s="1539">
        <v>770</v>
      </c>
    </row>
    <row r="254" spans="1:6" s="1519" customFormat="1" ht="14.25" customHeight="1" thickBot="1">
      <c r="A254" s="1531" t="s">
        <v>1542</v>
      </c>
      <c r="B254" s="1525" t="s">
        <v>1300</v>
      </c>
      <c r="C254" s="1544"/>
      <c r="D254" s="1544"/>
      <c r="E254" s="1544"/>
      <c r="F254" s="1539">
        <v>740</v>
      </c>
    </row>
    <row r="255" spans="1:6" s="1519" customFormat="1" ht="14.25" customHeight="1" thickBot="1">
      <c r="A255" s="1531" t="s">
        <v>1542</v>
      </c>
      <c r="B255" s="1525" t="s">
        <v>1310</v>
      </c>
      <c r="C255" s="1544"/>
      <c r="D255" s="1544"/>
      <c r="E255" s="1544"/>
      <c r="F255" s="1539">
        <v>760</v>
      </c>
    </row>
    <row r="256" spans="1:6" s="1519" customFormat="1" ht="14.25" customHeight="1" thickBot="1">
      <c r="A256" s="1531" t="s">
        <v>1542</v>
      </c>
      <c r="B256" s="1525" t="s">
        <v>1320</v>
      </c>
      <c r="C256" s="1525">
        <v>3760</v>
      </c>
      <c r="D256" s="1525">
        <v>3730</v>
      </c>
      <c r="E256" s="1525">
        <v>3870</v>
      </c>
      <c r="F256" s="1539">
        <v>830</v>
      </c>
    </row>
    <row r="257" spans="1:6" s="1519" customFormat="1" ht="14.25" customHeight="1" thickBot="1">
      <c r="A257" s="1531" t="s">
        <v>1542</v>
      </c>
      <c r="B257" s="1525" t="s">
        <v>1330</v>
      </c>
      <c r="C257" s="1525">
        <v>3570</v>
      </c>
      <c r="D257" s="1525">
        <v>3540</v>
      </c>
      <c r="E257" s="1525">
        <v>3650</v>
      </c>
      <c r="F257" s="1539">
        <v>790</v>
      </c>
    </row>
    <row r="258" spans="1:6" s="1519" customFormat="1" ht="14.25" customHeight="1" thickBot="1">
      <c r="A258" s="1531" t="s">
        <v>1542</v>
      </c>
      <c r="B258" s="1525" t="s">
        <v>1341</v>
      </c>
      <c r="C258" s="1525">
        <v>3410</v>
      </c>
      <c r="D258" s="1525">
        <v>3380</v>
      </c>
      <c r="E258" s="1525">
        <v>3500</v>
      </c>
      <c r="F258" s="1539">
        <v>830</v>
      </c>
    </row>
    <row r="259" spans="1:6" s="1519" customFormat="1" ht="14.25" customHeight="1" thickBot="1">
      <c r="A259" s="1531" t="s">
        <v>1542</v>
      </c>
      <c r="B259" s="1525" t="s">
        <v>1352</v>
      </c>
      <c r="C259" s="1525">
        <v>3870</v>
      </c>
      <c r="D259" s="1525">
        <v>3840</v>
      </c>
      <c r="E259" s="1525">
        <v>3970</v>
      </c>
      <c r="F259" s="1539">
        <v>830</v>
      </c>
    </row>
    <row r="260" spans="1:6" s="1519" customFormat="1" ht="14.25" customHeight="1" thickBot="1">
      <c r="A260" s="1531" t="s">
        <v>1542</v>
      </c>
      <c r="B260" s="1525" t="s">
        <v>1362</v>
      </c>
      <c r="C260" s="1525">
        <v>3700</v>
      </c>
      <c r="D260" s="1525">
        <v>3660</v>
      </c>
      <c r="E260" s="1525">
        <v>3810</v>
      </c>
      <c r="F260" s="1539">
        <v>790</v>
      </c>
    </row>
    <row r="261" spans="1:6" s="1519" customFormat="1" ht="14.25" customHeight="1" thickBot="1">
      <c r="A261" s="1531" t="s">
        <v>1542</v>
      </c>
      <c r="B261" s="1525" t="s">
        <v>1372</v>
      </c>
      <c r="C261" s="1525">
        <v>3470</v>
      </c>
      <c r="D261" s="1525">
        <v>3430</v>
      </c>
      <c r="E261" s="1525">
        <v>3640</v>
      </c>
      <c r="F261" s="1539">
        <v>760</v>
      </c>
    </row>
    <row r="262" spans="1:6" s="1519" customFormat="1" ht="14.25" customHeight="1" thickBot="1">
      <c r="A262" s="1531" t="s">
        <v>1542</v>
      </c>
      <c r="B262" s="1525" t="s">
        <v>1382</v>
      </c>
      <c r="C262" s="1525">
        <v>3510</v>
      </c>
      <c r="D262" s="1525">
        <v>3470</v>
      </c>
      <c r="E262" s="1525">
        <v>3680</v>
      </c>
      <c r="F262" s="1543"/>
    </row>
    <row r="263" spans="1:6" s="1519" customFormat="1" ht="14.25" customHeight="1" thickBot="1">
      <c r="A263" s="1531" t="s">
        <v>1542</v>
      </c>
      <c r="B263" s="1525" t="s">
        <v>1392</v>
      </c>
      <c r="C263" s="1525">
        <v>3960</v>
      </c>
      <c r="D263" s="1525">
        <v>3930</v>
      </c>
      <c r="E263" s="1525">
        <v>4070</v>
      </c>
      <c r="F263" s="1539">
        <v>830</v>
      </c>
    </row>
    <row r="264" spans="1:6" s="1519" customFormat="1" ht="14.25" customHeight="1" thickBot="1">
      <c r="A264" s="1531" t="s">
        <v>1542</v>
      </c>
      <c r="B264" s="1525" t="s">
        <v>1401</v>
      </c>
      <c r="C264" s="1525">
        <v>4010</v>
      </c>
      <c r="D264" s="1525">
        <v>3980</v>
      </c>
      <c r="E264" s="1525">
        <v>4150</v>
      </c>
      <c r="F264" s="1539">
        <v>760</v>
      </c>
    </row>
    <row r="265" spans="1:6" s="1519" customFormat="1" ht="14.25" customHeight="1" thickBot="1">
      <c r="A265" s="1531" t="s">
        <v>1542</v>
      </c>
      <c r="B265" s="1525" t="s">
        <v>1410</v>
      </c>
      <c r="C265" s="1525">
        <v>3910</v>
      </c>
      <c r="D265" s="1525">
        <v>3890</v>
      </c>
      <c r="E265" s="1525">
        <v>4040</v>
      </c>
      <c r="F265" s="1539">
        <v>780</v>
      </c>
    </row>
    <row r="266" spans="1:6" s="1519" customFormat="1" ht="14.25" customHeight="1" thickBot="1">
      <c r="A266" s="1531" t="s">
        <v>1542</v>
      </c>
      <c r="B266" s="1525" t="s">
        <v>1418</v>
      </c>
      <c r="C266" s="1525">
        <v>3930</v>
      </c>
      <c r="D266" s="1525">
        <v>3900</v>
      </c>
      <c r="E266" s="1525">
        <v>4080</v>
      </c>
      <c r="F266" s="1539">
        <v>770</v>
      </c>
    </row>
    <row r="267" spans="1:6" s="1519" customFormat="1" ht="14.25" customHeight="1" thickBot="1">
      <c r="A267" s="1531" t="s">
        <v>1542</v>
      </c>
      <c r="B267" s="1525" t="s">
        <v>1425</v>
      </c>
      <c r="C267" s="1525">
        <v>3800</v>
      </c>
      <c r="D267" s="1525">
        <v>3780</v>
      </c>
      <c r="E267" s="1525">
        <v>3930</v>
      </c>
      <c r="F267" s="1543"/>
    </row>
    <row r="268" spans="1:6" s="1519" customFormat="1" ht="14.25" customHeight="1" thickBot="1">
      <c r="A268" s="1531" t="s">
        <v>1542</v>
      </c>
      <c r="B268" s="1525" t="s">
        <v>1432</v>
      </c>
      <c r="C268" s="1525">
        <v>3460</v>
      </c>
      <c r="D268" s="1525">
        <v>3430</v>
      </c>
      <c r="E268" s="1525">
        <v>3560</v>
      </c>
      <c r="F268" s="1539">
        <v>840</v>
      </c>
    </row>
    <row r="269" spans="1:6" s="1519" customFormat="1" ht="14.25" customHeight="1" thickBot="1">
      <c r="A269" s="1531" t="s">
        <v>1542</v>
      </c>
      <c r="B269" s="1525" t="s">
        <v>1439</v>
      </c>
      <c r="C269" s="1525">
        <v>3210</v>
      </c>
      <c r="D269" s="1525">
        <v>3190</v>
      </c>
      <c r="E269" s="1525">
        <v>3310</v>
      </c>
      <c r="F269" s="1539">
        <v>730</v>
      </c>
    </row>
    <row r="270" spans="1:6" s="1519" customFormat="1" ht="14.25" customHeight="1" thickBot="1">
      <c r="A270" s="1531" t="s">
        <v>1542</v>
      </c>
      <c r="B270" s="1525" t="s">
        <v>1446</v>
      </c>
      <c r="C270" s="1525">
        <v>3240</v>
      </c>
      <c r="D270" s="1525">
        <v>3210</v>
      </c>
      <c r="E270" s="1525">
        <v>3390</v>
      </c>
      <c r="F270" s="1539">
        <v>820</v>
      </c>
    </row>
    <row r="271" spans="1:6" s="1519" customFormat="1" ht="14.25" customHeight="1" thickBot="1">
      <c r="A271" s="1531" t="s">
        <v>1542</v>
      </c>
      <c r="B271" s="1525" t="s">
        <v>1453</v>
      </c>
      <c r="C271" s="1525">
        <v>3300</v>
      </c>
      <c r="D271" s="1525">
        <v>3270</v>
      </c>
      <c r="E271" s="1525">
        <v>3380</v>
      </c>
      <c r="F271" s="1539">
        <v>750</v>
      </c>
    </row>
    <row r="272" spans="1:6" s="1519" customFormat="1" ht="14.25" customHeight="1" thickBot="1">
      <c r="A272" s="1531" t="s">
        <v>1542</v>
      </c>
      <c r="B272" s="1525" t="s">
        <v>1460</v>
      </c>
      <c r="C272" s="1544"/>
      <c r="D272" s="1544"/>
      <c r="E272" s="1544"/>
      <c r="F272" s="1539">
        <v>740</v>
      </c>
    </row>
    <row r="273" spans="1:6" s="1519" customFormat="1" ht="14.25" customHeight="1" thickBot="1">
      <c r="A273" s="1531" t="s">
        <v>1542</v>
      </c>
      <c r="B273" s="1525" t="s">
        <v>1464</v>
      </c>
      <c r="C273" s="1525">
        <v>3130</v>
      </c>
      <c r="D273" s="1525">
        <v>3100</v>
      </c>
      <c r="E273" s="1525">
        <v>3230</v>
      </c>
      <c r="F273" s="1539">
        <v>700</v>
      </c>
    </row>
    <row r="274" spans="1:6" s="1519" customFormat="1" ht="14.25" customHeight="1" thickBot="1">
      <c r="A274" s="1531" t="s">
        <v>1542</v>
      </c>
      <c r="B274" s="1525" t="s">
        <v>1469</v>
      </c>
      <c r="C274" s="1525">
        <v>3460</v>
      </c>
      <c r="D274" s="1525">
        <v>3430</v>
      </c>
      <c r="E274" s="1525">
        <v>3560</v>
      </c>
      <c r="F274" s="1539">
        <v>690</v>
      </c>
    </row>
    <row r="275" spans="1:6" s="1519" customFormat="1" ht="14.25" customHeight="1" thickBot="1">
      <c r="A275" s="1531" t="s">
        <v>1542</v>
      </c>
      <c r="B275" s="1525" t="s">
        <v>1474</v>
      </c>
      <c r="C275" s="1525">
        <v>4040</v>
      </c>
      <c r="D275" s="1525">
        <v>4020</v>
      </c>
      <c r="E275" s="1525">
        <v>4160</v>
      </c>
      <c r="F275" s="1539">
        <v>820</v>
      </c>
    </row>
    <row r="276" spans="1:6" s="1519" customFormat="1" ht="14.25" customHeight="1" thickBot="1">
      <c r="A276" s="1531" t="s">
        <v>1542</v>
      </c>
      <c r="B276" s="1525" t="s">
        <v>1479</v>
      </c>
      <c r="C276" s="1525">
        <v>3270</v>
      </c>
      <c r="D276" s="1525">
        <v>3240</v>
      </c>
      <c r="E276" s="1525">
        <v>3350</v>
      </c>
      <c r="F276" s="1539">
        <v>680</v>
      </c>
    </row>
    <row r="277" spans="1:6" s="1519" customFormat="1" ht="14.25" customHeight="1" thickBot="1">
      <c r="A277" s="1531" t="s">
        <v>1542</v>
      </c>
      <c r="B277" s="1525" t="s">
        <v>1484</v>
      </c>
      <c r="C277" s="1525">
        <v>2930</v>
      </c>
      <c r="D277" s="1525">
        <v>2900</v>
      </c>
      <c r="E277" s="1525">
        <v>3000</v>
      </c>
      <c r="F277" s="1539">
        <v>640</v>
      </c>
    </row>
    <row r="278" spans="1:6" s="1519" customFormat="1" ht="14.25" customHeight="1" thickBot="1">
      <c r="A278" s="1531" t="s">
        <v>1542</v>
      </c>
      <c r="B278" s="1525" t="s">
        <v>1489</v>
      </c>
      <c r="C278" s="1525">
        <v>4080</v>
      </c>
      <c r="D278" s="1525">
        <v>4030</v>
      </c>
      <c r="E278" s="1525">
        <v>4140</v>
      </c>
      <c r="F278" s="1539">
        <v>850</v>
      </c>
    </row>
    <row r="279" spans="1:6" s="1519" customFormat="1" ht="14.25" customHeight="1" thickBot="1">
      <c r="A279" s="1531" t="s">
        <v>1542</v>
      </c>
      <c r="B279" s="1525" t="s">
        <v>1493</v>
      </c>
      <c r="C279" s="1525"/>
      <c r="D279" s="1525"/>
      <c r="E279" s="1525"/>
      <c r="F279" s="1539">
        <v>760</v>
      </c>
    </row>
    <row r="280" spans="1:6" s="1519" customFormat="1" ht="14.25" customHeight="1" thickBot="1">
      <c r="A280" s="1531" t="s">
        <v>1542</v>
      </c>
      <c r="B280" s="1525" t="s">
        <v>1497</v>
      </c>
      <c r="C280" s="1525"/>
      <c r="D280" s="1525"/>
      <c r="E280" s="1525"/>
      <c r="F280" s="1539">
        <v>760</v>
      </c>
    </row>
    <row r="281" spans="1:6" s="1519" customFormat="1" ht="14.25" customHeight="1" thickBot="1">
      <c r="A281" s="1531" t="s">
        <v>1542</v>
      </c>
      <c r="B281" s="1525" t="s">
        <v>1501</v>
      </c>
      <c r="C281" s="1525"/>
      <c r="D281" s="1525"/>
      <c r="E281" s="1525"/>
      <c r="F281" s="1539">
        <v>780</v>
      </c>
    </row>
    <row r="282" spans="1:6" s="1519" customFormat="1" ht="14.25" customHeight="1" thickBot="1">
      <c r="A282" s="1531" t="s">
        <v>1542</v>
      </c>
      <c r="B282" s="1525" t="s">
        <v>1505</v>
      </c>
      <c r="C282" s="1525"/>
      <c r="D282" s="1525"/>
      <c r="E282" s="1525"/>
      <c r="F282" s="1539">
        <v>730</v>
      </c>
    </row>
    <row r="283" spans="1:6" s="1519" customFormat="1" ht="14.25" customHeight="1" thickBot="1">
      <c r="A283" s="1531" t="s">
        <v>1542</v>
      </c>
      <c r="B283" s="1525" t="s">
        <v>1509</v>
      </c>
      <c r="C283" s="1525"/>
      <c r="D283" s="1525"/>
      <c r="E283" s="1525"/>
      <c r="F283" s="1539">
        <v>770</v>
      </c>
    </row>
    <row r="284" spans="1:6" s="1519" customFormat="1" ht="14.25" customHeight="1" thickBot="1">
      <c r="A284" s="1531" t="s">
        <v>1542</v>
      </c>
      <c r="B284" s="1525" t="s">
        <v>1512</v>
      </c>
      <c r="C284" s="1525"/>
      <c r="D284" s="1525"/>
      <c r="E284" s="1525"/>
      <c r="F284" s="1539">
        <v>640</v>
      </c>
    </row>
    <row r="285" spans="1:6" s="1519" customFormat="1" ht="14.25" customHeight="1" thickBot="1">
      <c r="A285" s="1531" t="s">
        <v>1542</v>
      </c>
      <c r="B285" s="1525" t="s">
        <v>1515</v>
      </c>
      <c r="C285" s="1525"/>
      <c r="D285" s="1525"/>
      <c r="E285" s="1525"/>
      <c r="F285" s="1539">
        <v>640</v>
      </c>
    </row>
    <row r="286" spans="1:6" s="1519" customFormat="1" ht="14.25" customHeight="1" thickBot="1">
      <c r="A286" s="1531" t="s">
        <v>1542</v>
      </c>
      <c r="B286" s="1525" t="s">
        <v>1518</v>
      </c>
      <c r="C286" s="1525"/>
      <c r="D286" s="1525"/>
      <c r="E286" s="1525"/>
      <c r="F286" s="1539">
        <v>850</v>
      </c>
    </row>
    <row r="287" spans="1:6" s="1519" customFormat="1" ht="14.25" customHeight="1" thickBot="1">
      <c r="A287" s="1531" t="s">
        <v>1542</v>
      </c>
      <c r="B287" s="1525" t="s">
        <v>1521</v>
      </c>
      <c r="C287" s="1525"/>
      <c r="D287" s="1525"/>
      <c r="E287" s="1525"/>
      <c r="F287" s="1539">
        <v>760</v>
      </c>
    </row>
    <row r="288" spans="1:6" s="1519" customFormat="1" ht="14.25" customHeight="1" thickBot="1">
      <c r="A288" s="1531" t="s">
        <v>1542</v>
      </c>
      <c r="B288" s="1525" t="s">
        <v>1524</v>
      </c>
      <c r="C288" s="1525"/>
      <c r="D288" s="1525"/>
      <c r="E288" s="1525"/>
      <c r="F288" s="1539">
        <v>830</v>
      </c>
    </row>
    <row r="289" spans="1:6" s="1519" customFormat="1" ht="14.25" customHeight="1" thickBot="1">
      <c r="A289" s="1531" t="s">
        <v>1542</v>
      </c>
      <c r="B289" s="1537" t="s">
        <v>1527</v>
      </c>
      <c r="C289" s="1537"/>
      <c r="D289" s="1537"/>
      <c r="E289" s="1537"/>
      <c r="F289" s="1542">
        <v>680</v>
      </c>
    </row>
    <row r="290" spans="1:6" s="1519" customFormat="1" ht="14.25" customHeight="1" thickBot="1">
      <c r="A290" s="1531" t="s">
        <v>1546</v>
      </c>
      <c r="B290" s="1532" t="s">
        <v>1547</v>
      </c>
      <c r="C290" s="1532">
        <v>2770</v>
      </c>
      <c r="D290" s="1532">
        <v>2740</v>
      </c>
      <c r="E290" s="1532">
        <v>2720</v>
      </c>
      <c r="F290" s="1545"/>
    </row>
    <row r="291" spans="1:6" s="1519" customFormat="1" ht="14.25" customHeight="1" thickBot="1">
      <c r="A291" s="1531" t="s">
        <v>1546</v>
      </c>
      <c r="B291" s="1525" t="s">
        <v>1208</v>
      </c>
      <c r="C291" s="1525">
        <v>2670</v>
      </c>
      <c r="D291" s="1525">
        <v>2640</v>
      </c>
      <c r="E291" s="1525">
        <v>2620</v>
      </c>
      <c r="F291" s="1543"/>
    </row>
    <row r="292" spans="1:6" s="1519" customFormat="1" ht="14.25" customHeight="1" thickBot="1">
      <c r="A292" s="1531" t="s">
        <v>1546</v>
      </c>
      <c r="B292" s="1525" t="s">
        <v>1548</v>
      </c>
      <c r="C292" s="1525">
        <v>2180</v>
      </c>
      <c r="D292" s="1525">
        <v>2140</v>
      </c>
      <c r="E292" s="1525">
        <v>2120</v>
      </c>
      <c r="F292" s="1539">
        <v>490</v>
      </c>
    </row>
    <row r="293" spans="1:6" s="1519" customFormat="1" ht="14.25" customHeight="1" thickBot="1">
      <c r="A293" s="1531" t="s">
        <v>1546</v>
      </c>
      <c r="B293" s="1525" t="s">
        <v>1549</v>
      </c>
      <c r="C293" s="1525"/>
      <c r="D293" s="1525"/>
      <c r="E293" s="1525"/>
      <c r="F293" s="1539">
        <v>470</v>
      </c>
    </row>
    <row r="294" spans="1:6" s="1519" customFormat="1" ht="14.25" customHeight="1" thickBot="1">
      <c r="A294" s="1531" t="s">
        <v>1546</v>
      </c>
      <c r="B294" s="1525" t="s">
        <v>1550</v>
      </c>
      <c r="C294" s="1525">
        <v>2730</v>
      </c>
      <c r="D294" s="1525">
        <v>2700</v>
      </c>
      <c r="E294" s="1525">
        <v>2680</v>
      </c>
      <c r="F294" s="1539">
        <v>490</v>
      </c>
    </row>
    <row r="295" spans="1:6" s="1519" customFormat="1" ht="14.25" customHeight="1" thickBot="1">
      <c r="A295" s="1531" t="s">
        <v>1546</v>
      </c>
      <c r="B295" s="1525" t="s">
        <v>1246</v>
      </c>
      <c r="C295" s="1525">
        <v>2380</v>
      </c>
      <c r="D295" s="1525">
        <v>2350</v>
      </c>
      <c r="E295" s="1525">
        <v>2330</v>
      </c>
      <c r="F295" s="1539">
        <v>530</v>
      </c>
    </row>
    <row r="296" spans="1:6" s="1519" customFormat="1" ht="14.25" customHeight="1" thickBot="1">
      <c r="A296" s="1531" t="s">
        <v>1546</v>
      </c>
      <c r="B296" s="1525" t="s">
        <v>1257</v>
      </c>
      <c r="C296" s="1525">
        <v>2650</v>
      </c>
      <c r="D296" s="1525">
        <v>2620</v>
      </c>
      <c r="E296" s="1525">
        <v>2590</v>
      </c>
      <c r="F296" s="1539">
        <v>590</v>
      </c>
    </row>
    <row r="297" spans="1:6" s="1519" customFormat="1" ht="14.25" customHeight="1" thickBot="1">
      <c r="A297" s="1531" t="s">
        <v>1546</v>
      </c>
      <c r="B297" s="1525" t="s">
        <v>1268</v>
      </c>
      <c r="C297" s="1525">
        <v>2700</v>
      </c>
      <c r="D297" s="1525">
        <v>2670</v>
      </c>
      <c r="E297" s="1525">
        <v>2650</v>
      </c>
      <c r="F297" s="1539">
        <v>630</v>
      </c>
    </row>
    <row r="298" spans="1:6" s="1519" customFormat="1" ht="14.25" customHeight="1" thickBot="1">
      <c r="A298" s="1531" t="s">
        <v>1546</v>
      </c>
      <c r="B298" s="1525" t="s">
        <v>1279</v>
      </c>
      <c r="C298" s="1525">
        <v>2650</v>
      </c>
      <c r="D298" s="1525">
        <v>2620</v>
      </c>
      <c r="E298" s="1525">
        <v>2590</v>
      </c>
      <c r="F298" s="1539">
        <v>640</v>
      </c>
    </row>
    <row r="299" spans="1:6" s="1519" customFormat="1" ht="14.25" customHeight="1" thickBot="1">
      <c r="A299" s="1531" t="s">
        <v>1546</v>
      </c>
      <c r="B299" s="1525" t="s">
        <v>1291</v>
      </c>
      <c r="C299" s="1525">
        <v>2500</v>
      </c>
      <c r="D299" s="1525">
        <v>2480</v>
      </c>
      <c r="E299" s="1525">
        <v>2460</v>
      </c>
      <c r="F299" s="1543"/>
    </row>
    <row r="300" spans="1:6" s="1519" customFormat="1" ht="14.25" customHeight="1" thickBot="1">
      <c r="A300" s="1531" t="s">
        <v>1546</v>
      </c>
      <c r="B300" s="1525" t="s">
        <v>1301</v>
      </c>
      <c r="C300" s="1525">
        <v>2760</v>
      </c>
      <c r="D300" s="1525">
        <v>2730</v>
      </c>
      <c r="E300" s="1525">
        <v>2700</v>
      </c>
      <c r="F300" s="1539">
        <v>630</v>
      </c>
    </row>
    <row r="301" spans="1:6" s="1519" customFormat="1" ht="14.25" customHeight="1" thickBot="1">
      <c r="A301" s="1531" t="s">
        <v>1546</v>
      </c>
      <c r="B301" s="1525" t="s">
        <v>1311</v>
      </c>
      <c r="C301" s="1525">
        <v>2510</v>
      </c>
      <c r="D301" s="1525">
        <v>2480</v>
      </c>
      <c r="E301" s="1525">
        <v>2460</v>
      </c>
      <c r="F301" s="1543"/>
    </row>
    <row r="302" spans="1:6" s="1519" customFormat="1" ht="14.25" customHeight="1" thickBot="1">
      <c r="A302" s="1531" t="s">
        <v>1546</v>
      </c>
      <c r="B302" s="1525" t="s">
        <v>1321</v>
      </c>
      <c r="C302" s="1525">
        <v>2480</v>
      </c>
      <c r="D302" s="1525">
        <v>2450</v>
      </c>
      <c r="E302" s="1525">
        <v>2420</v>
      </c>
      <c r="F302" s="1539">
        <v>600</v>
      </c>
    </row>
    <row r="303" spans="1:6" s="1519" customFormat="1" ht="14.25" customHeight="1" thickBot="1">
      <c r="A303" s="1531" t="s">
        <v>1546</v>
      </c>
      <c r="B303" s="1525" t="s">
        <v>1331</v>
      </c>
      <c r="C303" s="1525">
        <v>2270</v>
      </c>
      <c r="D303" s="1525">
        <v>2240</v>
      </c>
      <c r="E303" s="1525">
        <v>2210</v>
      </c>
      <c r="F303" s="1539">
        <v>540</v>
      </c>
    </row>
    <row r="304" spans="1:6" s="1519" customFormat="1" ht="14.25" customHeight="1" thickBot="1">
      <c r="A304" s="1531" t="s">
        <v>1546</v>
      </c>
      <c r="B304" s="1525" t="s">
        <v>1342</v>
      </c>
      <c r="C304" s="1525">
        <v>2310</v>
      </c>
      <c r="D304" s="1525">
        <v>2290</v>
      </c>
      <c r="E304" s="1525">
        <v>2270</v>
      </c>
      <c r="F304" s="1543"/>
    </row>
    <row r="305" spans="1:6" s="1519" customFormat="1" ht="14.25" customHeight="1" thickBot="1">
      <c r="A305" s="1531" t="s">
        <v>1546</v>
      </c>
      <c r="B305" s="1525" t="s">
        <v>1353</v>
      </c>
      <c r="C305" s="1525">
        <v>2490</v>
      </c>
      <c r="D305" s="1525">
        <v>2470</v>
      </c>
      <c r="E305" s="1525">
        <v>2440</v>
      </c>
      <c r="F305" s="1539">
        <v>560</v>
      </c>
    </row>
    <row r="306" spans="1:6" s="1519" customFormat="1" ht="14.25" customHeight="1" thickBot="1">
      <c r="A306" s="1531" t="s">
        <v>1546</v>
      </c>
      <c r="B306" s="1525" t="s">
        <v>1363</v>
      </c>
      <c r="C306" s="1525">
        <v>2420</v>
      </c>
      <c r="D306" s="1525">
        <v>2400</v>
      </c>
      <c r="E306" s="1525">
        <v>2380</v>
      </c>
      <c r="F306" s="1543"/>
    </row>
    <row r="307" spans="1:6" s="1519" customFormat="1" ht="14.25" customHeight="1" thickBot="1">
      <c r="A307" s="1531" t="s">
        <v>1546</v>
      </c>
      <c r="B307" s="1525" t="s">
        <v>1373</v>
      </c>
      <c r="C307" s="1525">
        <v>2770</v>
      </c>
      <c r="D307" s="1525">
        <v>2740</v>
      </c>
      <c r="E307" s="1525">
        <v>2710</v>
      </c>
      <c r="F307" s="1539">
        <v>650</v>
      </c>
    </row>
    <row r="308" spans="1:6" s="1519" customFormat="1" ht="14.25" customHeight="1" thickBot="1">
      <c r="A308" s="1531" t="s">
        <v>1546</v>
      </c>
      <c r="B308" s="1525" t="s">
        <v>1383</v>
      </c>
      <c r="C308" s="1525">
        <v>2610</v>
      </c>
      <c r="D308" s="1525">
        <v>2580</v>
      </c>
      <c r="E308" s="1525">
        <v>2550</v>
      </c>
      <c r="F308" s="1539">
        <v>580</v>
      </c>
    </row>
    <row r="309" spans="1:6" s="1519" customFormat="1" ht="14.25" customHeight="1" thickBot="1">
      <c r="A309" s="1531" t="s">
        <v>1546</v>
      </c>
      <c r="B309" s="1525" t="s">
        <v>1393</v>
      </c>
      <c r="C309" s="1525">
        <v>2690</v>
      </c>
      <c r="D309" s="1525">
        <v>2670</v>
      </c>
      <c r="E309" s="1525">
        <v>2650</v>
      </c>
      <c r="F309" s="1543"/>
    </row>
    <row r="310" spans="1:6" s="1519" customFormat="1" ht="14.25" customHeight="1" thickBot="1">
      <c r="A310" s="1531" t="s">
        <v>1546</v>
      </c>
      <c r="B310" s="1525" t="s">
        <v>1402</v>
      </c>
      <c r="C310" s="1525">
        <v>2360</v>
      </c>
      <c r="D310" s="1525">
        <v>2330</v>
      </c>
      <c r="E310" s="1525">
        <v>2310</v>
      </c>
      <c r="F310" s="1539">
        <v>560</v>
      </c>
    </row>
    <row r="311" spans="1:6" s="1519" customFormat="1" ht="14.25" customHeight="1" thickBot="1">
      <c r="A311" s="1531" t="s">
        <v>1546</v>
      </c>
      <c r="B311" s="1525" t="s">
        <v>1411</v>
      </c>
      <c r="C311" s="1525">
        <v>1970</v>
      </c>
      <c r="D311" s="1525">
        <v>1950</v>
      </c>
      <c r="E311" s="1525">
        <v>1920</v>
      </c>
      <c r="F311" s="1539">
        <v>470</v>
      </c>
    </row>
    <row r="312" spans="1:6" s="1519" customFormat="1" ht="14.25" customHeight="1" thickBot="1">
      <c r="A312" s="1531" t="s">
        <v>1546</v>
      </c>
      <c r="B312" s="1525" t="s">
        <v>1419</v>
      </c>
      <c r="C312" s="1525">
        <v>2230</v>
      </c>
      <c r="D312" s="1525">
        <v>2200</v>
      </c>
      <c r="E312" s="1525">
        <v>2170</v>
      </c>
      <c r="F312" s="1539">
        <v>460</v>
      </c>
    </row>
    <row r="313" spans="1:6" s="1519" customFormat="1" ht="14.25" customHeight="1" thickBot="1">
      <c r="A313" s="1531" t="s">
        <v>1546</v>
      </c>
      <c r="B313" s="1525" t="s">
        <v>1426</v>
      </c>
      <c r="C313" s="1525">
        <v>2770</v>
      </c>
      <c r="D313" s="1525">
        <v>2740</v>
      </c>
      <c r="E313" s="1525">
        <v>2710</v>
      </c>
      <c r="F313" s="1539">
        <v>610</v>
      </c>
    </row>
    <row r="314" spans="1:6" s="1519" customFormat="1" ht="14.25" customHeight="1" thickBot="1">
      <c r="A314" s="1531" t="s">
        <v>1546</v>
      </c>
      <c r="B314" s="1525" t="s">
        <v>1433</v>
      </c>
      <c r="C314" s="1525"/>
      <c r="D314" s="1525"/>
      <c r="E314" s="1525"/>
      <c r="F314" s="1539">
        <v>490</v>
      </c>
    </row>
    <row r="315" spans="1:6" s="1519" customFormat="1" ht="14.25" customHeight="1" thickBot="1">
      <c r="A315" s="1531" t="s">
        <v>1546</v>
      </c>
      <c r="B315" s="1525" t="s">
        <v>1440</v>
      </c>
      <c r="C315" s="1525"/>
      <c r="D315" s="1525"/>
      <c r="E315" s="1525"/>
      <c r="F315" s="1539">
        <v>520</v>
      </c>
    </row>
    <row r="316" spans="1:6" s="1519" customFormat="1" ht="14.25" customHeight="1" thickBot="1">
      <c r="A316" s="1531" t="s">
        <v>1546</v>
      </c>
      <c r="B316" s="1537" t="s">
        <v>1447</v>
      </c>
      <c r="C316" s="1537"/>
      <c r="D316" s="1537"/>
      <c r="E316" s="1537"/>
      <c r="F316" s="1542">
        <v>460</v>
      </c>
    </row>
    <row r="317" spans="1:6" s="1519" customFormat="1" ht="14.25" customHeight="1" thickBot="1">
      <c r="A317" s="1531" t="s">
        <v>1333</v>
      </c>
      <c r="B317" s="1532" t="s">
        <v>1551</v>
      </c>
      <c r="C317" s="1532">
        <v>1200</v>
      </c>
      <c r="D317" s="1532">
        <v>1180</v>
      </c>
      <c r="E317" s="1532">
        <v>1160</v>
      </c>
      <c r="F317" s="1533">
        <v>370</v>
      </c>
    </row>
    <row r="318" spans="1:6" s="1519" customFormat="1" ht="14.25" customHeight="1" thickBot="1">
      <c r="A318" s="1531" t="s">
        <v>1333</v>
      </c>
      <c r="B318" s="1525" t="s">
        <v>1552</v>
      </c>
      <c r="C318" s="1525">
        <v>1090</v>
      </c>
      <c r="D318" s="1525">
        <v>1060</v>
      </c>
      <c r="E318" s="1525">
        <v>1040</v>
      </c>
      <c r="F318" s="1543"/>
    </row>
    <row r="319" spans="1:6" s="1519" customFormat="1" ht="14.25" customHeight="1" thickBot="1">
      <c r="A319" s="1531" t="s">
        <v>1333</v>
      </c>
      <c r="B319" s="1525" t="s">
        <v>1553</v>
      </c>
      <c r="C319" s="1525">
        <v>1520</v>
      </c>
      <c r="D319" s="1525">
        <v>1470</v>
      </c>
      <c r="E319" s="1525">
        <v>1440</v>
      </c>
      <c r="F319" s="1539">
        <v>370</v>
      </c>
    </row>
    <row r="320" spans="1:6" s="1519" customFormat="1" ht="14.25" customHeight="1" thickBot="1">
      <c r="A320" s="1531" t="s">
        <v>1333</v>
      </c>
      <c r="B320" s="1525" t="s">
        <v>1235</v>
      </c>
      <c r="C320" s="1525">
        <v>1360</v>
      </c>
      <c r="D320" s="1525">
        <v>1300</v>
      </c>
      <c r="E320" s="1525">
        <v>1270</v>
      </c>
      <c r="F320" s="1543"/>
    </row>
    <row r="321" spans="1:6" s="1519" customFormat="1" ht="14.25" customHeight="1" thickBot="1">
      <c r="A321" s="1531" t="s">
        <v>1333</v>
      </c>
      <c r="B321" s="1525" t="s">
        <v>1247</v>
      </c>
      <c r="C321" s="1525">
        <v>1750</v>
      </c>
      <c r="D321" s="1525">
        <v>1690</v>
      </c>
      <c r="E321" s="1525">
        <v>1660</v>
      </c>
      <c r="F321" s="1543"/>
    </row>
    <row r="322" spans="1:6" s="1519" customFormat="1" ht="14.25" customHeight="1" thickBot="1">
      <c r="A322" s="1531" t="s">
        <v>1333</v>
      </c>
      <c r="B322" s="1525" t="s">
        <v>1258</v>
      </c>
      <c r="C322" s="1525">
        <v>1650</v>
      </c>
      <c r="D322" s="1525">
        <v>1610</v>
      </c>
      <c r="E322" s="1525">
        <v>1580</v>
      </c>
      <c r="F322" s="1539">
        <v>500</v>
      </c>
    </row>
    <row r="323" spans="1:6" s="1519" customFormat="1" ht="14.25" customHeight="1" thickBot="1">
      <c r="A323" s="1531" t="s">
        <v>1333</v>
      </c>
      <c r="B323" s="1525" t="s">
        <v>1269</v>
      </c>
      <c r="C323" s="1525">
        <v>1780</v>
      </c>
      <c r="D323" s="1525">
        <v>1740</v>
      </c>
      <c r="E323" s="1525">
        <v>1720</v>
      </c>
      <c r="F323" s="1543"/>
    </row>
    <row r="324" spans="1:6" s="1519" customFormat="1" ht="14.25" customHeight="1" thickBot="1">
      <c r="A324" s="1531" t="s">
        <v>1333</v>
      </c>
      <c r="B324" s="1525" t="s">
        <v>1280</v>
      </c>
      <c r="C324" s="1525">
        <v>1650</v>
      </c>
      <c r="D324" s="1525">
        <v>1610</v>
      </c>
      <c r="E324" s="1525">
        <v>1580</v>
      </c>
      <c r="F324" s="1543"/>
    </row>
    <row r="325" spans="1:6" s="1519" customFormat="1" ht="14.25" customHeight="1" thickBot="1">
      <c r="A325" s="1531" t="s">
        <v>1333</v>
      </c>
      <c r="B325" s="1525" t="s">
        <v>1292</v>
      </c>
      <c r="C325" s="1525">
        <v>1330</v>
      </c>
      <c r="D325" s="1525">
        <v>1270</v>
      </c>
      <c r="E325" s="1525">
        <v>1240</v>
      </c>
      <c r="F325" s="1539">
        <v>430</v>
      </c>
    </row>
    <row r="326" spans="1:6" s="1519" customFormat="1" ht="14.25" customHeight="1" thickBot="1">
      <c r="A326" s="1531" t="s">
        <v>1333</v>
      </c>
      <c r="B326" s="1525" t="s">
        <v>1302</v>
      </c>
      <c r="C326" s="1525">
        <v>1470</v>
      </c>
      <c r="D326" s="1525">
        <v>1430</v>
      </c>
      <c r="E326" s="1525">
        <v>1400</v>
      </c>
      <c r="F326" s="1543"/>
    </row>
    <row r="327" spans="1:6" s="1519" customFormat="1" ht="14.25" customHeight="1" thickBot="1">
      <c r="A327" s="1531" t="s">
        <v>1333</v>
      </c>
      <c r="B327" s="1525" t="s">
        <v>1312</v>
      </c>
      <c r="C327" s="1525">
        <v>1420</v>
      </c>
      <c r="D327" s="1525">
        <v>1380</v>
      </c>
      <c r="E327" s="1525">
        <v>1360</v>
      </c>
      <c r="F327" s="1539">
        <v>420</v>
      </c>
    </row>
    <row r="328" spans="1:6" s="1519" customFormat="1" ht="14.25" customHeight="1" thickBot="1">
      <c r="A328" s="1531" t="s">
        <v>1333</v>
      </c>
      <c r="B328" s="1525" t="s">
        <v>1322</v>
      </c>
      <c r="C328" s="1525">
        <v>1400</v>
      </c>
      <c r="D328" s="1525">
        <v>1360</v>
      </c>
      <c r="E328" s="1525">
        <v>1330</v>
      </c>
      <c r="F328" s="1539">
        <v>460</v>
      </c>
    </row>
    <row r="329" spans="1:6" s="1519" customFormat="1" ht="14.25" customHeight="1" thickBot="1">
      <c r="A329" s="1531" t="s">
        <v>1333</v>
      </c>
      <c r="B329" s="1525" t="s">
        <v>1332</v>
      </c>
      <c r="C329" s="1525">
        <v>1640</v>
      </c>
      <c r="D329" s="1525">
        <v>1610</v>
      </c>
      <c r="E329" s="1525">
        <v>1580</v>
      </c>
      <c r="F329" s="1539">
        <v>410</v>
      </c>
    </row>
    <row r="330" spans="1:6" s="1519" customFormat="1" ht="14.25" customHeight="1" thickBot="1">
      <c r="A330" s="1531" t="s">
        <v>1333</v>
      </c>
      <c r="B330" s="1525" t="s">
        <v>1343</v>
      </c>
      <c r="C330" s="1525">
        <v>1260</v>
      </c>
      <c r="D330" s="1525">
        <v>1220</v>
      </c>
      <c r="E330" s="1525">
        <v>1200</v>
      </c>
      <c r="F330" s="1543"/>
    </row>
    <row r="331" spans="1:6" s="1519" customFormat="1" ht="14.25" customHeight="1" thickBot="1">
      <c r="A331" s="1531" t="s">
        <v>1333</v>
      </c>
      <c r="B331" s="1525" t="s">
        <v>1354</v>
      </c>
      <c r="C331" s="1525">
        <v>1620</v>
      </c>
      <c r="D331" s="1525">
        <v>1560</v>
      </c>
      <c r="E331" s="1525">
        <v>1530</v>
      </c>
      <c r="F331" s="1539">
        <v>490</v>
      </c>
    </row>
    <row r="332" spans="1:6" s="1519" customFormat="1" ht="14.25" customHeight="1" thickBot="1">
      <c r="A332" s="1531" t="s">
        <v>1333</v>
      </c>
      <c r="B332" s="1525" t="s">
        <v>1364</v>
      </c>
      <c r="C332" s="1525">
        <v>1520</v>
      </c>
      <c r="D332" s="1525">
        <v>1470</v>
      </c>
      <c r="E332" s="1525">
        <v>1440</v>
      </c>
      <c r="F332" s="1539">
        <v>440</v>
      </c>
    </row>
    <row r="333" spans="1:6" s="1519" customFormat="1" ht="14.25" customHeight="1" thickBot="1">
      <c r="A333" s="1531" t="s">
        <v>1333</v>
      </c>
      <c r="B333" s="1525" t="s">
        <v>1374</v>
      </c>
      <c r="C333" s="1525">
        <v>1370</v>
      </c>
      <c r="D333" s="1525">
        <v>1320</v>
      </c>
      <c r="E333" s="1525">
        <v>1300</v>
      </c>
      <c r="F333" s="1539">
        <v>460</v>
      </c>
    </row>
    <row r="334" spans="1:6" s="1519" customFormat="1" ht="14.25" customHeight="1" thickBot="1">
      <c r="A334" s="1531" t="s">
        <v>1333</v>
      </c>
      <c r="B334" s="1525" t="s">
        <v>1384</v>
      </c>
      <c r="C334" s="1525">
        <v>1410</v>
      </c>
      <c r="D334" s="1525">
        <v>1340</v>
      </c>
      <c r="E334" s="1525">
        <v>1310</v>
      </c>
      <c r="F334" s="1539">
        <v>410</v>
      </c>
    </row>
    <row r="335" spans="1:6" s="1519" customFormat="1" ht="14.25" customHeight="1" thickBot="1">
      <c r="A335" s="1531" t="s">
        <v>1333</v>
      </c>
      <c r="B335" s="1525" t="s">
        <v>1394</v>
      </c>
      <c r="C335" s="1525">
        <v>1260</v>
      </c>
      <c r="D335" s="1525">
        <v>1220</v>
      </c>
      <c r="E335" s="1525">
        <v>1200</v>
      </c>
      <c r="F335" s="1543"/>
    </row>
    <row r="336" spans="1:6" s="1519" customFormat="1" ht="14.25" customHeight="1" thickBot="1">
      <c r="A336" s="1531" t="s">
        <v>1333</v>
      </c>
      <c r="B336" s="1525" t="s">
        <v>1403</v>
      </c>
      <c r="C336" s="1525">
        <v>1160</v>
      </c>
      <c r="D336" s="1525">
        <v>1140</v>
      </c>
      <c r="E336" s="1525">
        <v>1120</v>
      </c>
      <c r="F336" s="1539">
        <v>430</v>
      </c>
    </row>
    <row r="337" spans="1:6" s="1519" customFormat="1" ht="14.25" customHeight="1" thickBot="1">
      <c r="A337" s="1531" t="s">
        <v>1333</v>
      </c>
      <c r="B337" s="1537" t="s">
        <v>1412</v>
      </c>
      <c r="C337" s="1537"/>
      <c r="D337" s="1537"/>
      <c r="E337" s="1537"/>
      <c r="F337" s="1542">
        <v>380</v>
      </c>
    </row>
    <row r="338" spans="1:6" s="1519" customFormat="1" ht="14.25" customHeight="1" thickBot="1">
      <c r="A338" s="1531" t="s">
        <v>1344</v>
      </c>
      <c r="B338" s="1532" t="s">
        <v>1554</v>
      </c>
      <c r="C338" s="1532">
        <v>880</v>
      </c>
      <c r="D338" s="1532">
        <v>850</v>
      </c>
      <c r="E338" s="1532">
        <v>830</v>
      </c>
      <c r="F338" s="1545"/>
    </row>
    <row r="339" spans="1:6" s="1519" customFormat="1" ht="14.25" customHeight="1" thickBot="1">
      <c r="A339" s="1531" t="s">
        <v>1344</v>
      </c>
      <c r="B339" s="1525" t="s">
        <v>1555</v>
      </c>
      <c r="C339" s="1525">
        <v>830</v>
      </c>
      <c r="D339" s="1525">
        <v>800</v>
      </c>
      <c r="E339" s="1525">
        <v>780</v>
      </c>
      <c r="F339" s="1543"/>
    </row>
    <row r="340" spans="1:6" s="1519" customFormat="1" ht="14.25" customHeight="1" thickBot="1">
      <c r="A340" s="1531" t="s">
        <v>1344</v>
      </c>
      <c r="B340" s="1525" t="s">
        <v>1556</v>
      </c>
      <c r="C340" s="1525">
        <v>980</v>
      </c>
      <c r="D340" s="1525">
        <v>950</v>
      </c>
      <c r="E340" s="1525">
        <v>920</v>
      </c>
      <c r="F340" s="1543"/>
    </row>
    <row r="341" spans="1:6" s="1519" customFormat="1" ht="14.25" customHeight="1" thickBot="1">
      <c r="A341" s="1531" t="s">
        <v>1344</v>
      </c>
      <c r="B341" s="1525" t="s">
        <v>1557</v>
      </c>
      <c r="C341" s="1525">
        <v>760</v>
      </c>
      <c r="D341" s="1525">
        <v>720</v>
      </c>
      <c r="E341" s="1525">
        <v>690</v>
      </c>
      <c r="F341" s="1539">
        <v>350</v>
      </c>
    </row>
    <row r="342" spans="1:6" s="1519" customFormat="1" ht="14.25" customHeight="1" thickBot="1">
      <c r="A342" s="1531" t="s">
        <v>1344</v>
      </c>
      <c r="B342" s="1525" t="s">
        <v>1248</v>
      </c>
      <c r="C342" s="1525">
        <v>910</v>
      </c>
      <c r="D342" s="1525">
        <v>870</v>
      </c>
      <c r="E342" s="1525">
        <v>850</v>
      </c>
      <c r="F342" s="1539">
        <v>370</v>
      </c>
    </row>
    <row r="343" spans="1:6" s="1519" customFormat="1" ht="14.25" customHeight="1" thickBot="1">
      <c r="A343" s="1531" t="s">
        <v>1344</v>
      </c>
      <c r="B343" s="1525" t="s">
        <v>1259</v>
      </c>
      <c r="C343" s="1525">
        <v>800</v>
      </c>
      <c r="D343" s="1525">
        <v>760</v>
      </c>
      <c r="E343" s="1525">
        <v>730</v>
      </c>
      <c r="F343" s="1539">
        <v>340</v>
      </c>
    </row>
    <row r="344" spans="1:6" s="1519" customFormat="1" ht="14.25" customHeight="1" thickBot="1">
      <c r="A344" s="1531" t="s">
        <v>1344</v>
      </c>
      <c r="B344" s="1537" t="s">
        <v>1270</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52" t="s">
        <v>2131</v>
      </c>
      <c r="B1" s="3752"/>
    </row>
    <row r="2" spans="1:6" ht="14.25" thickBot="1">
      <c r="A2" s="2113"/>
      <c r="B2" s="2113"/>
    </row>
    <row r="3" spans="1:6" ht="14.25" thickBot="1">
      <c r="A3" s="2113"/>
      <c r="B3" s="2113"/>
      <c r="C3" s="2117" t="s">
        <v>2134</v>
      </c>
      <c r="D3" s="2117" t="s">
        <v>2135</v>
      </c>
      <c r="E3" s="2117" t="s">
        <v>2136</v>
      </c>
      <c r="F3" s="2117" t="s">
        <v>2137</v>
      </c>
    </row>
    <row r="4" spans="1:6" ht="14.25" thickBot="1">
      <c r="A4" s="2115" t="s">
        <v>2132</v>
      </c>
      <c r="B4" s="2116" t="s">
        <v>2133</v>
      </c>
      <c r="C4" s="2117"/>
      <c r="D4" s="2117"/>
      <c r="E4" s="2117"/>
      <c r="F4" s="2117"/>
    </row>
    <row r="5" spans="1:6" ht="14.25" thickBot="1">
      <c r="A5" s="1531" t="s">
        <v>2138</v>
      </c>
      <c r="B5" s="1532" t="s">
        <v>2139</v>
      </c>
      <c r="C5" s="2118">
        <v>8.8999999999999996E-2</v>
      </c>
      <c r="D5" s="2118">
        <v>7.3999999999999996E-2</v>
      </c>
      <c r="E5" s="2118">
        <v>7.4999999999999997E-2</v>
      </c>
      <c r="F5" s="2119">
        <v>0.1</v>
      </c>
    </row>
    <row r="6" spans="1:6" ht="14.25" thickBot="1">
      <c r="A6" s="1531" t="s">
        <v>1224</v>
      </c>
      <c r="B6" s="1525" t="s">
        <v>2140</v>
      </c>
      <c r="C6" s="2120">
        <v>0.1</v>
      </c>
      <c r="D6" s="2120">
        <v>9.0999999999999998E-2</v>
      </c>
      <c r="E6" s="2120">
        <v>9.0999999999999998E-2</v>
      </c>
      <c r="F6" s="2121">
        <v>0.1</v>
      </c>
    </row>
    <row r="7" spans="1:6" ht="14.25" thickBot="1">
      <c r="A7" s="1531" t="s">
        <v>1224</v>
      </c>
      <c r="B7" s="1535" t="s">
        <v>1213</v>
      </c>
      <c r="C7" s="2120">
        <v>8.5999999999999993E-2</v>
      </c>
      <c r="D7" s="2120">
        <v>9.6000000000000002E-2</v>
      </c>
      <c r="E7" s="2120">
        <v>7.5999999999999998E-2</v>
      </c>
      <c r="F7" s="2121">
        <v>0.1</v>
      </c>
    </row>
    <row r="8" spans="1:6" ht="14.25" thickBot="1">
      <c r="A8" s="1531" t="s">
        <v>1224</v>
      </c>
      <c r="B8" s="1525" t="s">
        <v>1225</v>
      </c>
      <c r="C8" s="2120">
        <v>9.9000000000000005E-2</v>
      </c>
      <c r="D8" s="2120">
        <v>9.8000000000000004E-2</v>
      </c>
      <c r="E8" s="2120">
        <v>9.8000000000000004E-2</v>
      </c>
      <c r="F8" s="2121">
        <v>0.1</v>
      </c>
    </row>
    <row r="9" spans="1:6" ht="14.25" thickBot="1">
      <c r="A9" s="1541" t="s">
        <v>1224</v>
      </c>
      <c r="B9" s="1536" t="s">
        <v>1237</v>
      </c>
      <c r="C9" s="2122">
        <v>0.05</v>
      </c>
      <c r="D9" s="2130"/>
      <c r="E9" s="2130"/>
      <c r="F9" s="2131"/>
    </row>
    <row r="10" spans="1:6" ht="14.25" thickBot="1">
      <c r="A10" s="1531" t="s">
        <v>1281</v>
      </c>
      <c r="B10" s="1532" t="s">
        <v>2141</v>
      </c>
      <c r="C10" s="2118">
        <v>8.8999999999999996E-2</v>
      </c>
      <c r="D10" s="2118">
        <v>7.2999999999999995E-2</v>
      </c>
      <c r="E10" s="2118">
        <v>8.2000000000000003E-2</v>
      </c>
      <c r="F10" s="2119">
        <v>0.1</v>
      </c>
    </row>
    <row r="11" spans="1:6" ht="14.25" thickBot="1">
      <c r="A11" s="1531" t="s">
        <v>1281</v>
      </c>
      <c r="B11" s="1535" t="s">
        <v>1200</v>
      </c>
      <c r="C11" s="2120">
        <v>8.8999999999999996E-2</v>
      </c>
      <c r="D11" s="2120">
        <v>7.2999999999999995E-2</v>
      </c>
      <c r="E11" s="2120">
        <v>8.2000000000000003E-2</v>
      </c>
      <c r="F11" s="2121">
        <v>0.1</v>
      </c>
    </row>
    <row r="12" spans="1:6" ht="14.25" thickBot="1">
      <c r="A12" s="1531" t="s">
        <v>1281</v>
      </c>
      <c r="B12" s="1535" t="s">
        <v>1136</v>
      </c>
      <c r="C12" s="2120">
        <v>6.0999999999999999E-2</v>
      </c>
      <c r="D12" s="2120">
        <v>7.0999999999999994E-2</v>
      </c>
      <c r="E12" s="2120">
        <v>9.6000000000000002E-2</v>
      </c>
      <c r="F12" s="2121">
        <v>0.1</v>
      </c>
    </row>
    <row r="13" spans="1:6" ht="14.25" thickBot="1">
      <c r="A13" s="1531" t="s">
        <v>1281</v>
      </c>
      <c r="B13" s="1535" t="s">
        <v>1226</v>
      </c>
      <c r="C13" s="2120">
        <v>6.9000000000000006E-2</v>
      </c>
      <c r="D13" s="2120">
        <v>6.5000000000000002E-2</v>
      </c>
      <c r="E13" s="2120">
        <v>6.6000000000000003E-2</v>
      </c>
      <c r="F13" s="2121">
        <v>0.1</v>
      </c>
    </row>
    <row r="14" spans="1:6" ht="14.25" thickBot="1">
      <c r="A14" s="1531" t="s">
        <v>1281</v>
      </c>
      <c r="B14" s="1535" t="s">
        <v>1238</v>
      </c>
      <c r="C14" s="2120">
        <v>0.1</v>
      </c>
      <c r="D14" s="2120">
        <v>6.5000000000000002E-2</v>
      </c>
      <c r="E14" s="2120">
        <v>7.0000000000000007E-2</v>
      </c>
      <c r="F14" s="2121">
        <v>0.1</v>
      </c>
    </row>
    <row r="15" spans="1:6" ht="14.25" thickBot="1">
      <c r="A15" s="1531" t="s">
        <v>1281</v>
      </c>
      <c r="B15" s="1535" t="s">
        <v>1249</v>
      </c>
      <c r="C15" s="2120">
        <v>9.8000000000000004E-2</v>
      </c>
      <c r="D15" s="2120">
        <v>8.8999999999999996E-2</v>
      </c>
      <c r="E15" s="2120">
        <v>8.8999999999999996E-2</v>
      </c>
      <c r="F15" s="2121">
        <v>0.1</v>
      </c>
    </row>
    <row r="16" spans="1:6" ht="14.25" thickBot="1">
      <c r="A16" s="1531" t="s">
        <v>1281</v>
      </c>
      <c r="B16" s="1535" t="s">
        <v>1260</v>
      </c>
      <c r="C16" s="2120">
        <v>7.0000000000000007E-2</v>
      </c>
      <c r="D16" s="2120">
        <v>9.2999999999999999E-2</v>
      </c>
      <c r="E16" s="2120">
        <v>9.6000000000000002E-2</v>
      </c>
      <c r="F16" s="2121">
        <v>0.1</v>
      </c>
    </row>
    <row r="17" spans="1:6" ht="14.25" thickBot="1">
      <c r="A17" s="1531" t="s">
        <v>1281</v>
      </c>
      <c r="B17" s="1535" t="s">
        <v>1271</v>
      </c>
      <c r="C17" s="2120">
        <v>9.5000000000000001E-2</v>
      </c>
      <c r="D17" s="2120">
        <v>0.1</v>
      </c>
      <c r="E17" s="2120">
        <v>0.1</v>
      </c>
      <c r="F17" s="2132"/>
    </row>
    <row r="18" spans="1:6" ht="14.25" thickBot="1">
      <c r="A18" s="1531" t="s">
        <v>1281</v>
      </c>
      <c r="B18" s="1535" t="s">
        <v>1283</v>
      </c>
      <c r="C18" s="2120">
        <v>7.3999999999999996E-2</v>
      </c>
      <c r="D18" s="2120">
        <v>9.9000000000000005E-2</v>
      </c>
      <c r="E18" s="2120">
        <v>0.1</v>
      </c>
      <c r="F18" s="2132"/>
    </row>
    <row r="19" spans="1:6" ht="14.25" thickBot="1">
      <c r="A19" s="1531" t="s">
        <v>1281</v>
      </c>
      <c r="B19" s="1535" t="s">
        <v>1293</v>
      </c>
      <c r="C19" s="2120">
        <v>9.9000000000000005E-2</v>
      </c>
      <c r="D19" s="2120">
        <v>7.5999999999999998E-2</v>
      </c>
      <c r="E19" s="2120">
        <v>8.6999999999999994E-2</v>
      </c>
      <c r="F19" s="2132"/>
    </row>
    <row r="20" spans="1:6" ht="14.25" thickBot="1">
      <c r="A20" s="1531" t="s">
        <v>1281</v>
      </c>
      <c r="B20" s="1535" t="s">
        <v>1303</v>
      </c>
      <c r="C20" s="2120">
        <v>9.8000000000000004E-2</v>
      </c>
      <c r="D20" s="2120">
        <v>8.5000000000000006E-2</v>
      </c>
      <c r="E20" s="2120">
        <v>8.2000000000000003E-2</v>
      </c>
      <c r="F20" s="2132"/>
    </row>
    <row r="21" spans="1:6" ht="14.25" thickBot="1">
      <c r="A21" s="1531" t="s">
        <v>1281</v>
      </c>
      <c r="B21" s="1535" t="s">
        <v>1313</v>
      </c>
      <c r="C21" s="2120">
        <v>6.6000000000000003E-2</v>
      </c>
      <c r="D21" s="2120">
        <v>6.4000000000000001E-2</v>
      </c>
      <c r="E21" s="2120">
        <v>6.5000000000000002E-2</v>
      </c>
      <c r="F21" s="2132"/>
    </row>
    <row r="22" spans="1:6" ht="14.25" thickBot="1">
      <c r="A22" s="1531" t="s">
        <v>1281</v>
      </c>
      <c r="B22" s="1535" t="s">
        <v>2142</v>
      </c>
      <c r="C22" s="2120">
        <v>0.08</v>
      </c>
      <c r="D22" s="2120">
        <v>9.8000000000000004E-2</v>
      </c>
      <c r="E22" s="2120">
        <v>9.8000000000000004E-2</v>
      </c>
      <c r="F22" s="2132"/>
    </row>
    <row r="23" spans="1:6" ht="14.25" thickBot="1">
      <c r="A23" s="1531" t="s">
        <v>1281</v>
      </c>
      <c r="B23" s="1535" t="s">
        <v>1334</v>
      </c>
      <c r="C23" s="2120">
        <v>9.9000000000000005E-2</v>
      </c>
      <c r="D23" s="2120">
        <v>9.8000000000000004E-2</v>
      </c>
      <c r="E23" s="2120">
        <v>9.0999999999999998E-2</v>
      </c>
      <c r="F23" s="2132"/>
    </row>
    <row r="24" spans="1:6" ht="14.25" thickBot="1">
      <c r="A24" s="1531" t="s">
        <v>1281</v>
      </c>
      <c r="B24" s="1535" t="s">
        <v>1345</v>
      </c>
      <c r="C24" s="2120">
        <v>8.8999999999999996E-2</v>
      </c>
      <c r="D24" s="2120">
        <v>9.7000000000000003E-2</v>
      </c>
      <c r="E24" s="2120">
        <v>7.0000000000000007E-2</v>
      </c>
      <c r="F24" s="2132"/>
    </row>
    <row r="25" spans="1:6" ht="14.25" thickBot="1">
      <c r="A25" s="1531" t="s">
        <v>1281</v>
      </c>
      <c r="B25" s="1535" t="s">
        <v>1355</v>
      </c>
      <c r="C25" s="2120">
        <v>8.8999999999999996E-2</v>
      </c>
      <c r="D25" s="2120">
        <v>0.1</v>
      </c>
      <c r="E25" s="2120">
        <v>8.1000000000000003E-2</v>
      </c>
      <c r="F25" s="2132"/>
    </row>
    <row r="26" spans="1:6" ht="14.25" thickBot="1">
      <c r="A26" s="1531" t="s">
        <v>1281</v>
      </c>
      <c r="B26" s="1535" t="s">
        <v>1365</v>
      </c>
      <c r="C26" s="2133"/>
      <c r="D26" s="2120">
        <v>9.6000000000000002E-2</v>
      </c>
      <c r="E26" s="2120">
        <v>9.2999999999999999E-2</v>
      </c>
      <c r="F26" s="2132"/>
    </row>
    <row r="27" spans="1:6" ht="14.25" thickBot="1">
      <c r="A27" s="1531" t="s">
        <v>1281</v>
      </c>
      <c r="B27" s="1535" t="s">
        <v>1375</v>
      </c>
      <c r="C27" s="2133"/>
      <c r="D27" s="2120">
        <v>7.5999999999999998E-2</v>
      </c>
      <c r="E27" s="2120">
        <v>9.1999999999999998E-2</v>
      </c>
      <c r="F27" s="2132"/>
    </row>
    <row r="28" spans="1:6" ht="14.25" thickBot="1">
      <c r="A28" s="1541" t="s">
        <v>1281</v>
      </c>
      <c r="B28" s="1536" t="s">
        <v>1385</v>
      </c>
      <c r="C28" s="2130"/>
      <c r="D28" s="2122">
        <v>7.5999999999999998E-2</v>
      </c>
      <c r="E28" s="2122">
        <v>9.1999999999999998E-2</v>
      </c>
      <c r="F28" s="2131"/>
    </row>
    <row r="29" spans="1:6" ht="14.25" thickBot="1">
      <c r="A29" s="1531" t="s">
        <v>1454</v>
      </c>
      <c r="B29" s="1532" t="s">
        <v>2143</v>
      </c>
      <c r="C29" s="2118">
        <v>6.4000000000000001E-2</v>
      </c>
      <c r="D29" s="2118">
        <v>6.5000000000000002E-2</v>
      </c>
      <c r="E29" s="2118">
        <v>6.9000000000000006E-2</v>
      </c>
      <c r="F29" s="2119">
        <v>0.1</v>
      </c>
    </row>
    <row r="30" spans="1:6" ht="14.25" thickBot="1">
      <c r="A30" s="1531" t="s">
        <v>1454</v>
      </c>
      <c r="B30" s="1535" t="s">
        <v>1201</v>
      </c>
      <c r="C30" s="2120">
        <v>6.4000000000000001E-2</v>
      </c>
      <c r="D30" s="2120">
        <v>9.9000000000000005E-2</v>
      </c>
      <c r="E30" s="2120">
        <v>0.1</v>
      </c>
      <c r="F30" s="2121">
        <v>0.1</v>
      </c>
    </row>
    <row r="31" spans="1:6" ht="14.25" thickBot="1">
      <c r="A31" s="1531" t="s">
        <v>1454</v>
      </c>
      <c r="B31" s="1535" t="s">
        <v>1214</v>
      </c>
      <c r="C31" s="2120">
        <v>0.1</v>
      </c>
      <c r="D31" s="2120">
        <v>9.5000000000000001E-2</v>
      </c>
      <c r="E31" s="2120">
        <v>8.8999999999999996E-2</v>
      </c>
      <c r="F31" s="2121">
        <v>0.1</v>
      </c>
    </row>
    <row r="32" spans="1:6" ht="14.25" thickBot="1">
      <c r="A32" s="1531" t="s">
        <v>1454</v>
      </c>
      <c r="B32" s="1535" t="s">
        <v>1227</v>
      </c>
      <c r="C32" s="2120">
        <v>0.05</v>
      </c>
      <c r="D32" s="2120">
        <v>0.05</v>
      </c>
      <c r="E32" s="2120">
        <v>8.7999999999999995E-2</v>
      </c>
      <c r="F32" s="2121">
        <v>0.1</v>
      </c>
    </row>
    <row r="33" spans="1:6" ht="14.25" thickBot="1">
      <c r="A33" s="1531" t="s">
        <v>1454</v>
      </c>
      <c r="B33" s="1535" t="s">
        <v>1239</v>
      </c>
      <c r="C33" s="2120">
        <v>7.4999999999999997E-2</v>
      </c>
      <c r="D33" s="2120">
        <v>9.4E-2</v>
      </c>
      <c r="E33" s="2120">
        <v>9.7000000000000003E-2</v>
      </c>
      <c r="F33" s="2121">
        <v>0.1</v>
      </c>
    </row>
    <row r="34" spans="1:6" ht="14.25" thickBot="1">
      <c r="A34" s="1531" t="s">
        <v>1454</v>
      </c>
      <c r="B34" s="1535" t="s">
        <v>1250</v>
      </c>
      <c r="C34" s="2120">
        <v>9.8000000000000004E-2</v>
      </c>
      <c r="D34" s="2120">
        <v>8.5999999999999993E-2</v>
      </c>
      <c r="E34" s="2120">
        <v>9.7000000000000003E-2</v>
      </c>
      <c r="F34" s="2121">
        <v>0.1</v>
      </c>
    </row>
    <row r="35" spans="1:6" ht="14.25" thickBot="1">
      <c r="A35" s="1531" t="s">
        <v>1454</v>
      </c>
      <c r="B35" s="1535" t="s">
        <v>1261</v>
      </c>
      <c r="C35" s="2120">
        <v>5.8999999999999997E-2</v>
      </c>
      <c r="D35" s="2120">
        <v>6.5000000000000002E-2</v>
      </c>
      <c r="E35" s="2120">
        <v>7.0000000000000007E-2</v>
      </c>
      <c r="F35" s="2121">
        <v>0.1</v>
      </c>
    </row>
    <row r="36" spans="1:6" ht="14.25" thickBot="1">
      <c r="A36" s="1531" t="s">
        <v>1454</v>
      </c>
      <c r="B36" s="1535" t="s">
        <v>1272</v>
      </c>
      <c r="C36" s="2120">
        <v>6.3E-2</v>
      </c>
      <c r="D36" s="2120">
        <v>0.1</v>
      </c>
      <c r="E36" s="2120">
        <v>0.1</v>
      </c>
      <c r="F36" s="2121">
        <v>0.1</v>
      </c>
    </row>
    <row r="37" spans="1:6" ht="14.25" thickBot="1">
      <c r="A37" s="1531" t="s">
        <v>1454</v>
      </c>
      <c r="B37" s="1535" t="s">
        <v>1284</v>
      </c>
      <c r="C37" s="2120">
        <v>7.3999999999999996E-2</v>
      </c>
      <c r="D37" s="2120">
        <v>0.1</v>
      </c>
      <c r="E37" s="2120">
        <v>0.1</v>
      </c>
      <c r="F37" s="2121">
        <v>0.1</v>
      </c>
    </row>
    <row r="38" spans="1:6" ht="14.25" thickBot="1">
      <c r="A38" s="1531" t="s">
        <v>1454</v>
      </c>
      <c r="B38" s="1535" t="s">
        <v>1294</v>
      </c>
      <c r="C38" s="2120">
        <v>0.1</v>
      </c>
      <c r="D38" s="2120">
        <v>9.6000000000000002E-2</v>
      </c>
      <c r="E38" s="2120">
        <v>9.6000000000000002E-2</v>
      </c>
      <c r="F38" s="2132"/>
    </row>
    <row r="39" spans="1:6" ht="14.25" thickBot="1">
      <c r="A39" s="1531" t="s">
        <v>1454</v>
      </c>
      <c r="B39" s="1535" t="s">
        <v>1304</v>
      </c>
      <c r="C39" s="2120">
        <v>0.1</v>
      </c>
      <c r="D39" s="2120">
        <v>9.6000000000000002E-2</v>
      </c>
      <c r="E39" s="2120">
        <v>9.6000000000000002E-2</v>
      </c>
      <c r="F39" s="2132"/>
    </row>
    <row r="40" spans="1:6" ht="14.25" thickBot="1">
      <c r="A40" s="1531" t="s">
        <v>1454</v>
      </c>
      <c r="B40" s="1535" t="s">
        <v>1314</v>
      </c>
      <c r="C40" s="2120">
        <v>9.6000000000000002E-2</v>
      </c>
      <c r="D40" s="2120">
        <v>0.1</v>
      </c>
      <c r="E40" s="2120">
        <v>9.9000000000000005E-2</v>
      </c>
      <c r="F40" s="2132"/>
    </row>
    <row r="41" spans="1:6" ht="14.25" thickBot="1">
      <c r="A41" s="1531" t="s">
        <v>1454</v>
      </c>
      <c r="B41" s="1535" t="s">
        <v>1324</v>
      </c>
      <c r="C41" s="2120">
        <v>9.6000000000000002E-2</v>
      </c>
      <c r="D41" s="2120">
        <v>9.8000000000000004E-2</v>
      </c>
      <c r="E41" s="2120">
        <v>9.8000000000000004E-2</v>
      </c>
      <c r="F41" s="2132"/>
    </row>
    <row r="42" spans="1:6" ht="14.25" thickBot="1">
      <c r="A42" s="1531" t="s">
        <v>1454</v>
      </c>
      <c r="B42" s="1535" t="s">
        <v>1335</v>
      </c>
      <c r="C42" s="2120">
        <v>0.1</v>
      </c>
      <c r="D42" s="2120">
        <v>8.7999999999999995E-2</v>
      </c>
      <c r="E42" s="2120">
        <v>0.1</v>
      </c>
      <c r="F42" s="2132"/>
    </row>
    <row r="43" spans="1:6" ht="14.25" thickBot="1">
      <c r="A43" s="1531" t="s">
        <v>1454</v>
      </c>
      <c r="B43" s="1535" t="s">
        <v>1346</v>
      </c>
      <c r="C43" s="2120">
        <v>9.8000000000000004E-2</v>
      </c>
      <c r="D43" s="2120">
        <v>9.7000000000000003E-2</v>
      </c>
      <c r="E43" s="2120">
        <v>9.6000000000000002E-2</v>
      </c>
      <c r="F43" s="2132"/>
    </row>
    <row r="44" spans="1:6" ht="14.25" thickBot="1">
      <c r="A44" s="1531" t="s">
        <v>1454</v>
      </c>
      <c r="B44" s="1535" t="s">
        <v>1356</v>
      </c>
      <c r="C44" s="2120">
        <v>8.5999999999999993E-2</v>
      </c>
      <c r="D44" s="2120">
        <v>7.9000000000000001E-2</v>
      </c>
      <c r="E44" s="2120">
        <v>7.0999999999999994E-2</v>
      </c>
      <c r="F44" s="2132"/>
    </row>
    <row r="45" spans="1:6" ht="14.25" thickBot="1">
      <c r="A45" s="1531" t="s">
        <v>1454</v>
      </c>
      <c r="B45" s="1535" t="s">
        <v>1366</v>
      </c>
      <c r="C45" s="2120">
        <v>9.8000000000000004E-2</v>
      </c>
      <c r="D45" s="2120">
        <v>9.6000000000000002E-2</v>
      </c>
      <c r="E45" s="2120">
        <v>9.6000000000000002E-2</v>
      </c>
      <c r="F45" s="2132"/>
    </row>
    <row r="46" spans="1:6" ht="14.25" thickBot="1">
      <c r="A46" s="1531" t="s">
        <v>1454</v>
      </c>
      <c r="B46" s="1535" t="s">
        <v>1376</v>
      </c>
      <c r="C46" s="2120">
        <v>8.5999999999999993E-2</v>
      </c>
      <c r="D46" s="2120">
        <v>9.8000000000000004E-2</v>
      </c>
      <c r="E46" s="2120">
        <v>8.7999999999999995E-2</v>
      </c>
      <c r="F46" s="2132"/>
    </row>
    <row r="47" spans="1:6" ht="14.25" thickBot="1">
      <c r="A47" s="1531" t="s">
        <v>1454</v>
      </c>
      <c r="B47" s="1535" t="s">
        <v>1386</v>
      </c>
      <c r="C47" s="2120">
        <v>9.6000000000000002E-2</v>
      </c>
      <c r="D47" s="2133"/>
      <c r="E47" s="2120">
        <v>6.9000000000000006E-2</v>
      </c>
      <c r="F47" s="2132"/>
    </row>
    <row r="48" spans="1:6" ht="14.25" thickBot="1">
      <c r="A48" s="1541" t="s">
        <v>1454</v>
      </c>
      <c r="B48" s="1536" t="s">
        <v>1395</v>
      </c>
      <c r="C48" s="2122">
        <v>9.8000000000000004E-2</v>
      </c>
      <c r="D48" s="2130"/>
      <c r="E48" s="2122">
        <v>9.5000000000000001E-2</v>
      </c>
      <c r="F48" s="2131"/>
    </row>
    <row r="49" spans="1:6" ht="14.25" thickBot="1">
      <c r="A49" s="1531" t="s">
        <v>1135</v>
      </c>
      <c r="B49" s="1532" t="s">
        <v>2144</v>
      </c>
      <c r="C49" s="2118">
        <v>9.7000000000000003E-2</v>
      </c>
      <c r="D49" s="2118">
        <v>9.5000000000000001E-2</v>
      </c>
      <c r="E49" s="2118">
        <v>9.7000000000000003E-2</v>
      </c>
      <c r="F49" s="2119">
        <v>0.1</v>
      </c>
    </row>
    <row r="50" spans="1:6" ht="14.25" thickBot="1">
      <c r="A50" s="1531" t="s">
        <v>1135</v>
      </c>
      <c r="B50" s="1525" t="s">
        <v>1202</v>
      </c>
      <c r="C50" s="2120">
        <v>7.4999999999999997E-2</v>
      </c>
      <c r="D50" s="2120">
        <v>9.5000000000000001E-2</v>
      </c>
      <c r="E50" s="2120">
        <v>0.1</v>
      </c>
      <c r="F50" s="2121">
        <v>0.1</v>
      </c>
    </row>
    <row r="51" spans="1:6" ht="14.25" thickBot="1">
      <c r="A51" s="1531" t="s">
        <v>1135</v>
      </c>
      <c r="B51" s="1525" t="s">
        <v>1215</v>
      </c>
      <c r="C51" s="2120">
        <v>9.8000000000000004E-2</v>
      </c>
      <c r="D51" s="2120">
        <v>8.8999999999999996E-2</v>
      </c>
      <c r="E51" s="2120">
        <v>0.1</v>
      </c>
      <c r="F51" s="2121">
        <v>0.1</v>
      </c>
    </row>
    <row r="52" spans="1:6" ht="14.25" thickBot="1">
      <c r="A52" s="1531" t="s">
        <v>1135</v>
      </c>
      <c r="B52" s="1525" t="s">
        <v>1228</v>
      </c>
      <c r="C52" s="2120">
        <v>9.8000000000000004E-2</v>
      </c>
      <c r="D52" s="2120">
        <v>9.7000000000000003E-2</v>
      </c>
      <c r="E52" s="2120">
        <v>8.1000000000000003E-2</v>
      </c>
      <c r="F52" s="2121">
        <v>0.1</v>
      </c>
    </row>
    <row r="53" spans="1:6" ht="14.25" thickBot="1">
      <c r="A53" s="1531" t="s">
        <v>1135</v>
      </c>
      <c r="B53" s="1525" t="s">
        <v>1240</v>
      </c>
      <c r="C53" s="2120">
        <v>9.7000000000000003E-2</v>
      </c>
      <c r="D53" s="2120">
        <v>7.5999999999999998E-2</v>
      </c>
      <c r="E53" s="2120">
        <v>7.0999999999999994E-2</v>
      </c>
      <c r="F53" s="2121">
        <v>0.1</v>
      </c>
    </row>
    <row r="54" spans="1:6" ht="14.25" thickBot="1">
      <c r="A54" s="1531" t="s">
        <v>1135</v>
      </c>
      <c r="B54" s="1525" t="s">
        <v>1251</v>
      </c>
      <c r="C54" s="2120">
        <v>7.5999999999999998E-2</v>
      </c>
      <c r="D54" s="2120">
        <v>0.1</v>
      </c>
      <c r="E54" s="2120">
        <v>9.9000000000000005E-2</v>
      </c>
      <c r="F54" s="2121">
        <v>0.1</v>
      </c>
    </row>
    <row r="55" spans="1:6" ht="14.25" thickBot="1">
      <c r="A55" s="1531" t="s">
        <v>1135</v>
      </c>
      <c r="B55" s="1525" t="s">
        <v>1262</v>
      </c>
      <c r="C55" s="2120">
        <v>0.1</v>
      </c>
      <c r="D55" s="2120">
        <v>0.1</v>
      </c>
      <c r="E55" s="2120">
        <v>9.6000000000000002E-2</v>
      </c>
      <c r="F55" s="2121">
        <v>0.1</v>
      </c>
    </row>
    <row r="56" spans="1:6" ht="14.25" thickBot="1">
      <c r="A56" s="1531" t="s">
        <v>1135</v>
      </c>
      <c r="B56" s="1525" t="s">
        <v>1273</v>
      </c>
      <c r="C56" s="2120">
        <v>0.1</v>
      </c>
      <c r="D56" s="2120">
        <v>9.6000000000000002E-2</v>
      </c>
      <c r="E56" s="2120">
        <v>5.1999999999999998E-2</v>
      </c>
      <c r="F56" s="2121">
        <v>0.1</v>
      </c>
    </row>
    <row r="57" spans="1:6" ht="14.25" thickBot="1">
      <c r="A57" s="1531" t="s">
        <v>1135</v>
      </c>
      <c r="B57" s="1525" t="s">
        <v>1285</v>
      </c>
      <c r="C57" s="2120">
        <v>9.7000000000000003E-2</v>
      </c>
      <c r="D57" s="2120">
        <v>9.6000000000000002E-2</v>
      </c>
      <c r="E57" s="2120">
        <v>9.6000000000000002E-2</v>
      </c>
      <c r="F57" s="2121">
        <v>0.1</v>
      </c>
    </row>
    <row r="58" spans="1:6" ht="14.25" thickBot="1">
      <c r="A58" s="1531" t="s">
        <v>1135</v>
      </c>
      <c r="B58" s="1525" t="s">
        <v>1295</v>
      </c>
      <c r="C58" s="2120">
        <v>9.6000000000000002E-2</v>
      </c>
      <c r="D58" s="2120">
        <v>9.9000000000000005E-2</v>
      </c>
      <c r="E58" s="2120">
        <v>9.6000000000000002E-2</v>
      </c>
      <c r="F58" s="2121">
        <v>0.1</v>
      </c>
    </row>
    <row r="59" spans="1:6" ht="14.25" thickBot="1">
      <c r="A59" s="1531" t="s">
        <v>1135</v>
      </c>
      <c r="B59" s="1525" t="s">
        <v>1305</v>
      </c>
      <c r="C59" s="2120">
        <v>7.1999999999999995E-2</v>
      </c>
      <c r="D59" s="2120">
        <v>9.6000000000000002E-2</v>
      </c>
      <c r="E59" s="2120">
        <v>7.0999999999999994E-2</v>
      </c>
      <c r="F59" s="2121">
        <v>0.1</v>
      </c>
    </row>
    <row r="60" spans="1:6" ht="14.25" thickBot="1">
      <c r="A60" s="1531" t="s">
        <v>1135</v>
      </c>
      <c r="B60" s="1525" t="s">
        <v>1315</v>
      </c>
      <c r="C60" s="2120">
        <v>9.6000000000000002E-2</v>
      </c>
      <c r="D60" s="2120">
        <v>8.8999999999999996E-2</v>
      </c>
      <c r="E60" s="2120">
        <v>9.6000000000000002E-2</v>
      </c>
      <c r="F60" s="2121">
        <v>0.1</v>
      </c>
    </row>
    <row r="61" spans="1:6" ht="14.25" thickBot="1">
      <c r="A61" s="1531" t="s">
        <v>1135</v>
      </c>
      <c r="B61" s="1525" t="s">
        <v>1325</v>
      </c>
      <c r="C61" s="2120">
        <v>8.8999999999999996E-2</v>
      </c>
      <c r="D61" s="2120">
        <v>9.8000000000000004E-2</v>
      </c>
      <c r="E61" s="2120">
        <v>8.7999999999999995E-2</v>
      </c>
      <c r="F61" s="2132"/>
    </row>
    <row r="62" spans="1:6" ht="14.25" thickBot="1">
      <c r="A62" s="1531" t="s">
        <v>1135</v>
      </c>
      <c r="B62" s="1525" t="s">
        <v>1336</v>
      </c>
      <c r="C62" s="2120">
        <v>9.8000000000000004E-2</v>
      </c>
      <c r="D62" s="2120">
        <v>9.2999999999999999E-2</v>
      </c>
      <c r="E62" s="2120">
        <v>9.7000000000000003E-2</v>
      </c>
      <c r="F62" s="2132"/>
    </row>
    <row r="63" spans="1:6" ht="14.25" thickBot="1">
      <c r="A63" s="1531" t="s">
        <v>1135</v>
      </c>
      <c r="B63" s="1525" t="s">
        <v>1347</v>
      </c>
      <c r="C63" s="2120">
        <v>9.6000000000000002E-2</v>
      </c>
      <c r="D63" s="2120">
        <v>9.8000000000000004E-2</v>
      </c>
      <c r="E63" s="2120">
        <v>0.09</v>
      </c>
      <c r="F63" s="2132"/>
    </row>
    <row r="64" spans="1:6" ht="14.25" thickBot="1">
      <c r="A64" s="1531" t="s">
        <v>1135</v>
      </c>
      <c r="B64" s="1525" t="s">
        <v>1357</v>
      </c>
      <c r="C64" s="2120">
        <v>9.9000000000000005E-2</v>
      </c>
      <c r="D64" s="2120">
        <v>9.7000000000000003E-2</v>
      </c>
      <c r="E64" s="2120">
        <v>9.9000000000000005E-2</v>
      </c>
      <c r="F64" s="2132"/>
    </row>
    <row r="65" spans="1:6" ht="14.25" thickBot="1">
      <c r="A65" s="1531" t="s">
        <v>1135</v>
      </c>
      <c r="B65" s="1525" t="s">
        <v>1367</v>
      </c>
      <c r="C65" s="2120">
        <v>9.8000000000000004E-2</v>
      </c>
      <c r="D65" s="2120">
        <v>9.6000000000000002E-2</v>
      </c>
      <c r="E65" s="2120">
        <v>9.6000000000000002E-2</v>
      </c>
      <c r="F65" s="2132"/>
    </row>
    <row r="66" spans="1:6" ht="14.25" thickBot="1">
      <c r="A66" s="1531" t="s">
        <v>1135</v>
      </c>
      <c r="B66" s="1525" t="s">
        <v>1377</v>
      </c>
      <c r="C66" s="2120">
        <v>9.6000000000000002E-2</v>
      </c>
      <c r="D66" s="2120">
        <v>9.1999999999999998E-2</v>
      </c>
      <c r="E66" s="2120">
        <v>9.6000000000000002E-2</v>
      </c>
      <c r="F66" s="2132"/>
    </row>
    <row r="67" spans="1:6" ht="14.25" thickBot="1">
      <c r="A67" s="1531" t="s">
        <v>1135</v>
      </c>
      <c r="B67" s="1525" t="s">
        <v>1387</v>
      </c>
      <c r="C67" s="2120">
        <v>9.4E-2</v>
      </c>
      <c r="D67" s="2120">
        <v>0.1</v>
      </c>
      <c r="E67" s="2120">
        <v>8.7999999999999995E-2</v>
      </c>
      <c r="F67" s="2132"/>
    </row>
    <row r="68" spans="1:6" ht="14.25" thickBot="1">
      <c r="A68" s="1531" t="s">
        <v>1135</v>
      </c>
      <c r="B68" s="1525" t="s">
        <v>1396</v>
      </c>
      <c r="C68" s="2120">
        <v>0.1</v>
      </c>
      <c r="D68" s="2120">
        <v>8.7999999999999995E-2</v>
      </c>
      <c r="E68" s="2120">
        <v>9.7000000000000003E-2</v>
      </c>
      <c r="F68" s="2132"/>
    </row>
    <row r="69" spans="1:6" ht="14.25" thickBot="1">
      <c r="A69" s="1531" t="s">
        <v>1135</v>
      </c>
      <c r="B69" s="1525" t="s">
        <v>1405</v>
      </c>
      <c r="C69" s="2120">
        <v>6.4000000000000001E-2</v>
      </c>
      <c r="D69" s="2120">
        <v>0.1</v>
      </c>
      <c r="E69" s="2120">
        <v>0.1</v>
      </c>
      <c r="F69" s="2132"/>
    </row>
    <row r="70" spans="1:6" ht="14.25" thickBot="1">
      <c r="A70" s="1531" t="s">
        <v>1135</v>
      </c>
      <c r="B70" s="1525" t="s">
        <v>1413</v>
      </c>
      <c r="C70" s="2120">
        <v>9.0999999999999998E-2</v>
      </c>
      <c r="D70" s="2133"/>
      <c r="E70" s="2133"/>
      <c r="F70" s="2132"/>
    </row>
    <row r="71" spans="1:6" ht="14.25" thickBot="1">
      <c r="A71" s="1531" t="s">
        <v>1135</v>
      </c>
      <c r="B71" s="1525" t="s">
        <v>1420</v>
      </c>
      <c r="C71" s="2120">
        <v>0.1</v>
      </c>
      <c r="D71" s="2133"/>
      <c r="E71" s="2133"/>
      <c r="F71" s="2132"/>
    </row>
    <row r="72" spans="1:6" ht="14.25" thickBot="1">
      <c r="A72" s="1531" t="s">
        <v>1135</v>
      </c>
      <c r="B72" s="1525" t="s">
        <v>2145</v>
      </c>
      <c r="C72" s="2133"/>
      <c r="D72" s="2133"/>
      <c r="E72" s="2133"/>
      <c r="F72" s="2121">
        <v>0.05</v>
      </c>
    </row>
    <row r="73" spans="1:6" ht="14.25" thickBot="1">
      <c r="A73" s="1531" t="s">
        <v>1135</v>
      </c>
      <c r="B73" s="1525" t="s">
        <v>2146</v>
      </c>
      <c r="C73" s="2133"/>
      <c r="D73" s="2133"/>
      <c r="E73" s="2133"/>
      <c r="F73" s="2121">
        <v>0.05</v>
      </c>
    </row>
    <row r="74" spans="1:6" ht="14.25" thickBot="1">
      <c r="A74" s="1531" t="s">
        <v>1135</v>
      </c>
      <c r="B74" s="1525" t="s">
        <v>2147</v>
      </c>
      <c r="C74" s="2133"/>
      <c r="D74" s="2133"/>
      <c r="E74" s="2133"/>
      <c r="F74" s="2121">
        <v>0.05</v>
      </c>
    </row>
    <row r="75" spans="1:6" ht="14.25" thickBot="1">
      <c r="A75" s="1541" t="s">
        <v>1135</v>
      </c>
      <c r="B75" s="1537" t="s">
        <v>2148</v>
      </c>
      <c r="C75" s="2130"/>
      <c r="D75" s="2130"/>
      <c r="E75" s="2130"/>
      <c r="F75" s="2123">
        <v>0.05</v>
      </c>
    </row>
    <row r="76" spans="1:6" ht="14.25" thickBot="1">
      <c r="A76" s="1531" t="s">
        <v>1535</v>
      </c>
      <c r="B76" s="1532" t="s">
        <v>2149</v>
      </c>
      <c r="C76" s="2118">
        <v>0.1</v>
      </c>
      <c r="D76" s="2118">
        <v>0.1</v>
      </c>
      <c r="E76" s="2118">
        <v>0.1</v>
      </c>
      <c r="F76" s="2119">
        <v>0.1</v>
      </c>
    </row>
    <row r="77" spans="1:6" ht="14.25" thickBot="1">
      <c r="A77" s="1531" t="s">
        <v>1535</v>
      </c>
      <c r="B77" s="1525" t="s">
        <v>1203</v>
      </c>
      <c r="C77" s="2120">
        <v>8.7999999999999995E-2</v>
      </c>
      <c r="D77" s="2120">
        <v>8.6999999999999994E-2</v>
      </c>
      <c r="E77" s="2120">
        <v>7.9000000000000001E-2</v>
      </c>
      <c r="F77" s="2121">
        <v>0.1</v>
      </c>
    </row>
    <row r="78" spans="1:6" ht="14.25" thickBot="1">
      <c r="A78" s="1531" t="s">
        <v>1535</v>
      </c>
      <c r="B78" s="1525" t="s">
        <v>1216</v>
      </c>
      <c r="C78" s="2120">
        <v>8.6999999999999994E-2</v>
      </c>
      <c r="D78" s="2120">
        <v>8.4000000000000005E-2</v>
      </c>
      <c r="E78" s="2120">
        <v>9.6000000000000002E-2</v>
      </c>
      <c r="F78" s="2121">
        <v>0.1</v>
      </c>
    </row>
    <row r="79" spans="1:6" ht="14.25" thickBot="1">
      <c r="A79" s="1531" t="s">
        <v>1535</v>
      </c>
      <c r="B79" s="1525" t="s">
        <v>1229</v>
      </c>
      <c r="C79" s="2120">
        <v>9.8000000000000004E-2</v>
      </c>
      <c r="D79" s="2120">
        <v>9.8000000000000004E-2</v>
      </c>
      <c r="E79" s="2120">
        <v>9.0999999999999998E-2</v>
      </c>
      <c r="F79" s="2121">
        <v>0.1</v>
      </c>
    </row>
    <row r="80" spans="1:6" ht="14.25" thickBot="1">
      <c r="A80" s="1531" t="s">
        <v>1535</v>
      </c>
      <c r="B80" s="1525" t="s">
        <v>1241</v>
      </c>
      <c r="C80" s="2120">
        <v>9.6000000000000002E-2</v>
      </c>
      <c r="D80" s="2120">
        <v>9.6000000000000002E-2</v>
      </c>
      <c r="E80" s="2120">
        <v>0.1</v>
      </c>
      <c r="F80" s="2121">
        <v>0.1</v>
      </c>
    </row>
    <row r="81" spans="1:6" ht="14.25" thickBot="1">
      <c r="A81" s="1531" t="s">
        <v>1535</v>
      </c>
      <c r="B81" s="1525" t="s">
        <v>1252</v>
      </c>
      <c r="C81" s="2120">
        <v>9.9000000000000005E-2</v>
      </c>
      <c r="D81" s="2120">
        <v>9.9000000000000005E-2</v>
      </c>
      <c r="E81" s="2120">
        <v>9.8000000000000004E-2</v>
      </c>
      <c r="F81" s="2121">
        <v>0.1</v>
      </c>
    </row>
    <row r="82" spans="1:6" ht="14.25" thickBot="1">
      <c r="A82" s="1531" t="s">
        <v>1535</v>
      </c>
      <c r="B82" s="1525" t="s">
        <v>1263</v>
      </c>
      <c r="C82" s="2120">
        <v>9.9000000000000005E-2</v>
      </c>
      <c r="D82" s="2120">
        <v>9.9000000000000005E-2</v>
      </c>
      <c r="E82" s="2120">
        <v>9.7000000000000003E-2</v>
      </c>
      <c r="F82" s="2121">
        <v>0.1</v>
      </c>
    </row>
    <row r="83" spans="1:6" ht="14.25" thickBot="1">
      <c r="A83" s="1531" t="s">
        <v>1535</v>
      </c>
      <c r="B83" s="1525" t="s">
        <v>1274</v>
      </c>
      <c r="C83" s="2120">
        <v>9.8000000000000004E-2</v>
      </c>
      <c r="D83" s="2120">
        <v>9.8000000000000004E-2</v>
      </c>
      <c r="E83" s="2120">
        <v>9.8000000000000004E-2</v>
      </c>
      <c r="F83" s="2121">
        <v>0.1</v>
      </c>
    </row>
    <row r="84" spans="1:6" ht="14.25" thickBot="1">
      <c r="A84" s="1531" t="s">
        <v>1535</v>
      </c>
      <c r="B84" s="1525" t="s">
        <v>1286</v>
      </c>
      <c r="C84" s="2120">
        <v>9.9000000000000005E-2</v>
      </c>
      <c r="D84" s="2120">
        <v>9.9000000000000005E-2</v>
      </c>
      <c r="E84" s="2120">
        <v>9.9000000000000005E-2</v>
      </c>
      <c r="F84" s="2121">
        <v>0.1</v>
      </c>
    </row>
    <row r="85" spans="1:6" ht="14.25" thickBot="1">
      <c r="A85" s="1531" t="s">
        <v>1535</v>
      </c>
      <c r="B85" s="1525" t="s">
        <v>1296</v>
      </c>
      <c r="C85" s="2120">
        <v>9.9000000000000005E-2</v>
      </c>
      <c r="D85" s="2120">
        <v>9.9000000000000005E-2</v>
      </c>
      <c r="E85" s="2120">
        <v>9.9000000000000005E-2</v>
      </c>
      <c r="F85" s="2121">
        <v>0.1</v>
      </c>
    </row>
    <row r="86" spans="1:6" ht="14.25" thickBot="1">
      <c r="A86" s="1531" t="s">
        <v>1535</v>
      </c>
      <c r="B86" s="1525" t="s">
        <v>1306</v>
      </c>
      <c r="C86" s="2120">
        <v>0.1</v>
      </c>
      <c r="D86" s="2120">
        <v>0.1</v>
      </c>
      <c r="E86" s="2120">
        <v>7.6999999999999999E-2</v>
      </c>
      <c r="F86" s="2121">
        <v>0.1</v>
      </c>
    </row>
    <row r="87" spans="1:6" ht="14.25" thickBot="1">
      <c r="A87" s="1531" t="s">
        <v>1535</v>
      </c>
      <c r="B87" s="1525" t="s">
        <v>1316</v>
      </c>
      <c r="C87" s="2120">
        <v>0.1</v>
      </c>
      <c r="D87" s="2120">
        <v>0.1</v>
      </c>
      <c r="E87" s="2120">
        <v>9.8000000000000004E-2</v>
      </c>
      <c r="F87" s="2132"/>
    </row>
    <row r="88" spans="1:6" ht="14.25" thickBot="1">
      <c r="A88" s="1531" t="s">
        <v>1535</v>
      </c>
      <c r="B88" s="1525" t="s">
        <v>1326</v>
      </c>
      <c r="C88" s="2120">
        <v>9.1999999999999998E-2</v>
      </c>
      <c r="D88" s="2120">
        <v>8.5000000000000006E-2</v>
      </c>
      <c r="E88" s="2120">
        <v>9.6000000000000002E-2</v>
      </c>
      <c r="F88" s="2132"/>
    </row>
    <row r="89" spans="1:6" ht="14.25" thickBot="1">
      <c r="A89" s="1531" t="s">
        <v>1535</v>
      </c>
      <c r="B89" s="1525" t="s">
        <v>1337</v>
      </c>
      <c r="C89" s="2120">
        <v>0.1</v>
      </c>
      <c r="D89" s="2120">
        <v>0.1</v>
      </c>
      <c r="E89" s="2120">
        <v>9.7000000000000003E-2</v>
      </c>
      <c r="F89" s="2132"/>
    </row>
    <row r="90" spans="1:6" ht="14.25" thickBot="1">
      <c r="A90" s="1531" t="s">
        <v>1535</v>
      </c>
      <c r="B90" s="1525" t="s">
        <v>1348</v>
      </c>
      <c r="C90" s="2120">
        <v>9.8000000000000004E-2</v>
      </c>
      <c r="D90" s="2120">
        <v>9.8000000000000004E-2</v>
      </c>
      <c r="E90" s="2120">
        <v>8.7999999999999995E-2</v>
      </c>
      <c r="F90" s="2132"/>
    </row>
    <row r="91" spans="1:6" ht="14.25" thickBot="1">
      <c r="A91" s="1531" t="s">
        <v>1535</v>
      </c>
      <c r="B91" s="1525" t="s">
        <v>1358</v>
      </c>
      <c r="C91" s="2120">
        <v>9.9000000000000005E-2</v>
      </c>
      <c r="D91" s="2120">
        <v>9.9000000000000005E-2</v>
      </c>
      <c r="E91" s="2120">
        <v>9.0999999999999998E-2</v>
      </c>
      <c r="F91" s="2132"/>
    </row>
    <row r="92" spans="1:6" ht="14.25" thickBot="1">
      <c r="A92" s="1531" t="s">
        <v>1535</v>
      </c>
      <c r="B92" s="1525" t="s">
        <v>1368</v>
      </c>
      <c r="C92" s="2120">
        <v>9.6000000000000002E-2</v>
      </c>
      <c r="D92" s="2120">
        <v>9.6000000000000002E-2</v>
      </c>
      <c r="E92" s="2120">
        <v>7.2999999999999995E-2</v>
      </c>
      <c r="F92" s="2132"/>
    </row>
    <row r="93" spans="1:6" ht="14.25" thickBot="1">
      <c r="A93" s="1531" t="s">
        <v>1535</v>
      </c>
      <c r="B93" s="1525" t="s">
        <v>1378</v>
      </c>
      <c r="C93" s="2120">
        <v>9.6000000000000002E-2</v>
      </c>
      <c r="D93" s="2120">
        <v>9.6000000000000002E-2</v>
      </c>
      <c r="E93" s="2120">
        <v>9.9000000000000005E-2</v>
      </c>
      <c r="F93" s="2132"/>
    </row>
    <row r="94" spans="1:6" ht="14.25" thickBot="1">
      <c r="A94" s="1531" t="s">
        <v>1535</v>
      </c>
      <c r="B94" s="1525" t="s">
        <v>1388</v>
      </c>
      <c r="C94" s="2120">
        <v>7.5999999999999998E-2</v>
      </c>
      <c r="D94" s="2120">
        <v>7.3999999999999996E-2</v>
      </c>
      <c r="E94" s="2120">
        <v>9.7000000000000003E-2</v>
      </c>
      <c r="F94" s="2132"/>
    </row>
    <row r="95" spans="1:6" ht="14.25" thickBot="1">
      <c r="A95" s="1531" t="s">
        <v>1535</v>
      </c>
      <c r="B95" s="1525" t="s">
        <v>1397</v>
      </c>
      <c r="C95" s="2120">
        <v>9.9000000000000005E-2</v>
      </c>
      <c r="D95" s="2120">
        <v>9.4E-2</v>
      </c>
      <c r="E95" s="2120">
        <v>9.6000000000000002E-2</v>
      </c>
      <c r="F95" s="2132"/>
    </row>
    <row r="96" spans="1:6" ht="14.25" thickBot="1">
      <c r="A96" s="1531" t="s">
        <v>1535</v>
      </c>
      <c r="B96" s="1525" t="s">
        <v>1406</v>
      </c>
      <c r="C96" s="2120">
        <v>9.9000000000000005E-2</v>
      </c>
      <c r="D96" s="2120">
        <v>9.9000000000000005E-2</v>
      </c>
      <c r="E96" s="2120">
        <v>9.9000000000000005E-2</v>
      </c>
      <c r="F96" s="2132"/>
    </row>
    <row r="97" spans="1:6" ht="14.25" thickBot="1">
      <c r="A97" s="1531" t="s">
        <v>1535</v>
      </c>
      <c r="B97" s="1525" t="s">
        <v>1414</v>
      </c>
      <c r="C97" s="2120">
        <v>9.8000000000000004E-2</v>
      </c>
      <c r="D97" s="2120">
        <v>9.8000000000000004E-2</v>
      </c>
      <c r="E97" s="2120">
        <v>9.7000000000000003E-2</v>
      </c>
      <c r="F97" s="2132"/>
    </row>
    <row r="98" spans="1:6" ht="14.25" thickBot="1">
      <c r="A98" s="1531" t="s">
        <v>1535</v>
      </c>
      <c r="B98" s="1525" t="s">
        <v>1421</v>
      </c>
      <c r="C98" s="2120">
        <v>0.1</v>
      </c>
      <c r="D98" s="2120">
        <v>0.1</v>
      </c>
      <c r="E98" s="2120">
        <v>9.7000000000000003E-2</v>
      </c>
      <c r="F98" s="2132"/>
    </row>
    <row r="99" spans="1:6" ht="14.25" thickBot="1">
      <c r="A99" s="1531" t="s">
        <v>1535</v>
      </c>
      <c r="B99" s="1525" t="s">
        <v>1428</v>
      </c>
      <c r="C99" s="2120">
        <v>0.1</v>
      </c>
      <c r="D99" s="2120">
        <v>0.1</v>
      </c>
      <c r="E99" s="2133"/>
      <c r="F99" s="2132"/>
    </row>
    <row r="100" spans="1:6" ht="14.25" thickBot="1">
      <c r="A100" s="1531" t="s">
        <v>1535</v>
      </c>
      <c r="B100" s="1525" t="s">
        <v>1435</v>
      </c>
      <c r="C100" s="2120">
        <v>0.09</v>
      </c>
      <c r="D100" s="2120">
        <v>8.8999999999999996E-2</v>
      </c>
      <c r="E100" s="2133"/>
      <c r="F100" s="2132"/>
    </row>
    <row r="101" spans="1:6" ht="14.25" thickBot="1">
      <c r="A101" s="1531" t="s">
        <v>1535</v>
      </c>
      <c r="B101" s="1525" t="s">
        <v>1442</v>
      </c>
      <c r="C101" s="2120">
        <v>9.8000000000000004E-2</v>
      </c>
      <c r="D101" s="2120">
        <v>9.7000000000000003E-2</v>
      </c>
      <c r="E101" s="2133"/>
      <c r="F101" s="2132"/>
    </row>
    <row r="102" spans="1:6" ht="14.25" thickBot="1">
      <c r="A102" s="1531" t="s">
        <v>1535</v>
      </c>
      <c r="B102" s="1525" t="s">
        <v>2150</v>
      </c>
      <c r="C102" s="2133"/>
      <c r="D102" s="2133"/>
      <c r="E102" s="2133"/>
      <c r="F102" s="2121">
        <v>0.05</v>
      </c>
    </row>
    <row r="103" spans="1:6" ht="24.75" thickBot="1">
      <c r="A103" s="1531" t="s">
        <v>1535</v>
      </c>
      <c r="B103" s="1525" t="s">
        <v>2151</v>
      </c>
      <c r="C103" s="2133"/>
      <c r="D103" s="2133"/>
      <c r="E103" s="2133"/>
      <c r="F103" s="2121">
        <v>0.05</v>
      </c>
    </row>
    <row r="104" spans="1:6" ht="14.25" thickBot="1">
      <c r="A104" s="1531" t="s">
        <v>1535</v>
      </c>
      <c r="B104" s="1525" t="s">
        <v>2152</v>
      </c>
      <c r="C104" s="2133"/>
      <c r="D104" s="2133"/>
      <c r="E104" s="2133"/>
      <c r="F104" s="2121">
        <v>0.05</v>
      </c>
    </row>
    <row r="105" spans="1:6" ht="14.25" thickBot="1">
      <c r="A105" s="1531" t="s">
        <v>1535</v>
      </c>
      <c r="B105" s="1525" t="s">
        <v>2153</v>
      </c>
      <c r="C105" s="2133"/>
      <c r="D105" s="2133"/>
      <c r="E105" s="2133"/>
      <c r="F105" s="2121">
        <v>0.05</v>
      </c>
    </row>
    <row r="106" spans="1:6" ht="14.25" thickBot="1">
      <c r="A106" s="1531" t="s">
        <v>1535</v>
      </c>
      <c r="B106" s="1525" t="s">
        <v>2154</v>
      </c>
      <c r="C106" s="2133"/>
      <c r="D106" s="2133"/>
      <c r="E106" s="2133"/>
      <c r="F106" s="2121">
        <v>0.05</v>
      </c>
    </row>
    <row r="107" spans="1:6" ht="24.75" thickBot="1">
      <c r="A107" s="1531" t="s">
        <v>1535</v>
      </c>
      <c r="B107" s="1525" t="s">
        <v>2155</v>
      </c>
      <c r="C107" s="2133"/>
      <c r="D107" s="2133"/>
      <c r="E107" s="2133"/>
      <c r="F107" s="2121">
        <v>0.05</v>
      </c>
    </row>
    <row r="108" spans="1:6" ht="24.75" thickBot="1">
      <c r="A108" s="1531" t="s">
        <v>1535</v>
      </c>
      <c r="B108" s="1525" t="s">
        <v>2156</v>
      </c>
      <c r="C108" s="2133"/>
      <c r="D108" s="2133"/>
      <c r="E108" s="2133"/>
      <c r="F108" s="2121">
        <v>0.05</v>
      </c>
    </row>
    <row r="109" spans="1:6" ht="24.75" thickBot="1">
      <c r="A109" s="1541" t="s">
        <v>1535</v>
      </c>
      <c r="B109" s="1537" t="s">
        <v>2157</v>
      </c>
      <c r="C109" s="2130"/>
      <c r="D109" s="2130"/>
      <c r="E109" s="2130"/>
      <c r="F109" s="2123">
        <v>0.05</v>
      </c>
    </row>
    <row r="110" spans="1:6" ht="14.25" thickBot="1">
      <c r="A110" s="1531" t="s">
        <v>203</v>
      </c>
      <c r="B110" s="1532" t="s">
        <v>2158</v>
      </c>
      <c r="C110" s="2118">
        <v>0.129</v>
      </c>
      <c r="D110" s="2118">
        <v>0.129</v>
      </c>
      <c r="E110" s="2118">
        <v>0.126</v>
      </c>
      <c r="F110" s="2119">
        <v>0.13</v>
      </c>
    </row>
    <row r="111" spans="1:6" ht="14.25" thickBot="1">
      <c r="A111" s="1531" t="s">
        <v>203</v>
      </c>
      <c r="B111" s="1525" t="s">
        <v>1204</v>
      </c>
      <c r="C111" s="2120">
        <v>0.11</v>
      </c>
      <c r="D111" s="2120">
        <v>0.11</v>
      </c>
      <c r="E111" s="2120">
        <v>9.9000000000000005E-2</v>
      </c>
      <c r="F111" s="2121">
        <v>0.128</v>
      </c>
    </row>
    <row r="112" spans="1:6" ht="14.25" thickBot="1">
      <c r="A112" s="1531" t="s">
        <v>203</v>
      </c>
      <c r="B112" s="1525" t="s">
        <v>1217</v>
      </c>
      <c r="C112" s="2120">
        <v>0.125</v>
      </c>
      <c r="D112" s="2120">
        <v>0.125</v>
      </c>
      <c r="E112" s="2120">
        <v>0.12</v>
      </c>
      <c r="F112" s="2121">
        <v>0.125</v>
      </c>
    </row>
    <row r="113" spans="1:6" ht="14.25" thickBot="1">
      <c r="A113" s="1531" t="s">
        <v>203</v>
      </c>
      <c r="B113" s="1525" t="s">
        <v>1230</v>
      </c>
      <c r="C113" s="2120">
        <v>0.13</v>
      </c>
      <c r="D113" s="2120">
        <v>0.13</v>
      </c>
      <c r="E113" s="2120">
        <v>0.13</v>
      </c>
      <c r="F113" s="2121">
        <v>0.13</v>
      </c>
    </row>
    <row r="114" spans="1:6" ht="14.25" thickBot="1">
      <c r="A114" s="1531" t="s">
        <v>203</v>
      </c>
      <c r="B114" s="1525" t="s">
        <v>1242</v>
      </c>
      <c r="C114" s="2120">
        <v>0.123</v>
      </c>
      <c r="D114" s="2120">
        <v>0.123</v>
      </c>
      <c r="E114" s="2120">
        <v>0.12</v>
      </c>
      <c r="F114" s="2121">
        <v>0.13</v>
      </c>
    </row>
    <row r="115" spans="1:6" ht="14.25" thickBot="1">
      <c r="A115" s="1531" t="s">
        <v>203</v>
      </c>
      <c r="B115" s="1525" t="s">
        <v>1253</v>
      </c>
      <c r="C115" s="2120">
        <v>0.125</v>
      </c>
      <c r="D115" s="2120">
        <v>0.125</v>
      </c>
      <c r="E115" s="2120">
        <v>0.11700000000000001</v>
      </c>
      <c r="F115" s="2121">
        <v>0.13</v>
      </c>
    </row>
    <row r="116" spans="1:6" ht="14.25" thickBot="1">
      <c r="A116" s="1531" t="s">
        <v>203</v>
      </c>
      <c r="B116" s="1525" t="s">
        <v>1264</v>
      </c>
      <c r="C116" s="2120">
        <v>0.11700000000000001</v>
      </c>
      <c r="D116" s="2120">
        <v>0.11700000000000001</v>
      </c>
      <c r="E116" s="2120">
        <v>8.7999999999999995E-2</v>
      </c>
      <c r="F116" s="2121">
        <v>0.13</v>
      </c>
    </row>
    <row r="117" spans="1:6" ht="14.25" thickBot="1">
      <c r="A117" s="1531" t="s">
        <v>203</v>
      </c>
      <c r="B117" s="1525" t="s">
        <v>1275</v>
      </c>
      <c r="C117" s="2120">
        <v>0.13</v>
      </c>
      <c r="D117" s="2120">
        <v>0.13</v>
      </c>
      <c r="E117" s="2120">
        <v>0.129</v>
      </c>
      <c r="F117" s="2121">
        <v>0.13</v>
      </c>
    </row>
    <row r="118" spans="1:6" ht="14.25" thickBot="1">
      <c r="A118" s="1531" t="s">
        <v>203</v>
      </c>
      <c r="B118" s="1525" t="s">
        <v>1287</v>
      </c>
      <c r="C118" s="2120">
        <v>0.123</v>
      </c>
      <c r="D118" s="2120">
        <v>0.123</v>
      </c>
      <c r="E118" s="2120">
        <v>0.11600000000000001</v>
      </c>
      <c r="F118" s="2121">
        <v>0.13</v>
      </c>
    </row>
    <row r="119" spans="1:6" ht="14.25" thickBot="1">
      <c r="A119" s="1531" t="s">
        <v>203</v>
      </c>
      <c r="B119" s="1525" t="s">
        <v>1297</v>
      </c>
      <c r="C119" s="2120">
        <v>0.127</v>
      </c>
      <c r="D119" s="2120">
        <v>0.127</v>
      </c>
      <c r="E119" s="2120">
        <v>0.124</v>
      </c>
      <c r="F119" s="2121">
        <v>0.13</v>
      </c>
    </row>
    <row r="120" spans="1:6" ht="14.25" thickBot="1">
      <c r="A120" s="1531" t="s">
        <v>203</v>
      </c>
      <c r="B120" s="1525" t="s">
        <v>1307</v>
      </c>
      <c r="C120" s="2120">
        <v>0.125</v>
      </c>
      <c r="D120" s="2120">
        <v>0.125</v>
      </c>
      <c r="E120" s="2120">
        <v>0.122</v>
      </c>
      <c r="F120" s="2121">
        <v>0.13</v>
      </c>
    </row>
    <row r="121" spans="1:6" ht="14.25" thickBot="1">
      <c r="A121" s="1531" t="s">
        <v>203</v>
      </c>
      <c r="B121" s="1525" t="s">
        <v>1317</v>
      </c>
      <c r="C121" s="2120">
        <v>0.13</v>
      </c>
      <c r="D121" s="2120">
        <v>0.13</v>
      </c>
      <c r="E121" s="2120">
        <v>0.13</v>
      </c>
      <c r="F121" s="2121">
        <v>0.13</v>
      </c>
    </row>
    <row r="122" spans="1:6" ht="14.25" thickBot="1">
      <c r="A122" s="1531" t="s">
        <v>203</v>
      </c>
      <c r="B122" s="1525" t="s">
        <v>1327</v>
      </c>
      <c r="C122" s="2120">
        <v>0.13</v>
      </c>
      <c r="D122" s="2120">
        <v>0.13</v>
      </c>
      <c r="E122" s="2120">
        <v>0.125</v>
      </c>
      <c r="F122" s="2121">
        <v>0.13</v>
      </c>
    </row>
    <row r="123" spans="1:6" ht="14.25" thickBot="1">
      <c r="A123" s="1531" t="s">
        <v>203</v>
      </c>
      <c r="B123" s="1525" t="s">
        <v>1338</v>
      </c>
      <c r="C123" s="2120">
        <v>0.129</v>
      </c>
      <c r="D123" s="2120">
        <v>0.129</v>
      </c>
      <c r="E123" s="2120">
        <v>0.123</v>
      </c>
      <c r="F123" s="2121">
        <v>0.13</v>
      </c>
    </row>
    <row r="124" spans="1:6" ht="14.25" thickBot="1">
      <c r="A124" s="1531" t="s">
        <v>203</v>
      </c>
      <c r="B124" s="1525" t="s">
        <v>1349</v>
      </c>
      <c r="C124" s="2120">
        <v>0.10199999999999999</v>
      </c>
      <c r="D124" s="2120">
        <v>0.10100000000000001</v>
      </c>
      <c r="E124" s="2120">
        <v>0.08</v>
      </c>
      <c r="F124" s="2132"/>
    </row>
    <row r="125" spans="1:6" ht="14.25" thickBot="1">
      <c r="A125" s="1531" t="s">
        <v>203</v>
      </c>
      <c r="B125" s="1525" t="s">
        <v>1359</v>
      </c>
      <c r="C125" s="2120">
        <v>0.13</v>
      </c>
      <c r="D125" s="2120">
        <v>0.13</v>
      </c>
      <c r="E125" s="2120">
        <v>0.129</v>
      </c>
      <c r="F125" s="2132"/>
    </row>
    <row r="126" spans="1:6" ht="14.25" thickBot="1">
      <c r="A126" s="1531" t="s">
        <v>203</v>
      </c>
      <c r="B126" s="1525" t="s">
        <v>1369</v>
      </c>
      <c r="C126" s="2120">
        <v>0.13</v>
      </c>
      <c r="D126" s="2120">
        <v>0.13</v>
      </c>
      <c r="E126" s="2120">
        <v>0.126</v>
      </c>
      <c r="F126" s="2132"/>
    </row>
    <row r="127" spans="1:6" ht="14.25" thickBot="1">
      <c r="A127" s="1531" t="s">
        <v>203</v>
      </c>
      <c r="B127" s="1525" t="s">
        <v>1379</v>
      </c>
      <c r="C127" s="2120">
        <v>0.125</v>
      </c>
      <c r="D127" s="2120">
        <v>0.125</v>
      </c>
      <c r="E127" s="2120">
        <v>0.121</v>
      </c>
      <c r="F127" s="2132"/>
    </row>
    <row r="128" spans="1:6" ht="14.25" thickBot="1">
      <c r="A128" s="1531" t="s">
        <v>203</v>
      </c>
      <c r="B128" s="1525" t="s">
        <v>1389</v>
      </c>
      <c r="C128" s="2120">
        <v>0.12</v>
      </c>
      <c r="D128" s="2120">
        <v>0.12</v>
      </c>
      <c r="E128" s="2120">
        <v>0.105</v>
      </c>
      <c r="F128" s="2132"/>
    </row>
    <row r="129" spans="1:6" ht="14.25" thickBot="1">
      <c r="A129" s="1531" t="s">
        <v>203</v>
      </c>
      <c r="B129" s="1525" t="s">
        <v>1398</v>
      </c>
      <c r="C129" s="2120">
        <v>0.13</v>
      </c>
      <c r="D129" s="2120">
        <v>0.13</v>
      </c>
      <c r="E129" s="2120">
        <v>0.126</v>
      </c>
      <c r="F129" s="2132"/>
    </row>
    <row r="130" spans="1:6" ht="14.25" thickBot="1">
      <c r="A130" s="1531" t="s">
        <v>203</v>
      </c>
      <c r="B130" s="1525" t="s">
        <v>1407</v>
      </c>
      <c r="C130" s="2120">
        <v>0.125</v>
      </c>
      <c r="D130" s="2120">
        <v>0.125</v>
      </c>
      <c r="E130" s="2120">
        <v>0.122</v>
      </c>
      <c r="F130" s="2132"/>
    </row>
    <row r="131" spans="1:6" ht="14.25" thickBot="1">
      <c r="A131" s="1531" t="s">
        <v>203</v>
      </c>
      <c r="B131" s="1525" t="s">
        <v>1415</v>
      </c>
      <c r="C131" s="2120">
        <v>0.127</v>
      </c>
      <c r="D131" s="2120">
        <v>0.126</v>
      </c>
      <c r="E131" s="2120">
        <v>0.123</v>
      </c>
      <c r="F131" s="2132"/>
    </row>
    <row r="132" spans="1:6" ht="14.25" thickBot="1">
      <c r="A132" s="1531" t="s">
        <v>203</v>
      </c>
      <c r="B132" s="1525" t="s">
        <v>1422</v>
      </c>
      <c r="C132" s="2120">
        <v>9.0999999999999998E-2</v>
      </c>
      <c r="D132" s="2120">
        <v>0.121</v>
      </c>
      <c r="E132" s="2120">
        <v>9.9000000000000005E-2</v>
      </c>
      <c r="F132" s="2132"/>
    </row>
    <row r="133" spans="1:6" ht="14.25" thickBot="1">
      <c r="A133" s="1531" t="s">
        <v>203</v>
      </c>
      <c r="B133" s="1525" t="s">
        <v>1429</v>
      </c>
      <c r="C133" s="2120">
        <v>0.13</v>
      </c>
      <c r="D133" s="2120">
        <v>0.13</v>
      </c>
      <c r="E133" s="2120">
        <v>0.129</v>
      </c>
      <c r="F133" s="2132"/>
    </row>
    <row r="134" spans="1:6" ht="14.25" thickBot="1">
      <c r="A134" s="1531" t="s">
        <v>203</v>
      </c>
      <c r="B134" s="1525" t="s">
        <v>2159</v>
      </c>
      <c r="C134" s="2120">
        <v>6.8000000000000005E-2</v>
      </c>
      <c r="D134" s="2120">
        <v>6.5000000000000002E-2</v>
      </c>
      <c r="E134" s="2120">
        <v>6.5000000000000002E-2</v>
      </c>
      <c r="F134" s="2121">
        <v>0.13</v>
      </c>
    </row>
    <row r="135" spans="1:6" ht="14.25" thickBot="1">
      <c r="A135" s="1531" t="s">
        <v>203</v>
      </c>
      <c r="B135" s="1525" t="s">
        <v>1443</v>
      </c>
      <c r="C135" s="2120">
        <v>0.123</v>
      </c>
      <c r="D135" s="2120">
        <v>0.123</v>
      </c>
      <c r="E135" s="2120">
        <v>0.11</v>
      </c>
      <c r="F135" s="2132"/>
    </row>
    <row r="136" spans="1:6" ht="14.25" thickBot="1">
      <c r="A136" s="1531" t="s">
        <v>203</v>
      </c>
      <c r="B136" s="1525" t="s">
        <v>1450</v>
      </c>
      <c r="C136" s="2120">
        <v>0.13</v>
      </c>
      <c r="D136" s="2120">
        <v>0.13</v>
      </c>
      <c r="E136" s="2120">
        <v>0.125</v>
      </c>
      <c r="F136" s="2132"/>
    </row>
    <row r="137" spans="1:6" ht="14.25" thickBot="1">
      <c r="A137" s="1531" t="s">
        <v>203</v>
      </c>
      <c r="B137" s="1525" t="s">
        <v>1457</v>
      </c>
      <c r="C137" s="2120">
        <v>0.121</v>
      </c>
      <c r="D137" s="2120">
        <v>0.122</v>
      </c>
      <c r="E137" s="2120">
        <v>0.115</v>
      </c>
      <c r="F137" s="2132"/>
    </row>
    <row r="138" spans="1:6" ht="14.25" thickBot="1">
      <c r="A138" s="1531" t="s">
        <v>203</v>
      </c>
      <c r="B138" s="1525" t="s">
        <v>2160</v>
      </c>
      <c r="C138" s="2120">
        <v>0.105</v>
      </c>
      <c r="D138" s="2120">
        <v>0.125</v>
      </c>
      <c r="E138" s="2120">
        <v>0.112</v>
      </c>
      <c r="F138" s="2132"/>
    </row>
    <row r="139" spans="1:6" ht="14.25" thickBot="1">
      <c r="A139" s="1531" t="s">
        <v>203</v>
      </c>
      <c r="B139" s="1525" t="s">
        <v>2161</v>
      </c>
      <c r="C139" s="2120">
        <v>0.127</v>
      </c>
      <c r="D139" s="2120">
        <v>0.127</v>
      </c>
      <c r="E139" s="2120">
        <v>0.122</v>
      </c>
      <c r="F139" s="2121">
        <v>0.13</v>
      </c>
    </row>
    <row r="140" spans="1:6" ht="14.25" thickBot="1">
      <c r="A140" s="1531" t="s">
        <v>203</v>
      </c>
      <c r="B140" s="1525" t="s">
        <v>2162</v>
      </c>
      <c r="C140" s="2120">
        <v>0.125</v>
      </c>
      <c r="D140" s="2120">
        <v>0.125</v>
      </c>
      <c r="E140" s="2120">
        <v>0.11899999999999999</v>
      </c>
      <c r="F140" s="2121">
        <v>0.13</v>
      </c>
    </row>
    <row r="141" spans="1:6" ht="14.25" thickBot="1">
      <c r="A141" s="1531" t="s">
        <v>203</v>
      </c>
      <c r="B141" s="1525" t="s">
        <v>1476</v>
      </c>
      <c r="C141" s="2120">
        <v>0.125</v>
      </c>
      <c r="D141" s="2120">
        <v>0.125</v>
      </c>
      <c r="E141" s="2120">
        <v>0.11700000000000001</v>
      </c>
      <c r="F141" s="2132"/>
    </row>
    <row r="142" spans="1:6" ht="14.25" thickBot="1">
      <c r="A142" s="1531" t="s">
        <v>203</v>
      </c>
      <c r="B142" s="1525" t="s">
        <v>1481</v>
      </c>
      <c r="C142" s="2120">
        <v>0.125</v>
      </c>
      <c r="D142" s="2120">
        <v>0.125</v>
      </c>
      <c r="E142" s="2120">
        <v>0.115</v>
      </c>
      <c r="F142" s="2132"/>
    </row>
    <row r="143" spans="1:6" ht="14.25" thickBot="1">
      <c r="A143" s="1531" t="s">
        <v>203</v>
      </c>
      <c r="B143" s="1525" t="s">
        <v>1486</v>
      </c>
      <c r="C143" s="2120">
        <v>0.121</v>
      </c>
      <c r="D143" s="2120">
        <v>0.121</v>
      </c>
      <c r="E143" s="2120">
        <v>0.108</v>
      </c>
      <c r="F143" s="2132"/>
    </row>
    <row r="144" spans="1:6" ht="14.25" thickBot="1">
      <c r="A144" s="1531" t="s">
        <v>203</v>
      </c>
      <c r="B144" s="2124" t="s">
        <v>2163</v>
      </c>
      <c r="C144" s="2125">
        <v>0.126</v>
      </c>
      <c r="D144" s="2125">
        <v>0.126</v>
      </c>
      <c r="E144" s="2125">
        <v>0.121</v>
      </c>
      <c r="F144" s="2132"/>
    </row>
    <row r="145" spans="1:6" ht="14.25" thickBot="1">
      <c r="A145" s="1541" t="s">
        <v>203</v>
      </c>
      <c r="B145" s="2126" t="s">
        <v>2164</v>
      </c>
      <c r="C145" s="2134"/>
      <c r="D145" s="2134"/>
      <c r="E145" s="2134"/>
      <c r="F145" s="2127">
        <v>0.05</v>
      </c>
    </row>
    <row r="146" spans="1:6" ht="24.75" thickBot="1">
      <c r="A146" s="2128" t="s">
        <v>203</v>
      </c>
      <c r="B146" s="1535" t="s">
        <v>2165</v>
      </c>
      <c r="C146" s="2133"/>
      <c r="D146" s="2133"/>
      <c r="E146" s="2133"/>
      <c r="F146" s="2129">
        <v>0.05</v>
      </c>
    </row>
    <row r="147" spans="1:6" ht="24.75" thickBot="1">
      <c r="A147" s="1531" t="s">
        <v>203</v>
      </c>
      <c r="B147" s="1525" t="s">
        <v>2166</v>
      </c>
      <c r="C147" s="2133"/>
      <c r="D147" s="2133"/>
      <c r="E147" s="2133"/>
      <c r="F147" s="2121">
        <v>0.05</v>
      </c>
    </row>
    <row r="148" spans="1:6" ht="24.75" thickBot="1">
      <c r="A148" s="1531" t="s">
        <v>203</v>
      </c>
      <c r="B148" s="1525" t="s">
        <v>2167</v>
      </c>
      <c r="C148" s="2133"/>
      <c r="D148" s="2133"/>
      <c r="E148" s="2133"/>
      <c r="F148" s="2121">
        <v>0.05</v>
      </c>
    </row>
    <row r="149" spans="1:6" ht="24.75" thickBot="1">
      <c r="A149" s="1531" t="s">
        <v>203</v>
      </c>
      <c r="B149" s="1525" t="s">
        <v>2168</v>
      </c>
      <c r="C149" s="2133"/>
      <c r="D149" s="2133"/>
      <c r="E149" s="2133"/>
      <c r="F149" s="2121">
        <v>0.05</v>
      </c>
    </row>
    <row r="150" spans="1:6" ht="24.75" thickBot="1">
      <c r="A150" s="1531" t="s">
        <v>203</v>
      </c>
      <c r="B150" s="1525" t="s">
        <v>2169</v>
      </c>
      <c r="C150" s="2133"/>
      <c r="D150" s="2133"/>
      <c r="E150" s="2133"/>
      <c r="F150" s="2121">
        <v>0.05</v>
      </c>
    </row>
    <row r="151" spans="1:6" ht="24.75" thickBot="1">
      <c r="A151" s="1531" t="s">
        <v>203</v>
      </c>
      <c r="B151" s="1525" t="s">
        <v>2170</v>
      </c>
      <c r="C151" s="2133"/>
      <c r="D151" s="2133"/>
      <c r="E151" s="2133"/>
      <c r="F151" s="2121">
        <v>0.05</v>
      </c>
    </row>
    <row r="152" spans="1:6" ht="24.75" thickBot="1">
      <c r="A152" s="1531" t="s">
        <v>203</v>
      </c>
      <c r="B152" s="1525" t="s">
        <v>1519</v>
      </c>
      <c r="C152" s="2133"/>
      <c r="D152" s="2133"/>
      <c r="E152" s="2133"/>
      <c r="F152" s="2121">
        <v>0.05</v>
      </c>
    </row>
    <row r="153" spans="1:6" ht="14.25" thickBot="1">
      <c r="A153" s="1531" t="s">
        <v>203</v>
      </c>
      <c r="B153" s="1525" t="s">
        <v>2171</v>
      </c>
      <c r="C153" s="2133"/>
      <c r="D153" s="2133"/>
      <c r="E153" s="2133"/>
      <c r="F153" s="2121">
        <v>0.05</v>
      </c>
    </row>
    <row r="154" spans="1:6" ht="14.25" thickBot="1">
      <c r="A154" s="1531" t="s">
        <v>203</v>
      </c>
      <c r="B154" s="1525" t="s">
        <v>2172</v>
      </c>
      <c r="C154" s="2133"/>
      <c r="D154" s="2133"/>
      <c r="E154" s="2133"/>
      <c r="F154" s="2121">
        <v>0.05</v>
      </c>
    </row>
    <row r="155" spans="1:6" ht="24.75" thickBot="1">
      <c r="A155" s="1531" t="s">
        <v>203</v>
      </c>
      <c r="B155" s="1525" t="s">
        <v>2173</v>
      </c>
      <c r="C155" s="2133"/>
      <c r="D155" s="2133"/>
      <c r="E155" s="2133"/>
      <c r="F155" s="2121">
        <v>0.05</v>
      </c>
    </row>
    <row r="156" spans="1:6" ht="24.75" thickBot="1">
      <c r="A156" s="1531" t="s">
        <v>203</v>
      </c>
      <c r="B156" s="1525" t="s">
        <v>2174</v>
      </c>
      <c r="C156" s="2133"/>
      <c r="D156" s="2133"/>
      <c r="E156" s="2133"/>
      <c r="F156" s="2121">
        <v>0.05</v>
      </c>
    </row>
    <row r="157" spans="1:6" ht="14.25" thickBot="1">
      <c r="A157" s="1541" t="s">
        <v>203</v>
      </c>
      <c r="B157" s="1537" t="s">
        <v>2175</v>
      </c>
      <c r="C157" s="2130"/>
      <c r="D157" s="2130"/>
      <c r="E157" s="2130"/>
      <c r="F157" s="2123">
        <v>0.05</v>
      </c>
    </row>
    <row r="158" spans="1:6" ht="14.25" thickBot="1">
      <c r="A158" s="1531" t="s">
        <v>1538</v>
      </c>
      <c r="B158" s="1532" t="s">
        <v>2176</v>
      </c>
      <c r="C158" s="2118">
        <v>0.13</v>
      </c>
      <c r="D158" s="2118">
        <v>0.13</v>
      </c>
      <c r="E158" s="2118">
        <v>0.13</v>
      </c>
      <c r="F158" s="2119">
        <v>0.13</v>
      </c>
    </row>
    <row r="159" spans="1:6" ht="14.25" thickBot="1">
      <c r="A159" s="1531" t="s">
        <v>1538</v>
      </c>
      <c r="B159" s="1525" t="s">
        <v>1205</v>
      </c>
      <c r="C159" s="2120">
        <v>0.13</v>
      </c>
      <c r="D159" s="2120">
        <v>0.13</v>
      </c>
      <c r="E159" s="2120">
        <v>0.13</v>
      </c>
      <c r="F159" s="2121">
        <v>0.13</v>
      </c>
    </row>
    <row r="160" spans="1:6" ht="14.25" thickBot="1">
      <c r="A160" s="1531" t="s">
        <v>1538</v>
      </c>
      <c r="B160" s="1525" t="s">
        <v>1218</v>
      </c>
      <c r="C160" s="2120">
        <v>0.13</v>
      </c>
      <c r="D160" s="2120">
        <v>0.13</v>
      </c>
      <c r="E160" s="2120">
        <v>0.129</v>
      </c>
      <c r="F160" s="2121">
        <v>0.13</v>
      </c>
    </row>
    <row r="161" spans="1:6" ht="14.25" thickBot="1">
      <c r="A161" s="1531" t="s">
        <v>1538</v>
      </c>
      <c r="B161" s="1525" t="s">
        <v>1231</v>
      </c>
      <c r="C161" s="2120">
        <v>0.128</v>
      </c>
      <c r="D161" s="2120">
        <v>0.128</v>
      </c>
      <c r="E161" s="2120">
        <v>0.125</v>
      </c>
      <c r="F161" s="2121">
        <v>0.13</v>
      </c>
    </row>
    <row r="162" spans="1:6" ht="14.25" thickBot="1">
      <c r="A162" s="1531" t="s">
        <v>1538</v>
      </c>
      <c r="B162" s="1525" t="s">
        <v>1243</v>
      </c>
      <c r="C162" s="2120">
        <v>0.122</v>
      </c>
      <c r="D162" s="2120">
        <v>0.122</v>
      </c>
      <c r="E162" s="2120">
        <v>0.126</v>
      </c>
      <c r="F162" s="2121">
        <v>0.122</v>
      </c>
    </row>
    <row r="163" spans="1:6" ht="14.25" thickBot="1">
      <c r="A163" s="1531" t="s">
        <v>1538</v>
      </c>
      <c r="B163" s="1525" t="s">
        <v>1254</v>
      </c>
      <c r="C163" s="2120">
        <v>0.13</v>
      </c>
      <c r="D163" s="2120">
        <v>0.13</v>
      </c>
      <c r="E163" s="2120">
        <v>0.125</v>
      </c>
      <c r="F163" s="2121">
        <v>0.13</v>
      </c>
    </row>
    <row r="164" spans="1:6" ht="14.25" thickBot="1">
      <c r="A164" s="1531" t="s">
        <v>1538</v>
      </c>
      <c r="B164" s="1525" t="s">
        <v>1265</v>
      </c>
      <c r="C164" s="2120">
        <v>0.13</v>
      </c>
      <c r="D164" s="2120">
        <v>0.13</v>
      </c>
      <c r="E164" s="2120">
        <v>0.13</v>
      </c>
      <c r="F164" s="2121">
        <v>0.13</v>
      </c>
    </row>
    <row r="165" spans="1:6" ht="14.25" thickBot="1">
      <c r="A165" s="1531" t="s">
        <v>1538</v>
      </c>
      <c r="B165" s="1525" t="s">
        <v>1276</v>
      </c>
      <c r="C165" s="2120">
        <v>0.13</v>
      </c>
      <c r="D165" s="2120">
        <v>0.13</v>
      </c>
      <c r="E165" s="2120">
        <v>0.124</v>
      </c>
      <c r="F165" s="2121">
        <v>0.13</v>
      </c>
    </row>
    <row r="166" spans="1:6" ht="14.25" thickBot="1">
      <c r="A166" s="1531" t="s">
        <v>1538</v>
      </c>
      <c r="B166" s="1525" t="s">
        <v>1288</v>
      </c>
      <c r="C166" s="2120">
        <v>0.13</v>
      </c>
      <c r="D166" s="2120">
        <v>0.13</v>
      </c>
      <c r="E166" s="2120">
        <v>0.13</v>
      </c>
      <c r="F166" s="2121">
        <v>0.13</v>
      </c>
    </row>
    <row r="167" spans="1:6" ht="14.25" thickBot="1">
      <c r="A167" s="1531" t="s">
        <v>1538</v>
      </c>
      <c r="B167" s="1525" t="s">
        <v>1298</v>
      </c>
      <c r="C167" s="2120">
        <v>0.125</v>
      </c>
      <c r="D167" s="2120">
        <v>0.125</v>
      </c>
      <c r="E167" s="2120">
        <v>0.121</v>
      </c>
      <c r="F167" s="2132"/>
    </row>
    <row r="168" spans="1:6" ht="14.25" thickBot="1">
      <c r="A168" s="1531" t="s">
        <v>1538</v>
      </c>
      <c r="B168" s="1525" t="s">
        <v>1308</v>
      </c>
      <c r="C168" s="2120">
        <v>0.13</v>
      </c>
      <c r="D168" s="2120">
        <v>0.13</v>
      </c>
      <c r="E168" s="2120">
        <v>0.126</v>
      </c>
      <c r="F168" s="2132"/>
    </row>
    <row r="169" spans="1:6" ht="14.25" thickBot="1">
      <c r="A169" s="1531" t="s">
        <v>1538</v>
      </c>
      <c r="B169" s="1525" t="s">
        <v>1318</v>
      </c>
      <c r="C169" s="2120">
        <v>0.128</v>
      </c>
      <c r="D169" s="2120">
        <v>0.129</v>
      </c>
      <c r="E169" s="2120">
        <v>0.13</v>
      </c>
      <c r="F169" s="2132"/>
    </row>
    <row r="170" spans="1:6" ht="14.25" thickBot="1">
      <c r="A170" s="1531" t="s">
        <v>1538</v>
      </c>
      <c r="B170" s="1525" t="s">
        <v>1328</v>
      </c>
      <c r="C170" s="2120">
        <v>0.14099999999999999</v>
      </c>
      <c r="D170" s="2120">
        <v>0.13</v>
      </c>
      <c r="E170" s="2120">
        <v>0.125</v>
      </c>
      <c r="F170" s="2132"/>
    </row>
    <row r="171" spans="1:6" ht="14.25" thickBot="1">
      <c r="A171" s="1531" t="s">
        <v>1538</v>
      </c>
      <c r="B171" s="1525" t="s">
        <v>2177</v>
      </c>
      <c r="C171" s="2120">
        <v>0.127</v>
      </c>
      <c r="D171" s="2120">
        <v>0.126</v>
      </c>
      <c r="E171" s="2120">
        <v>0.126</v>
      </c>
      <c r="F171" s="2121">
        <v>0.11799999999999999</v>
      </c>
    </row>
    <row r="172" spans="1:6" ht="14.25" thickBot="1">
      <c r="A172" s="1531" t="s">
        <v>1538</v>
      </c>
      <c r="B172" s="1525" t="s">
        <v>2178</v>
      </c>
      <c r="C172" s="2120">
        <v>0.13</v>
      </c>
      <c r="D172" s="2120">
        <v>0.13</v>
      </c>
      <c r="E172" s="2120">
        <v>0.13</v>
      </c>
      <c r="F172" s="2132"/>
    </row>
    <row r="173" spans="1:6" ht="14.25" thickBot="1">
      <c r="A173" s="1531" t="s">
        <v>1538</v>
      </c>
      <c r="B173" s="1525" t="s">
        <v>1360</v>
      </c>
      <c r="C173" s="2120">
        <v>0.13</v>
      </c>
      <c r="D173" s="2120">
        <v>0.13</v>
      </c>
      <c r="E173" s="2120">
        <v>0.13</v>
      </c>
      <c r="F173" s="2132"/>
    </row>
    <row r="174" spans="1:6" ht="14.25" thickBot="1">
      <c r="A174" s="1531" t="s">
        <v>1538</v>
      </c>
      <c r="B174" s="1525" t="s">
        <v>2179</v>
      </c>
      <c r="C174" s="2120">
        <v>0.13</v>
      </c>
      <c r="D174" s="2120">
        <v>0.13</v>
      </c>
      <c r="E174" s="2120">
        <v>0.13</v>
      </c>
      <c r="F174" s="2121">
        <v>0.13</v>
      </c>
    </row>
    <row r="175" spans="1:6" ht="14.25" thickBot="1">
      <c r="A175" s="1531" t="s">
        <v>1538</v>
      </c>
      <c r="B175" s="1525" t="s">
        <v>2180</v>
      </c>
      <c r="C175" s="2120">
        <v>0.13</v>
      </c>
      <c r="D175" s="2120">
        <v>0.13</v>
      </c>
      <c r="E175" s="2120">
        <v>0.13</v>
      </c>
      <c r="F175" s="2121">
        <v>0.13</v>
      </c>
    </row>
    <row r="176" spans="1:6" ht="14.25" thickBot="1">
      <c r="A176" s="1531" t="s">
        <v>1538</v>
      </c>
      <c r="B176" s="1525" t="s">
        <v>1390</v>
      </c>
      <c r="C176" s="2120">
        <v>0.13</v>
      </c>
      <c r="D176" s="2120">
        <v>0.13</v>
      </c>
      <c r="E176" s="2120">
        <v>0.13</v>
      </c>
      <c r="F176" s="2121">
        <v>0.13</v>
      </c>
    </row>
    <row r="177" spans="1:6" ht="14.25" thickBot="1">
      <c r="A177" s="1531" t="s">
        <v>1538</v>
      </c>
      <c r="B177" s="1525" t="s">
        <v>2181</v>
      </c>
      <c r="C177" s="2120">
        <v>0.13</v>
      </c>
      <c r="D177" s="2120">
        <v>0.13</v>
      </c>
      <c r="E177" s="2120">
        <v>0.13</v>
      </c>
      <c r="F177" s="2121">
        <v>0.13</v>
      </c>
    </row>
    <row r="178" spans="1:6" ht="14.25" thickBot="1">
      <c r="A178" s="1531" t="s">
        <v>1538</v>
      </c>
      <c r="B178" s="1525" t="s">
        <v>1408</v>
      </c>
      <c r="C178" s="2120">
        <v>0.13</v>
      </c>
      <c r="D178" s="2120">
        <v>0.13</v>
      </c>
      <c r="E178" s="2120">
        <v>0.13</v>
      </c>
      <c r="F178" s="2121">
        <v>0.127</v>
      </c>
    </row>
    <row r="179" spans="1:6" ht="14.25" thickBot="1">
      <c r="A179" s="1531" t="s">
        <v>1538</v>
      </c>
      <c r="B179" s="1525" t="s">
        <v>1416</v>
      </c>
      <c r="C179" s="2120">
        <v>0.13</v>
      </c>
      <c r="D179" s="2120">
        <v>0.13</v>
      </c>
      <c r="E179" s="2120">
        <v>0.13</v>
      </c>
      <c r="F179" s="2132"/>
    </row>
    <row r="180" spans="1:6" ht="14.25" thickBot="1">
      <c r="A180" s="1531" t="s">
        <v>1538</v>
      </c>
      <c r="B180" s="1525" t="s">
        <v>2182</v>
      </c>
      <c r="C180" s="2120">
        <v>0.13</v>
      </c>
      <c r="D180" s="2120">
        <v>0.13</v>
      </c>
      <c r="E180" s="2120">
        <v>0.125</v>
      </c>
      <c r="F180" s="2121">
        <v>0.13</v>
      </c>
    </row>
    <row r="181" spans="1:6" ht="14.25" thickBot="1">
      <c r="A181" s="1531" t="s">
        <v>1538</v>
      </c>
      <c r="B181" s="1525" t="s">
        <v>1430</v>
      </c>
      <c r="C181" s="2120">
        <v>0.122</v>
      </c>
      <c r="D181" s="2120">
        <v>0.123</v>
      </c>
      <c r="E181" s="2120">
        <v>0.126</v>
      </c>
      <c r="F181" s="2121">
        <v>0.121</v>
      </c>
    </row>
    <row r="182" spans="1:6" ht="14.25" thickBot="1">
      <c r="A182" s="1531" t="s">
        <v>1538</v>
      </c>
      <c r="B182" s="1525" t="s">
        <v>1437</v>
      </c>
      <c r="C182" s="2120">
        <v>0.125</v>
      </c>
      <c r="D182" s="2120">
        <v>0.125</v>
      </c>
      <c r="E182" s="2120">
        <v>0.11700000000000001</v>
      </c>
      <c r="F182" s="2121">
        <v>0.13</v>
      </c>
    </row>
    <row r="183" spans="1:6" ht="14.25" thickBot="1">
      <c r="A183" s="1531" t="s">
        <v>1538</v>
      </c>
      <c r="B183" s="1525" t="s">
        <v>1444</v>
      </c>
      <c r="C183" s="2120">
        <v>0.127</v>
      </c>
      <c r="D183" s="2120">
        <v>0.127</v>
      </c>
      <c r="E183" s="2120">
        <v>0.128</v>
      </c>
      <c r="F183" s="2132"/>
    </row>
    <row r="184" spans="1:6" ht="14.25" thickBot="1">
      <c r="A184" s="1531" t="s">
        <v>1538</v>
      </c>
      <c r="B184" s="1525" t="s">
        <v>1451</v>
      </c>
      <c r="C184" s="2120">
        <v>0.125</v>
      </c>
      <c r="D184" s="2120">
        <v>0.125</v>
      </c>
      <c r="E184" s="2120">
        <v>0.127</v>
      </c>
      <c r="F184" s="2132"/>
    </row>
    <row r="185" spans="1:6" ht="14.25" thickBot="1">
      <c r="A185" s="1531" t="s">
        <v>1538</v>
      </c>
      <c r="B185" s="1525" t="s">
        <v>2183</v>
      </c>
      <c r="C185" s="2120">
        <v>0.127</v>
      </c>
      <c r="D185" s="2120">
        <v>0.127</v>
      </c>
      <c r="E185" s="2120">
        <v>0.128</v>
      </c>
      <c r="F185" s="2121">
        <v>0.13</v>
      </c>
    </row>
    <row r="186" spans="1:6" ht="24.75" thickBot="1">
      <c r="A186" s="1531" t="s">
        <v>1538</v>
      </c>
      <c r="B186" s="1525" t="s">
        <v>2184</v>
      </c>
      <c r="C186" s="2133"/>
      <c r="D186" s="2133"/>
      <c r="E186" s="2133"/>
      <c r="F186" s="2121">
        <v>0.05</v>
      </c>
    </row>
    <row r="187" spans="1:6" ht="14.25" thickBot="1">
      <c r="A187" s="1531" t="s">
        <v>1538</v>
      </c>
      <c r="B187" s="1525" t="s">
        <v>2185</v>
      </c>
      <c r="C187" s="2133"/>
      <c r="D187" s="2133"/>
      <c r="E187" s="2133"/>
      <c r="F187" s="2121">
        <v>0.05</v>
      </c>
    </row>
    <row r="188" spans="1:6" ht="14.25" thickBot="1">
      <c r="A188" s="1531" t="s">
        <v>1538</v>
      </c>
      <c r="B188" s="1525" t="s">
        <v>2186</v>
      </c>
      <c r="C188" s="2133"/>
      <c r="D188" s="2133"/>
      <c r="E188" s="2133"/>
      <c r="F188" s="2121">
        <v>0.05</v>
      </c>
    </row>
    <row r="189" spans="1:6" ht="24.75" thickBot="1">
      <c r="A189" s="1531" t="s">
        <v>1538</v>
      </c>
      <c r="B189" s="1525" t="s">
        <v>2187</v>
      </c>
      <c r="C189" s="2133"/>
      <c r="D189" s="2133"/>
      <c r="E189" s="2133"/>
      <c r="F189" s="2121">
        <v>0.05</v>
      </c>
    </row>
    <row r="190" spans="1:6" ht="24.75" thickBot="1">
      <c r="A190" s="1531" t="s">
        <v>1538</v>
      </c>
      <c r="B190" s="1525" t="s">
        <v>2188</v>
      </c>
      <c r="C190" s="2133"/>
      <c r="D190" s="2133"/>
      <c r="E190" s="2133"/>
      <c r="F190" s="2121">
        <v>0.05</v>
      </c>
    </row>
    <row r="191" spans="1:6" ht="24.75" thickBot="1">
      <c r="A191" s="1531" t="s">
        <v>1538</v>
      </c>
      <c r="B191" s="1525" t="s">
        <v>2189</v>
      </c>
      <c r="C191" s="2133"/>
      <c r="D191" s="2133"/>
      <c r="E191" s="2133"/>
      <c r="F191" s="2121">
        <v>0.05</v>
      </c>
    </row>
    <row r="192" spans="1:6" ht="24.75" thickBot="1">
      <c r="A192" s="1531" t="s">
        <v>1538</v>
      </c>
      <c r="B192" s="1525" t="s">
        <v>2190</v>
      </c>
      <c r="C192" s="2133"/>
      <c r="D192" s="2133"/>
      <c r="E192" s="2133"/>
      <c r="F192" s="2121">
        <v>0.05</v>
      </c>
    </row>
    <row r="193" spans="1:6" ht="24.75" thickBot="1">
      <c r="A193" s="1531" t="s">
        <v>1538</v>
      </c>
      <c r="B193" s="1525" t="s">
        <v>2191</v>
      </c>
      <c r="C193" s="2133"/>
      <c r="D193" s="2133"/>
      <c r="E193" s="2133"/>
      <c r="F193" s="2121">
        <v>0.05</v>
      </c>
    </row>
    <row r="194" spans="1:6" ht="24.75" thickBot="1">
      <c r="A194" s="1531" t="s">
        <v>1538</v>
      </c>
      <c r="B194" s="1525" t="s">
        <v>2192</v>
      </c>
      <c r="C194" s="2133"/>
      <c r="D194" s="2133"/>
      <c r="E194" s="2133"/>
      <c r="F194" s="2121">
        <v>0.05</v>
      </c>
    </row>
    <row r="195" spans="1:6" ht="14.25" thickBot="1">
      <c r="A195" s="1531" t="s">
        <v>1538</v>
      </c>
      <c r="B195" s="1525" t="s">
        <v>2193</v>
      </c>
      <c r="C195" s="2133"/>
      <c r="D195" s="2133"/>
      <c r="E195" s="2133"/>
      <c r="F195" s="2121">
        <v>0.05</v>
      </c>
    </row>
    <row r="196" spans="1:6" ht="24.75" thickBot="1">
      <c r="A196" s="1531" t="s">
        <v>1538</v>
      </c>
      <c r="B196" s="1525" t="s">
        <v>2194</v>
      </c>
      <c r="C196" s="2133"/>
      <c r="D196" s="2133"/>
      <c r="E196" s="2133"/>
      <c r="F196" s="2121">
        <v>0.05</v>
      </c>
    </row>
    <row r="197" spans="1:6" ht="24.75" thickBot="1">
      <c r="A197" s="1531" t="s">
        <v>1538</v>
      </c>
      <c r="B197" s="1525" t="s">
        <v>2195</v>
      </c>
      <c r="C197" s="2133"/>
      <c r="D197" s="2133"/>
      <c r="E197" s="2133"/>
      <c r="F197" s="2121">
        <v>0.05</v>
      </c>
    </row>
    <row r="198" spans="1:6" ht="24.75" thickBot="1">
      <c r="A198" s="1531" t="s">
        <v>1538</v>
      </c>
      <c r="B198" s="1525" t="s">
        <v>2196</v>
      </c>
      <c r="C198" s="2133"/>
      <c r="D198" s="2133"/>
      <c r="E198" s="2133"/>
      <c r="F198" s="2121">
        <v>0.05</v>
      </c>
    </row>
    <row r="199" spans="1:6" ht="24.75" thickBot="1">
      <c r="A199" s="1531" t="s">
        <v>1538</v>
      </c>
      <c r="B199" s="1525" t="s">
        <v>2197</v>
      </c>
      <c r="C199" s="2133"/>
      <c r="D199" s="2133"/>
      <c r="E199" s="2133"/>
      <c r="F199" s="2121">
        <v>0.05</v>
      </c>
    </row>
    <row r="200" spans="1:6" ht="24.75" thickBot="1">
      <c r="A200" s="1531" t="s">
        <v>1538</v>
      </c>
      <c r="B200" s="1525" t="s">
        <v>2198</v>
      </c>
      <c r="C200" s="2133"/>
      <c r="D200" s="2133"/>
      <c r="E200" s="2133"/>
      <c r="F200" s="2121">
        <v>0.05</v>
      </c>
    </row>
    <row r="201" spans="1:6" ht="24.75" thickBot="1">
      <c r="A201" s="1531" t="s">
        <v>1538</v>
      </c>
      <c r="B201" s="1525" t="s">
        <v>2199</v>
      </c>
      <c r="C201" s="2133"/>
      <c r="D201" s="2133"/>
      <c r="E201" s="2133"/>
      <c r="F201" s="2121">
        <v>0.05</v>
      </c>
    </row>
    <row r="202" spans="1:6" ht="24.75" thickBot="1">
      <c r="A202" s="1531" t="s">
        <v>1538</v>
      </c>
      <c r="B202" s="1525" t="s">
        <v>2200</v>
      </c>
      <c r="C202" s="2133"/>
      <c r="D202" s="2133"/>
      <c r="E202" s="2133"/>
      <c r="F202" s="2121">
        <v>0.05</v>
      </c>
    </row>
    <row r="203" spans="1:6" ht="24.75" thickBot="1">
      <c r="A203" s="1531" t="s">
        <v>1538</v>
      </c>
      <c r="B203" s="1525" t="s">
        <v>2201</v>
      </c>
      <c r="C203" s="2133"/>
      <c r="D203" s="2133"/>
      <c r="E203" s="2133"/>
      <c r="F203" s="2121">
        <v>0.05</v>
      </c>
    </row>
    <row r="204" spans="1:6" ht="14.25" thickBot="1">
      <c r="A204" s="1531" t="s">
        <v>1538</v>
      </c>
      <c r="B204" s="1525" t="s">
        <v>2202</v>
      </c>
      <c r="C204" s="2133"/>
      <c r="D204" s="2133"/>
      <c r="E204" s="2133"/>
      <c r="F204" s="2121">
        <v>0.05</v>
      </c>
    </row>
    <row r="205" spans="1:6" ht="14.25" thickBot="1">
      <c r="A205" s="1541" t="s">
        <v>1538</v>
      </c>
      <c r="B205" s="1537" t="s">
        <v>2203</v>
      </c>
      <c r="C205" s="2130"/>
      <c r="D205" s="2130"/>
      <c r="E205" s="2130"/>
      <c r="F205" s="2123">
        <v>0.05</v>
      </c>
    </row>
    <row r="206" spans="1:6" ht="14.25" thickBot="1">
      <c r="A206" s="1531" t="s">
        <v>1540</v>
      </c>
      <c r="B206" s="1532" t="s">
        <v>2204</v>
      </c>
      <c r="C206" s="2118">
        <v>0.15</v>
      </c>
      <c r="D206" s="2118">
        <v>0.15</v>
      </c>
      <c r="E206" s="2118">
        <v>0.15</v>
      </c>
      <c r="F206" s="2119">
        <v>0.15</v>
      </c>
    </row>
    <row r="207" spans="1:6" ht="14.25" thickBot="1">
      <c r="A207" s="1531" t="s">
        <v>1540</v>
      </c>
      <c r="B207" s="1525" t="s">
        <v>1206</v>
      </c>
      <c r="C207" s="2120">
        <v>0.15</v>
      </c>
      <c r="D207" s="2120">
        <v>0.15</v>
      </c>
      <c r="E207" s="2120">
        <v>0.15</v>
      </c>
      <c r="F207" s="2121">
        <v>0.14399999999999999</v>
      </c>
    </row>
    <row r="208" spans="1:6" ht="14.25" thickBot="1">
      <c r="A208" s="1531" t="s">
        <v>1540</v>
      </c>
      <c r="B208" s="1525" t="s">
        <v>1219</v>
      </c>
      <c r="C208" s="2120">
        <v>0.15</v>
      </c>
      <c r="D208" s="2120">
        <v>0.15</v>
      </c>
      <c r="E208" s="2120">
        <v>0.15</v>
      </c>
      <c r="F208" s="2121">
        <v>0.15</v>
      </c>
    </row>
    <row r="209" spans="1:6" ht="14.25" thickBot="1">
      <c r="A209" s="1531" t="s">
        <v>1540</v>
      </c>
      <c r="B209" s="1525" t="s">
        <v>1232</v>
      </c>
      <c r="C209" s="2120">
        <v>0.13700000000000001</v>
      </c>
      <c r="D209" s="2120">
        <v>0.13700000000000001</v>
      </c>
      <c r="E209" s="2120">
        <v>0.14000000000000001</v>
      </c>
      <c r="F209" s="2121">
        <v>0.11700000000000001</v>
      </c>
    </row>
    <row r="210" spans="1:6" ht="14.25" thickBot="1">
      <c r="A210" s="1531" t="s">
        <v>1540</v>
      </c>
      <c r="B210" s="1525" t="s">
        <v>2205</v>
      </c>
      <c r="C210" s="2120">
        <v>0.15</v>
      </c>
      <c r="D210" s="2120">
        <v>0.15</v>
      </c>
      <c r="E210" s="2120">
        <v>0.15</v>
      </c>
      <c r="F210" s="2121">
        <v>0.13800000000000001</v>
      </c>
    </row>
    <row r="211" spans="1:6" ht="14.25" thickBot="1">
      <c r="A211" s="1531" t="s">
        <v>1540</v>
      </c>
      <c r="B211" s="1525" t="s">
        <v>2206</v>
      </c>
      <c r="C211" s="2120">
        <v>0.13700000000000001</v>
      </c>
      <c r="D211" s="2120">
        <v>0.13500000000000001</v>
      </c>
      <c r="E211" s="2120">
        <v>0.13600000000000001</v>
      </c>
      <c r="F211" s="2121">
        <v>0.1</v>
      </c>
    </row>
    <row r="212" spans="1:6" ht="14.25" thickBot="1">
      <c r="A212" s="1531" t="s">
        <v>1540</v>
      </c>
      <c r="B212" s="1525" t="s">
        <v>2207</v>
      </c>
      <c r="C212" s="2120">
        <v>0.15</v>
      </c>
      <c r="D212" s="2120">
        <v>0.15</v>
      </c>
      <c r="E212" s="2120">
        <v>0.14799999999999999</v>
      </c>
      <c r="F212" s="2121">
        <v>0.13600000000000001</v>
      </c>
    </row>
    <row r="213" spans="1:6" ht="14.25" thickBot="1">
      <c r="A213" s="1531" t="s">
        <v>1540</v>
      </c>
      <c r="B213" s="1525" t="s">
        <v>1277</v>
      </c>
      <c r="C213" s="2120">
        <v>0.15</v>
      </c>
      <c r="D213" s="2120">
        <v>0.15</v>
      </c>
      <c r="E213" s="2120">
        <v>0.15</v>
      </c>
      <c r="F213" s="2121">
        <v>0.13800000000000001</v>
      </c>
    </row>
    <row r="214" spans="1:6" ht="14.25" thickBot="1">
      <c r="A214" s="1531" t="s">
        <v>1540</v>
      </c>
      <c r="B214" s="1525" t="s">
        <v>1289</v>
      </c>
      <c r="C214" s="2120">
        <v>9.0999999999999998E-2</v>
      </c>
      <c r="D214" s="2120">
        <v>0.09</v>
      </c>
      <c r="E214" s="2120">
        <v>9.1999999999999998E-2</v>
      </c>
      <c r="F214" s="2132"/>
    </row>
    <row r="215" spans="1:6" ht="14.25" thickBot="1">
      <c r="A215" s="1531" t="s">
        <v>1540</v>
      </c>
      <c r="B215" s="1525" t="s">
        <v>2208</v>
      </c>
      <c r="C215" s="2120">
        <v>0.15</v>
      </c>
      <c r="D215" s="2120">
        <v>0.15</v>
      </c>
      <c r="E215" s="2120">
        <v>0.15</v>
      </c>
      <c r="F215" s="2121">
        <v>0.15</v>
      </c>
    </row>
    <row r="216" spans="1:6" ht="14.25" thickBot="1">
      <c r="A216" s="1531" t="s">
        <v>1540</v>
      </c>
      <c r="B216" s="1525" t="s">
        <v>1309</v>
      </c>
      <c r="C216" s="2120">
        <v>0.14699999999999999</v>
      </c>
      <c r="D216" s="2120">
        <v>0.14699999999999999</v>
      </c>
      <c r="E216" s="2120">
        <v>0.15</v>
      </c>
      <c r="F216" s="2121">
        <v>0.14000000000000001</v>
      </c>
    </row>
    <row r="217" spans="1:6" ht="14.25" thickBot="1">
      <c r="A217" s="1531" t="s">
        <v>1540</v>
      </c>
      <c r="B217" s="1525" t="s">
        <v>1319</v>
      </c>
      <c r="C217" s="2120">
        <v>0.15</v>
      </c>
      <c r="D217" s="2120">
        <v>0.15</v>
      </c>
      <c r="E217" s="2120">
        <v>0.15</v>
      </c>
      <c r="F217" s="2121">
        <v>0.15</v>
      </c>
    </row>
    <row r="218" spans="1:6" ht="14.25" thickBot="1">
      <c r="A218" s="1531" t="s">
        <v>1540</v>
      </c>
      <c r="B218" s="1525" t="s">
        <v>2209</v>
      </c>
      <c r="C218" s="2120">
        <v>0.15</v>
      </c>
      <c r="D218" s="2120">
        <v>0.15</v>
      </c>
      <c r="E218" s="2120">
        <v>0.15</v>
      </c>
      <c r="F218" s="2121">
        <v>0.15</v>
      </c>
    </row>
    <row r="219" spans="1:6" ht="14.25" thickBot="1">
      <c r="A219" s="1531" t="s">
        <v>1540</v>
      </c>
      <c r="B219" s="1525" t="s">
        <v>1340</v>
      </c>
      <c r="C219" s="2120">
        <v>0.15</v>
      </c>
      <c r="D219" s="2120">
        <v>0.15</v>
      </c>
      <c r="E219" s="2120">
        <v>0.15</v>
      </c>
      <c r="F219" s="2121">
        <v>0.14799999999999999</v>
      </c>
    </row>
    <row r="220" spans="1:6" ht="14.25" thickBot="1">
      <c r="A220" s="1531" t="s">
        <v>1540</v>
      </c>
      <c r="B220" s="1525" t="s">
        <v>2210</v>
      </c>
      <c r="C220" s="2120">
        <v>0.15</v>
      </c>
      <c r="D220" s="2120">
        <v>0.15</v>
      </c>
      <c r="E220" s="2120">
        <v>0.15</v>
      </c>
      <c r="F220" s="2121">
        <v>0.15</v>
      </c>
    </row>
    <row r="221" spans="1:6" ht="14.25" thickBot="1">
      <c r="A221" s="1531" t="s">
        <v>1540</v>
      </c>
      <c r="B221" s="1525" t="s">
        <v>1361</v>
      </c>
      <c r="C221" s="2120"/>
      <c r="D221" s="2133"/>
      <c r="E221" s="2133"/>
      <c r="F221" s="2121">
        <v>0.14799999999999999</v>
      </c>
    </row>
    <row r="222" spans="1:6" ht="14.25" thickBot="1">
      <c r="A222" s="1531" t="s">
        <v>1540</v>
      </c>
      <c r="B222" s="1525" t="s">
        <v>1371</v>
      </c>
      <c r="C222" s="2120"/>
      <c r="D222" s="2133"/>
      <c r="E222" s="2133"/>
      <c r="F222" s="2121">
        <v>0.1</v>
      </c>
    </row>
    <row r="223" spans="1:6" ht="14.25" thickBot="1">
      <c r="A223" s="1531" t="s">
        <v>1540</v>
      </c>
      <c r="B223" s="1525" t="s">
        <v>1381</v>
      </c>
      <c r="C223" s="2120"/>
      <c r="D223" s="2133"/>
      <c r="E223" s="2133"/>
      <c r="F223" s="2121">
        <v>0.15</v>
      </c>
    </row>
    <row r="224" spans="1:6" ht="14.25" thickBot="1">
      <c r="A224" s="1531" t="s">
        <v>1540</v>
      </c>
      <c r="B224" s="1525" t="s">
        <v>1391</v>
      </c>
      <c r="C224" s="2120"/>
      <c r="D224" s="2133"/>
      <c r="E224" s="2133"/>
      <c r="F224" s="2121">
        <v>0.15</v>
      </c>
    </row>
    <row r="225" spans="1:6" ht="14.25" thickBot="1">
      <c r="A225" s="1531" t="s">
        <v>1540</v>
      </c>
      <c r="B225" s="1525" t="s">
        <v>2211</v>
      </c>
      <c r="C225" s="2120">
        <v>0.15</v>
      </c>
      <c r="D225" s="2120">
        <v>0.15</v>
      </c>
      <c r="E225" s="2120">
        <v>0.15</v>
      </c>
      <c r="F225" s="2121">
        <v>0.15</v>
      </c>
    </row>
    <row r="226" spans="1:6" ht="14.25" thickBot="1">
      <c r="A226" s="1531" t="s">
        <v>1540</v>
      </c>
      <c r="B226" s="1525" t="s">
        <v>1409</v>
      </c>
      <c r="C226" s="2120">
        <v>0.15</v>
      </c>
      <c r="D226" s="2120">
        <v>0.15</v>
      </c>
      <c r="E226" s="2120">
        <v>0.15</v>
      </c>
      <c r="F226" s="2121">
        <v>0.14799999999999999</v>
      </c>
    </row>
    <row r="227" spans="1:6" ht="14.25" thickBot="1">
      <c r="A227" s="1531" t="s">
        <v>1540</v>
      </c>
      <c r="B227" s="1525" t="s">
        <v>2212</v>
      </c>
      <c r="C227" s="2120">
        <v>0.15</v>
      </c>
      <c r="D227" s="2120">
        <v>0.15</v>
      </c>
      <c r="E227" s="2120">
        <v>0.15</v>
      </c>
      <c r="F227" s="2121">
        <v>0.15</v>
      </c>
    </row>
    <row r="228" spans="1:6" ht="14.25" thickBot="1">
      <c r="A228" s="1531" t="s">
        <v>1540</v>
      </c>
      <c r="B228" s="1525" t="s">
        <v>1424</v>
      </c>
      <c r="C228" s="2120">
        <v>0.15</v>
      </c>
      <c r="D228" s="2120">
        <v>0.15</v>
      </c>
      <c r="E228" s="2120">
        <v>0.15</v>
      </c>
      <c r="F228" s="2121">
        <v>0.15</v>
      </c>
    </row>
    <row r="229" spans="1:6" ht="14.25" thickBot="1">
      <c r="A229" s="1531" t="s">
        <v>1540</v>
      </c>
      <c r="B229" s="1525" t="s">
        <v>1431</v>
      </c>
      <c r="C229" s="2120">
        <v>0.15</v>
      </c>
      <c r="D229" s="2120">
        <v>0.15</v>
      </c>
      <c r="E229" s="2120">
        <v>0.15</v>
      </c>
      <c r="F229" s="2132"/>
    </row>
    <row r="230" spans="1:6" ht="14.25" thickBot="1">
      <c r="A230" s="1531" t="s">
        <v>1540</v>
      </c>
      <c r="B230" s="1525" t="s">
        <v>1438</v>
      </c>
      <c r="C230" s="2120">
        <v>0.14499999999999999</v>
      </c>
      <c r="D230" s="2120">
        <v>0.14499999999999999</v>
      </c>
      <c r="E230" s="2120">
        <v>0.14399999999999999</v>
      </c>
      <c r="F230" s="2132"/>
    </row>
    <row r="231" spans="1:6" ht="14.25" thickBot="1">
      <c r="A231" s="1531" t="s">
        <v>1540</v>
      </c>
      <c r="B231" s="1525" t="s">
        <v>2213</v>
      </c>
      <c r="C231" s="2120">
        <v>0.128</v>
      </c>
      <c r="D231" s="2120">
        <v>0.125</v>
      </c>
      <c r="E231" s="2120">
        <v>0.13200000000000001</v>
      </c>
      <c r="F231" s="2132"/>
    </row>
    <row r="232" spans="1:6" ht="14.25" thickBot="1">
      <c r="A232" s="1531" t="s">
        <v>1540</v>
      </c>
      <c r="B232" s="1525" t="s">
        <v>2214</v>
      </c>
      <c r="C232" s="2120">
        <v>0.14499999999999999</v>
      </c>
      <c r="D232" s="2120">
        <v>0.14399999999999999</v>
      </c>
      <c r="E232" s="2120">
        <v>0.14599999999999999</v>
      </c>
      <c r="F232" s="2121">
        <v>0.13800000000000001</v>
      </c>
    </row>
    <row r="233" spans="1:6" ht="14.25" thickBot="1">
      <c r="A233" s="1531" t="s">
        <v>1540</v>
      </c>
      <c r="B233" s="1525" t="s">
        <v>2215</v>
      </c>
      <c r="C233" s="2120">
        <v>0.14499999999999999</v>
      </c>
      <c r="D233" s="2120">
        <v>0.14299999999999999</v>
      </c>
      <c r="E233" s="2120">
        <v>0.14199999999999999</v>
      </c>
      <c r="F233" s="2132"/>
    </row>
    <row r="234" spans="1:6" ht="14.25" thickBot="1">
      <c r="A234" s="1531" t="s">
        <v>1540</v>
      </c>
      <c r="B234" s="1525" t="s">
        <v>2216</v>
      </c>
      <c r="C234" s="2120">
        <v>0.14000000000000001</v>
      </c>
      <c r="D234" s="2120">
        <v>0.14000000000000001</v>
      </c>
      <c r="E234" s="2120">
        <v>0.14399999999999999</v>
      </c>
      <c r="F234" s="2132"/>
    </row>
    <row r="235" spans="1:6" ht="14.25" thickBot="1">
      <c r="A235" s="1531" t="s">
        <v>1540</v>
      </c>
      <c r="B235" s="1525" t="s">
        <v>2217</v>
      </c>
      <c r="C235" s="2120">
        <v>0.14099999999999999</v>
      </c>
      <c r="D235" s="2120">
        <v>0.14199999999999999</v>
      </c>
      <c r="E235" s="2120">
        <v>0.14499999999999999</v>
      </c>
      <c r="F235" s="2121">
        <v>0.15</v>
      </c>
    </row>
    <row r="236" spans="1:6" ht="14.25" thickBot="1">
      <c r="A236" s="1531" t="s">
        <v>1540</v>
      </c>
      <c r="B236" s="1525" t="s">
        <v>1473</v>
      </c>
      <c r="C236" s="2133"/>
      <c r="D236" s="2133"/>
      <c r="E236" s="2133"/>
      <c r="F236" s="2121">
        <v>0.14299999999999999</v>
      </c>
    </row>
    <row r="237" spans="1:6" ht="24.75" thickBot="1">
      <c r="A237" s="1531" t="s">
        <v>1540</v>
      </c>
      <c r="B237" s="1525" t="s">
        <v>2218</v>
      </c>
      <c r="C237" s="2133"/>
      <c r="D237" s="2133"/>
      <c r="E237" s="2133"/>
      <c r="F237" s="2121">
        <v>0.05</v>
      </c>
    </row>
    <row r="238" spans="1:6" ht="24.75" thickBot="1">
      <c r="A238" s="1531" t="s">
        <v>1540</v>
      </c>
      <c r="B238" s="1525" t="s">
        <v>2219</v>
      </c>
      <c r="C238" s="2133"/>
      <c r="D238" s="2133"/>
      <c r="E238" s="2133"/>
      <c r="F238" s="2121">
        <v>0.05</v>
      </c>
    </row>
    <row r="239" spans="1:6" ht="24.75" thickBot="1">
      <c r="A239" s="1531" t="s">
        <v>1540</v>
      </c>
      <c r="B239" s="1525" t="s">
        <v>2220</v>
      </c>
      <c r="C239" s="2133"/>
      <c r="D239" s="2133"/>
      <c r="E239" s="2133"/>
      <c r="F239" s="2121">
        <v>0.05</v>
      </c>
    </row>
    <row r="240" spans="1:6" ht="24.75" thickBot="1">
      <c r="A240" s="1531" t="s">
        <v>1540</v>
      </c>
      <c r="B240" s="1525" t="s">
        <v>2221</v>
      </c>
      <c r="C240" s="2133"/>
      <c r="D240" s="2133"/>
      <c r="E240" s="2133"/>
      <c r="F240" s="2121">
        <v>0.05</v>
      </c>
    </row>
    <row r="241" spans="1:6" ht="24.75" thickBot="1">
      <c r="A241" s="1531" t="s">
        <v>1540</v>
      </c>
      <c r="B241" s="1525" t="s">
        <v>2222</v>
      </c>
      <c r="C241" s="2133"/>
      <c r="D241" s="2133"/>
      <c r="E241" s="2133"/>
      <c r="F241" s="2121">
        <v>0.05</v>
      </c>
    </row>
    <row r="242" spans="1:6" ht="24.75" thickBot="1">
      <c r="A242" s="1531" t="s">
        <v>1540</v>
      </c>
      <c r="B242" s="1525" t="s">
        <v>2223</v>
      </c>
      <c r="C242" s="2133"/>
      <c r="D242" s="2133"/>
      <c r="E242" s="2133"/>
      <c r="F242" s="2121">
        <v>0.05</v>
      </c>
    </row>
    <row r="243" spans="1:6" ht="24.75" thickBot="1">
      <c r="A243" s="1531" t="s">
        <v>1540</v>
      </c>
      <c r="B243" s="1525" t="s">
        <v>2224</v>
      </c>
      <c r="C243" s="2133"/>
      <c r="D243" s="2133"/>
      <c r="E243" s="2133"/>
      <c r="F243" s="2121">
        <v>0.05</v>
      </c>
    </row>
    <row r="244" spans="1:6" ht="24.75" thickBot="1">
      <c r="A244" s="1541" t="s">
        <v>1540</v>
      </c>
      <c r="B244" s="1537" t="s">
        <v>2225</v>
      </c>
      <c r="C244" s="2130"/>
      <c r="D244" s="2130"/>
      <c r="E244" s="2130"/>
      <c r="F244" s="2123">
        <v>0.05</v>
      </c>
    </row>
    <row r="245" spans="1:6" ht="14.25" thickBot="1">
      <c r="A245" s="1531" t="s">
        <v>1542</v>
      </c>
      <c r="B245" s="1532" t="s">
        <v>2226</v>
      </c>
      <c r="C245" s="2118">
        <v>0.15</v>
      </c>
      <c r="D245" s="2118">
        <v>0.15</v>
      </c>
      <c r="E245" s="2118">
        <v>0.15</v>
      </c>
      <c r="F245" s="2119">
        <v>0.14299999999999999</v>
      </c>
    </row>
    <row r="246" spans="1:6" ht="14.25" thickBot="1">
      <c r="A246" s="1531" t="s">
        <v>1542</v>
      </c>
      <c r="B246" s="1525" t="s">
        <v>1207</v>
      </c>
      <c r="C246" s="2120">
        <v>0.15</v>
      </c>
      <c r="D246" s="2120">
        <v>0.15</v>
      </c>
      <c r="E246" s="2120">
        <v>0.15</v>
      </c>
      <c r="F246" s="2121">
        <v>0.114</v>
      </c>
    </row>
    <row r="247" spans="1:6" ht="14.25" thickBot="1">
      <c r="A247" s="1531" t="s">
        <v>1542</v>
      </c>
      <c r="B247" s="1525" t="s">
        <v>2227</v>
      </c>
      <c r="C247" s="2120">
        <v>0.15</v>
      </c>
      <c r="D247" s="2120">
        <v>0.15</v>
      </c>
      <c r="E247" s="2120">
        <v>0.15</v>
      </c>
      <c r="F247" s="2121">
        <v>0.15</v>
      </c>
    </row>
    <row r="248" spans="1:6" ht="14.25" thickBot="1">
      <c r="A248" s="1531" t="s">
        <v>1542</v>
      </c>
      <c r="B248" s="1525" t="s">
        <v>2228</v>
      </c>
      <c r="C248" s="2120">
        <v>0.15</v>
      </c>
      <c r="D248" s="2120">
        <v>0.15</v>
      </c>
      <c r="E248" s="2120">
        <v>0.15</v>
      </c>
      <c r="F248" s="2121">
        <v>0.14000000000000001</v>
      </c>
    </row>
    <row r="249" spans="1:6" ht="14.25" thickBot="1">
      <c r="A249" s="1531" t="s">
        <v>1542</v>
      </c>
      <c r="B249" s="1525" t="s">
        <v>2229</v>
      </c>
      <c r="C249" s="2120">
        <v>0.15</v>
      </c>
      <c r="D249" s="2120">
        <v>0.14899999999999999</v>
      </c>
      <c r="E249" s="2120">
        <v>0.15</v>
      </c>
      <c r="F249" s="2121">
        <v>0.1</v>
      </c>
    </row>
    <row r="250" spans="1:6" ht="14.25" thickBot="1">
      <c r="A250" s="1531" t="s">
        <v>1542</v>
      </c>
      <c r="B250" s="1525" t="s">
        <v>2230</v>
      </c>
      <c r="C250" s="2120">
        <v>0.15</v>
      </c>
      <c r="D250" s="2120">
        <v>0.15</v>
      </c>
      <c r="E250" s="2120">
        <v>0.15</v>
      </c>
      <c r="F250" s="2121">
        <v>0.14399999999999999</v>
      </c>
    </row>
    <row r="251" spans="1:6" ht="14.25" thickBot="1">
      <c r="A251" s="1531" t="s">
        <v>1542</v>
      </c>
      <c r="B251" s="1525" t="s">
        <v>1267</v>
      </c>
      <c r="C251" s="2120">
        <v>0.15</v>
      </c>
      <c r="D251" s="2120">
        <v>0.15</v>
      </c>
      <c r="E251" s="2120">
        <v>0.15</v>
      </c>
      <c r="F251" s="2121">
        <v>0.14299999999999999</v>
      </c>
    </row>
    <row r="252" spans="1:6" ht="14.25" thickBot="1">
      <c r="A252" s="1531" t="s">
        <v>1542</v>
      </c>
      <c r="B252" s="1525" t="s">
        <v>1278</v>
      </c>
      <c r="C252" s="2120">
        <v>0.15</v>
      </c>
      <c r="D252" s="2120">
        <v>0.15</v>
      </c>
      <c r="E252" s="2120">
        <v>0.15</v>
      </c>
      <c r="F252" s="2121">
        <v>0.1</v>
      </c>
    </row>
    <row r="253" spans="1:6" ht="14.25" thickBot="1">
      <c r="A253" s="1531" t="s">
        <v>1542</v>
      </c>
      <c r="B253" s="1525" t="s">
        <v>1290</v>
      </c>
      <c r="C253" s="2120">
        <v>0.15</v>
      </c>
      <c r="D253" s="2120">
        <v>0.15</v>
      </c>
      <c r="E253" s="2120">
        <v>0.15</v>
      </c>
      <c r="F253" s="2121">
        <v>0.1</v>
      </c>
    </row>
    <row r="254" spans="1:6" ht="14.25" thickBot="1">
      <c r="A254" s="1531" t="s">
        <v>1542</v>
      </c>
      <c r="B254" s="1525" t="s">
        <v>1300</v>
      </c>
      <c r="C254" s="2133"/>
      <c r="D254" s="2133"/>
      <c r="E254" s="2133"/>
      <c r="F254" s="2121">
        <v>0.15</v>
      </c>
    </row>
    <row r="255" spans="1:6" ht="14.25" thickBot="1">
      <c r="A255" s="1531" t="s">
        <v>1542</v>
      </c>
      <c r="B255" s="1525" t="s">
        <v>1310</v>
      </c>
      <c r="C255" s="2133"/>
      <c r="D255" s="2133"/>
      <c r="E255" s="2133"/>
      <c r="F255" s="2121">
        <v>0.14299999999999999</v>
      </c>
    </row>
    <row r="256" spans="1:6" ht="14.25" thickBot="1">
      <c r="A256" s="1531" t="s">
        <v>1542</v>
      </c>
      <c r="B256" s="1525" t="s">
        <v>2231</v>
      </c>
      <c r="C256" s="2120">
        <v>0.14599999999999999</v>
      </c>
      <c r="D256" s="2120">
        <v>0.14699999999999999</v>
      </c>
      <c r="E256" s="2120">
        <v>0.15</v>
      </c>
      <c r="F256" s="2121">
        <v>0.13200000000000001</v>
      </c>
    </row>
    <row r="257" spans="1:6" ht="14.25" thickBot="1">
      <c r="A257" s="1531" t="s">
        <v>1542</v>
      </c>
      <c r="B257" s="1525" t="s">
        <v>1330</v>
      </c>
      <c r="C257" s="2120">
        <v>0.15</v>
      </c>
      <c r="D257" s="2120">
        <v>0.15</v>
      </c>
      <c r="E257" s="2120">
        <v>0.15</v>
      </c>
      <c r="F257" s="2121">
        <v>0.13900000000000001</v>
      </c>
    </row>
    <row r="258" spans="1:6" ht="14.25" thickBot="1">
      <c r="A258" s="1531" t="s">
        <v>1542</v>
      </c>
      <c r="B258" s="1525" t="s">
        <v>1341</v>
      </c>
      <c r="C258" s="2120">
        <v>0.15</v>
      </c>
      <c r="D258" s="2120">
        <v>0.15</v>
      </c>
      <c r="E258" s="2120">
        <v>0.15</v>
      </c>
      <c r="F258" s="2121">
        <v>0.13</v>
      </c>
    </row>
    <row r="259" spans="1:6" ht="14.25" thickBot="1">
      <c r="A259" s="1531" t="s">
        <v>1542</v>
      </c>
      <c r="B259" s="1525" t="s">
        <v>2232</v>
      </c>
      <c r="C259" s="2120">
        <v>0.14799999999999999</v>
      </c>
      <c r="D259" s="2120">
        <v>0.14899999999999999</v>
      </c>
      <c r="E259" s="2120">
        <v>0.15</v>
      </c>
      <c r="F259" s="2121">
        <v>0.13700000000000001</v>
      </c>
    </row>
    <row r="260" spans="1:6" ht="14.25" thickBot="1">
      <c r="A260" s="1531" t="s">
        <v>1542</v>
      </c>
      <c r="B260" s="1525" t="s">
        <v>1362</v>
      </c>
      <c r="C260" s="2120">
        <v>0.15</v>
      </c>
      <c r="D260" s="2120">
        <v>0.15</v>
      </c>
      <c r="E260" s="2120">
        <v>0.15</v>
      </c>
      <c r="F260" s="2121">
        <v>0.14199999999999999</v>
      </c>
    </row>
    <row r="261" spans="1:6" ht="14.25" thickBot="1">
      <c r="A261" s="1531" t="s">
        <v>1542</v>
      </c>
      <c r="B261" s="1525" t="s">
        <v>1372</v>
      </c>
      <c r="C261" s="2120">
        <v>0.15</v>
      </c>
      <c r="D261" s="2120">
        <v>0.15</v>
      </c>
      <c r="E261" s="2120">
        <v>0.14899999999999999</v>
      </c>
      <c r="F261" s="2121">
        <v>0.14799999999999999</v>
      </c>
    </row>
    <row r="262" spans="1:6" ht="14.25" thickBot="1">
      <c r="A262" s="1531" t="s">
        <v>1542</v>
      </c>
      <c r="B262" s="1525" t="s">
        <v>1382</v>
      </c>
      <c r="C262" s="2120">
        <v>0.15</v>
      </c>
      <c r="D262" s="2120">
        <v>0.15</v>
      </c>
      <c r="E262" s="2120">
        <v>0.15</v>
      </c>
      <c r="F262" s="2132"/>
    </row>
    <row r="263" spans="1:6" ht="14.25" thickBot="1">
      <c r="A263" s="1531" t="s">
        <v>1542</v>
      </c>
      <c r="B263" s="1525" t="s">
        <v>2233</v>
      </c>
      <c r="C263" s="2120">
        <v>0.14899999999999999</v>
      </c>
      <c r="D263" s="2120">
        <v>0.14899999999999999</v>
      </c>
      <c r="E263" s="2120">
        <v>0.15</v>
      </c>
      <c r="F263" s="2121">
        <v>0.13</v>
      </c>
    </row>
    <row r="264" spans="1:6" ht="14.25" thickBot="1">
      <c r="A264" s="1531" t="s">
        <v>1542</v>
      </c>
      <c r="B264" s="1525" t="s">
        <v>1401</v>
      </c>
      <c r="C264" s="2120">
        <v>0.14799999999999999</v>
      </c>
      <c r="D264" s="2120">
        <v>0.14699999999999999</v>
      </c>
      <c r="E264" s="2120">
        <v>0.15</v>
      </c>
      <c r="F264" s="2121">
        <v>7.8E-2</v>
      </c>
    </row>
    <row r="265" spans="1:6" ht="14.25" thickBot="1">
      <c r="A265" s="1531" t="s">
        <v>1542</v>
      </c>
      <c r="B265" s="1525" t="s">
        <v>1410</v>
      </c>
      <c r="C265" s="2120">
        <v>0.15</v>
      </c>
      <c r="D265" s="2120">
        <v>0.15</v>
      </c>
      <c r="E265" s="2120">
        <v>0.15</v>
      </c>
      <c r="F265" s="2121">
        <v>7.3999999999999996E-2</v>
      </c>
    </row>
    <row r="266" spans="1:6" ht="14.25" thickBot="1">
      <c r="A266" s="1531" t="s">
        <v>1542</v>
      </c>
      <c r="B266" s="1525" t="s">
        <v>1418</v>
      </c>
      <c r="C266" s="2120">
        <v>0.14699999999999999</v>
      </c>
      <c r="D266" s="2120">
        <v>0.14699999999999999</v>
      </c>
      <c r="E266" s="2120">
        <v>0.15</v>
      </c>
      <c r="F266" s="2121">
        <v>0.14299999999999999</v>
      </c>
    </row>
    <row r="267" spans="1:6" ht="14.25" thickBot="1">
      <c r="A267" s="1531" t="s">
        <v>1542</v>
      </c>
      <c r="B267" s="1525" t="s">
        <v>1425</v>
      </c>
      <c r="C267" s="2120">
        <v>0.14199999999999999</v>
      </c>
      <c r="D267" s="2120">
        <v>0.14299999999999999</v>
      </c>
      <c r="E267" s="2120">
        <v>0.15</v>
      </c>
      <c r="F267" s="2132"/>
    </row>
    <row r="268" spans="1:6" ht="14.25" thickBot="1">
      <c r="A268" s="1531" t="s">
        <v>1542</v>
      </c>
      <c r="B268" s="1525" t="s">
        <v>2234</v>
      </c>
      <c r="C268" s="2120">
        <v>0.15</v>
      </c>
      <c r="D268" s="2120">
        <v>0.15</v>
      </c>
      <c r="E268" s="2120">
        <v>0.15</v>
      </c>
      <c r="F268" s="2121">
        <v>0.13</v>
      </c>
    </row>
    <row r="269" spans="1:6" ht="14.25" thickBot="1">
      <c r="A269" s="1531" t="s">
        <v>1542</v>
      </c>
      <c r="B269" s="1525" t="s">
        <v>1439</v>
      </c>
      <c r="C269" s="2120">
        <v>0.15</v>
      </c>
      <c r="D269" s="2120">
        <v>0.15</v>
      </c>
      <c r="E269" s="2120">
        <v>0.15</v>
      </c>
      <c r="F269" s="2121">
        <v>0.14299999999999999</v>
      </c>
    </row>
    <row r="270" spans="1:6" ht="14.25" thickBot="1">
      <c r="A270" s="1531" t="s">
        <v>1542</v>
      </c>
      <c r="B270" s="1525" t="s">
        <v>1446</v>
      </c>
      <c r="C270" s="2120">
        <v>0.14499999999999999</v>
      </c>
      <c r="D270" s="2120">
        <v>0.14499999999999999</v>
      </c>
      <c r="E270" s="2120">
        <v>0.15</v>
      </c>
      <c r="F270" s="2121">
        <v>0.14699999999999999</v>
      </c>
    </row>
    <row r="271" spans="1:6" ht="14.25" thickBot="1">
      <c r="A271" s="1531" t="s">
        <v>1542</v>
      </c>
      <c r="B271" s="1525" t="s">
        <v>1453</v>
      </c>
      <c r="C271" s="2120">
        <v>0.15</v>
      </c>
      <c r="D271" s="2120">
        <v>0.15</v>
      </c>
      <c r="E271" s="2120">
        <v>0.15</v>
      </c>
      <c r="F271" s="2121">
        <v>0.13800000000000001</v>
      </c>
    </row>
    <row r="272" spans="1:6" ht="14.25" thickBot="1">
      <c r="A272" s="1531" t="s">
        <v>1542</v>
      </c>
      <c r="B272" s="1525" t="s">
        <v>1460</v>
      </c>
      <c r="C272" s="2133"/>
      <c r="D272" s="2133"/>
      <c r="E272" s="2133"/>
      <c r="F272" s="2121">
        <v>0.14000000000000001</v>
      </c>
    </row>
    <row r="273" spans="1:6" ht="14.25" thickBot="1">
      <c r="A273" s="1531" t="s">
        <v>1542</v>
      </c>
      <c r="B273" s="1525" t="s">
        <v>2235</v>
      </c>
      <c r="C273" s="2120">
        <v>0.14199999999999999</v>
      </c>
      <c r="D273" s="2120">
        <v>0.14299999999999999</v>
      </c>
      <c r="E273" s="2120">
        <v>0.15</v>
      </c>
      <c r="F273" s="2121">
        <v>0.1</v>
      </c>
    </row>
    <row r="274" spans="1:6" ht="14.25" thickBot="1">
      <c r="A274" s="1531" t="s">
        <v>1542</v>
      </c>
      <c r="B274" s="1525" t="s">
        <v>2236</v>
      </c>
      <c r="C274" s="2120">
        <v>0.14799999999999999</v>
      </c>
      <c r="D274" s="2120">
        <v>0.14799999999999999</v>
      </c>
      <c r="E274" s="2120">
        <v>0.15</v>
      </c>
      <c r="F274" s="2121">
        <v>6.7000000000000004E-2</v>
      </c>
    </row>
    <row r="275" spans="1:6" ht="14.25" thickBot="1">
      <c r="A275" s="1531" t="s">
        <v>1542</v>
      </c>
      <c r="B275" s="1525" t="s">
        <v>2237</v>
      </c>
      <c r="C275" s="2120">
        <v>0.15</v>
      </c>
      <c r="D275" s="2120">
        <v>0.15</v>
      </c>
      <c r="E275" s="2120">
        <v>0.15</v>
      </c>
      <c r="F275" s="2121">
        <v>0.15</v>
      </c>
    </row>
    <row r="276" spans="1:6" ht="14.25" thickBot="1">
      <c r="A276" s="1531" t="s">
        <v>1542</v>
      </c>
      <c r="B276" s="1525" t="s">
        <v>2238</v>
      </c>
      <c r="C276" s="2120">
        <v>0.14499999999999999</v>
      </c>
      <c r="D276" s="2120">
        <v>0.14299999999999999</v>
      </c>
      <c r="E276" s="2120">
        <v>0.15</v>
      </c>
      <c r="F276" s="2121">
        <v>5.8999999999999997E-2</v>
      </c>
    </row>
    <row r="277" spans="1:6" ht="14.25" thickBot="1">
      <c r="A277" s="1531" t="s">
        <v>1542</v>
      </c>
      <c r="B277" s="1525" t="s">
        <v>2239</v>
      </c>
      <c r="C277" s="2120">
        <v>0.15</v>
      </c>
      <c r="D277" s="2120">
        <v>0.15</v>
      </c>
      <c r="E277" s="2120">
        <v>0.15</v>
      </c>
      <c r="F277" s="2121">
        <v>0.121</v>
      </c>
    </row>
    <row r="278" spans="1:6" ht="14.25" thickBot="1">
      <c r="A278" s="1531" t="s">
        <v>1542</v>
      </c>
      <c r="B278" s="1525" t="s">
        <v>2240</v>
      </c>
      <c r="C278" s="2120">
        <v>0.15</v>
      </c>
      <c r="D278" s="2120">
        <v>0.15</v>
      </c>
      <c r="E278" s="2120">
        <v>0.15</v>
      </c>
      <c r="F278" s="2121">
        <v>0.13800000000000001</v>
      </c>
    </row>
    <row r="279" spans="1:6" ht="24.75" thickBot="1">
      <c r="A279" s="1531" t="s">
        <v>1542</v>
      </c>
      <c r="B279" s="1525" t="s">
        <v>2241</v>
      </c>
      <c r="C279" s="2133"/>
      <c r="D279" s="2133"/>
      <c r="E279" s="2133"/>
      <c r="F279" s="2121">
        <v>0.05</v>
      </c>
    </row>
    <row r="280" spans="1:6" ht="24.75" thickBot="1">
      <c r="A280" s="1531" t="s">
        <v>1542</v>
      </c>
      <c r="B280" s="1525" t="s">
        <v>2242</v>
      </c>
      <c r="C280" s="2133"/>
      <c r="D280" s="2133"/>
      <c r="E280" s="2133"/>
      <c r="F280" s="2121">
        <v>0.05</v>
      </c>
    </row>
    <row r="281" spans="1:6" ht="24.75" thickBot="1">
      <c r="A281" s="1531" t="s">
        <v>1542</v>
      </c>
      <c r="B281" s="1525" t="s">
        <v>2243</v>
      </c>
      <c r="C281" s="2133"/>
      <c r="D281" s="2133"/>
      <c r="E281" s="2133"/>
      <c r="F281" s="2121">
        <v>0.05</v>
      </c>
    </row>
    <row r="282" spans="1:6" ht="24.75" thickBot="1">
      <c r="A282" s="1531" t="s">
        <v>1542</v>
      </c>
      <c r="B282" s="1525" t="s">
        <v>2244</v>
      </c>
      <c r="C282" s="2133"/>
      <c r="D282" s="2133"/>
      <c r="E282" s="2133"/>
      <c r="F282" s="2121">
        <v>0.05</v>
      </c>
    </row>
    <row r="283" spans="1:6" ht="24.75" thickBot="1">
      <c r="A283" s="1531" t="s">
        <v>1542</v>
      </c>
      <c r="B283" s="1525" t="s">
        <v>2245</v>
      </c>
      <c r="C283" s="2133"/>
      <c r="D283" s="2133"/>
      <c r="E283" s="2133"/>
      <c r="F283" s="2121">
        <v>0.05</v>
      </c>
    </row>
    <row r="284" spans="1:6" ht="24.75" thickBot="1">
      <c r="A284" s="1531" t="s">
        <v>1542</v>
      </c>
      <c r="B284" s="1525" t="s">
        <v>2246</v>
      </c>
      <c r="C284" s="2133"/>
      <c r="D284" s="2133"/>
      <c r="E284" s="2133"/>
      <c r="F284" s="2121">
        <v>0.05</v>
      </c>
    </row>
    <row r="285" spans="1:6" ht="24.75" thickBot="1">
      <c r="A285" s="1531" t="s">
        <v>1542</v>
      </c>
      <c r="B285" s="1525" t="s">
        <v>2247</v>
      </c>
      <c r="C285" s="2133"/>
      <c r="D285" s="2133"/>
      <c r="E285" s="2133"/>
      <c r="F285" s="2121">
        <v>0.05</v>
      </c>
    </row>
    <row r="286" spans="1:6" ht="24.75" thickBot="1">
      <c r="A286" s="1531" t="s">
        <v>1542</v>
      </c>
      <c r="B286" s="1525" t="s">
        <v>2248</v>
      </c>
      <c r="C286" s="2133"/>
      <c r="D286" s="2133"/>
      <c r="E286" s="2133"/>
      <c r="F286" s="2121">
        <v>0.05</v>
      </c>
    </row>
    <row r="287" spans="1:6" ht="24.75" thickBot="1">
      <c r="A287" s="1531" t="s">
        <v>1542</v>
      </c>
      <c r="B287" s="1525" t="s">
        <v>2249</v>
      </c>
      <c r="C287" s="2133"/>
      <c r="D287" s="2133"/>
      <c r="E287" s="2133"/>
      <c r="F287" s="2121">
        <v>0.05</v>
      </c>
    </row>
    <row r="288" spans="1:6" ht="24.75" thickBot="1">
      <c r="A288" s="1531" t="s">
        <v>1542</v>
      </c>
      <c r="B288" s="1525" t="s">
        <v>2250</v>
      </c>
      <c r="C288" s="2133"/>
      <c r="D288" s="2133"/>
      <c r="E288" s="2133"/>
      <c r="F288" s="2121">
        <v>0.05</v>
      </c>
    </row>
    <row r="289" spans="1:6" ht="24.75" thickBot="1">
      <c r="A289" s="1541" t="s">
        <v>1542</v>
      </c>
      <c r="B289" s="1537" t="s">
        <v>2251</v>
      </c>
      <c r="C289" s="2130"/>
      <c r="D289" s="2130"/>
      <c r="E289" s="2130"/>
      <c r="F289" s="2123">
        <v>0.05</v>
      </c>
    </row>
    <row r="290" spans="1:6" ht="14.25" thickBot="1">
      <c r="A290" s="1531" t="s">
        <v>1546</v>
      </c>
      <c r="B290" s="1532" t="s">
        <v>2252</v>
      </c>
      <c r="C290" s="2118">
        <v>0.15</v>
      </c>
      <c r="D290" s="2118">
        <v>0.15</v>
      </c>
      <c r="E290" s="2118">
        <v>0.15</v>
      </c>
      <c r="F290" s="2135"/>
    </row>
    <row r="291" spans="1:6" ht="14.25" thickBot="1">
      <c r="A291" s="1531" t="s">
        <v>1546</v>
      </c>
      <c r="B291" s="1525" t="s">
        <v>1208</v>
      </c>
      <c r="C291" s="2120">
        <v>0.15</v>
      </c>
      <c r="D291" s="2120">
        <v>0.15</v>
      </c>
      <c r="E291" s="2120">
        <v>0.15</v>
      </c>
      <c r="F291" s="2132"/>
    </row>
    <row r="292" spans="1:6" ht="14.25" thickBot="1">
      <c r="A292" s="1531" t="s">
        <v>1546</v>
      </c>
      <c r="B292" s="1525" t="s">
        <v>2253</v>
      </c>
      <c r="C292" s="2120">
        <v>0.15</v>
      </c>
      <c r="D292" s="2120">
        <v>0.15</v>
      </c>
      <c r="E292" s="2120">
        <v>0.15</v>
      </c>
      <c r="F292" s="2121">
        <v>0.14699999999999999</v>
      </c>
    </row>
    <row r="293" spans="1:6" ht="14.25" thickBot="1">
      <c r="A293" s="1531" t="s">
        <v>1546</v>
      </c>
      <c r="B293" s="1525" t="s">
        <v>2254</v>
      </c>
      <c r="C293" s="2133"/>
      <c r="D293" s="2133"/>
      <c r="E293" s="2133"/>
      <c r="F293" s="2121">
        <v>0.1</v>
      </c>
    </row>
    <row r="294" spans="1:6" ht="14.25" thickBot="1">
      <c r="A294" s="1531" t="s">
        <v>1546</v>
      </c>
      <c r="B294" s="1525" t="s">
        <v>2255</v>
      </c>
      <c r="C294" s="2120">
        <v>0.15</v>
      </c>
      <c r="D294" s="2120">
        <v>0.15</v>
      </c>
      <c r="E294" s="2120">
        <v>0.15</v>
      </c>
      <c r="F294" s="2121">
        <v>0.15</v>
      </c>
    </row>
    <row r="295" spans="1:6" ht="14.25" thickBot="1">
      <c r="A295" s="1531" t="s">
        <v>1546</v>
      </c>
      <c r="B295" s="1525" t="s">
        <v>1246</v>
      </c>
      <c r="C295" s="2120">
        <v>0.15</v>
      </c>
      <c r="D295" s="2120">
        <v>0.15</v>
      </c>
      <c r="E295" s="2120">
        <v>0.15</v>
      </c>
      <c r="F295" s="2121">
        <v>0.15</v>
      </c>
    </row>
    <row r="296" spans="1:6" ht="14.25" thickBot="1">
      <c r="A296" s="1531" t="s">
        <v>1546</v>
      </c>
      <c r="B296" s="1525" t="s">
        <v>2256</v>
      </c>
      <c r="C296" s="2120">
        <v>0.15</v>
      </c>
      <c r="D296" s="2120">
        <v>0.15</v>
      </c>
      <c r="E296" s="2120">
        <v>0.15</v>
      </c>
      <c r="F296" s="2121">
        <v>0.15</v>
      </c>
    </row>
    <row r="297" spans="1:6" ht="14.25" thickBot="1">
      <c r="A297" s="1531" t="s">
        <v>1546</v>
      </c>
      <c r="B297" s="1525" t="s">
        <v>2257</v>
      </c>
      <c r="C297" s="2120">
        <v>0.14799999999999999</v>
      </c>
      <c r="D297" s="2120">
        <v>0.14899999999999999</v>
      </c>
      <c r="E297" s="2120">
        <v>0.15</v>
      </c>
      <c r="F297" s="2121">
        <v>0.13700000000000001</v>
      </c>
    </row>
    <row r="298" spans="1:6" ht="14.25" thickBot="1">
      <c r="A298" s="1531" t="s">
        <v>1546</v>
      </c>
      <c r="B298" s="1525" t="s">
        <v>1279</v>
      </c>
      <c r="C298" s="2120">
        <v>0.13400000000000001</v>
      </c>
      <c r="D298" s="2120">
        <v>0.13400000000000001</v>
      </c>
      <c r="E298" s="2120">
        <v>0.14499999999999999</v>
      </c>
      <c r="F298" s="2121">
        <v>0.14799999999999999</v>
      </c>
    </row>
    <row r="299" spans="1:6" ht="14.25" thickBot="1">
      <c r="A299" s="1531" t="s">
        <v>1546</v>
      </c>
      <c r="B299" s="1525" t="s">
        <v>1291</v>
      </c>
      <c r="C299" s="2120">
        <v>0.15</v>
      </c>
      <c r="D299" s="2120">
        <v>0.15</v>
      </c>
      <c r="E299" s="2120">
        <v>0.15</v>
      </c>
      <c r="F299" s="2132"/>
    </row>
    <row r="300" spans="1:6" ht="14.25" thickBot="1">
      <c r="A300" s="1531" t="s">
        <v>1546</v>
      </c>
      <c r="B300" s="1525" t="s">
        <v>2258</v>
      </c>
      <c r="C300" s="2120">
        <v>0.15</v>
      </c>
      <c r="D300" s="2120">
        <v>0.15</v>
      </c>
      <c r="E300" s="2120">
        <v>0.15</v>
      </c>
      <c r="F300" s="2121">
        <v>0.15</v>
      </c>
    </row>
    <row r="301" spans="1:6" ht="14.25" thickBot="1">
      <c r="A301" s="1531" t="s">
        <v>1546</v>
      </c>
      <c r="B301" s="1525" t="s">
        <v>1311</v>
      </c>
      <c r="C301" s="2120">
        <v>0.15</v>
      </c>
      <c r="D301" s="2120">
        <v>0.15</v>
      </c>
      <c r="E301" s="2120">
        <v>0.15</v>
      </c>
      <c r="F301" s="2132"/>
    </row>
    <row r="302" spans="1:6" ht="14.25" thickBot="1">
      <c r="A302" s="1531" t="s">
        <v>1546</v>
      </c>
      <c r="B302" s="1525" t="s">
        <v>2259</v>
      </c>
      <c r="C302" s="2120">
        <v>0.15</v>
      </c>
      <c r="D302" s="2120">
        <v>0.15</v>
      </c>
      <c r="E302" s="2120">
        <v>0.15</v>
      </c>
      <c r="F302" s="2121">
        <v>0.15</v>
      </c>
    </row>
    <row r="303" spans="1:6" ht="14.25" thickBot="1">
      <c r="A303" s="1531" t="s">
        <v>1546</v>
      </c>
      <c r="B303" s="1525" t="s">
        <v>1331</v>
      </c>
      <c r="C303" s="2120">
        <v>0.15</v>
      </c>
      <c r="D303" s="2120">
        <v>0.15</v>
      </c>
      <c r="E303" s="2120">
        <v>0.15</v>
      </c>
      <c r="F303" s="2121">
        <v>0.15</v>
      </c>
    </row>
    <row r="304" spans="1:6" ht="14.25" thickBot="1">
      <c r="A304" s="1531" t="s">
        <v>1546</v>
      </c>
      <c r="B304" s="1525" t="s">
        <v>1342</v>
      </c>
      <c r="C304" s="2120">
        <v>0.15</v>
      </c>
      <c r="D304" s="2120">
        <v>0.15</v>
      </c>
      <c r="E304" s="2120">
        <v>0.15</v>
      </c>
      <c r="F304" s="2132"/>
    </row>
    <row r="305" spans="1:6" ht="14.25" thickBot="1">
      <c r="A305" s="1531" t="s">
        <v>1546</v>
      </c>
      <c r="B305" s="1525" t="s">
        <v>2260</v>
      </c>
      <c r="C305" s="2120">
        <v>0.15</v>
      </c>
      <c r="D305" s="2120">
        <v>0.15</v>
      </c>
      <c r="E305" s="2120">
        <v>0.15</v>
      </c>
      <c r="F305" s="2121">
        <v>0.14000000000000001</v>
      </c>
    </row>
    <row r="306" spans="1:6" ht="14.25" thickBot="1">
      <c r="A306" s="1531" t="s">
        <v>1546</v>
      </c>
      <c r="B306" s="1525" t="s">
        <v>1363</v>
      </c>
      <c r="C306" s="2120">
        <v>0.15</v>
      </c>
      <c r="D306" s="2120">
        <v>0.15</v>
      </c>
      <c r="E306" s="2120">
        <v>0.15</v>
      </c>
      <c r="F306" s="2132"/>
    </row>
    <row r="307" spans="1:6" ht="14.25" thickBot="1">
      <c r="A307" s="1531" t="s">
        <v>1546</v>
      </c>
      <c r="B307" s="1525" t="s">
        <v>2261</v>
      </c>
      <c r="C307" s="2120">
        <v>0.15</v>
      </c>
      <c r="D307" s="2120">
        <v>0.15</v>
      </c>
      <c r="E307" s="2120">
        <v>0.15</v>
      </c>
      <c r="F307" s="2121">
        <v>0.14299999999999999</v>
      </c>
    </row>
    <row r="308" spans="1:6" ht="14.25" thickBot="1">
      <c r="A308" s="1531" t="s">
        <v>1546</v>
      </c>
      <c r="B308" s="1525" t="s">
        <v>1383</v>
      </c>
      <c r="C308" s="2120">
        <v>0.15</v>
      </c>
      <c r="D308" s="2120">
        <v>0.15</v>
      </c>
      <c r="E308" s="2120">
        <v>0.15</v>
      </c>
      <c r="F308" s="2121">
        <v>0.15</v>
      </c>
    </row>
    <row r="309" spans="1:6" ht="14.25" thickBot="1">
      <c r="A309" s="1531" t="s">
        <v>1546</v>
      </c>
      <c r="B309" s="1525" t="s">
        <v>1393</v>
      </c>
      <c r="C309" s="2120">
        <v>0.15</v>
      </c>
      <c r="D309" s="2120">
        <v>0.15</v>
      </c>
      <c r="E309" s="2120">
        <v>0.15</v>
      </c>
      <c r="F309" s="2132"/>
    </row>
    <row r="310" spans="1:6" ht="14.25" thickBot="1">
      <c r="A310" s="1531" t="s">
        <v>1546</v>
      </c>
      <c r="B310" s="1525" t="s">
        <v>2262</v>
      </c>
      <c r="C310" s="2120">
        <v>0.15</v>
      </c>
      <c r="D310" s="2120">
        <v>0.15</v>
      </c>
      <c r="E310" s="2120">
        <v>0.15</v>
      </c>
      <c r="F310" s="2121">
        <v>0.13700000000000001</v>
      </c>
    </row>
    <row r="311" spans="1:6" ht="14.25" thickBot="1">
      <c r="A311" s="1531" t="s">
        <v>1546</v>
      </c>
      <c r="B311" s="1525" t="s">
        <v>2263</v>
      </c>
      <c r="C311" s="2120">
        <v>0.15</v>
      </c>
      <c r="D311" s="2120">
        <v>0.15</v>
      </c>
      <c r="E311" s="2120">
        <v>0.15</v>
      </c>
      <c r="F311" s="2121">
        <v>0.15</v>
      </c>
    </row>
    <row r="312" spans="1:6" ht="14.25" thickBot="1">
      <c r="A312" s="1531" t="s">
        <v>1546</v>
      </c>
      <c r="B312" s="1525" t="s">
        <v>1419</v>
      </c>
      <c r="C312" s="2120">
        <v>0.15</v>
      </c>
      <c r="D312" s="2120">
        <v>0.15</v>
      </c>
      <c r="E312" s="2120">
        <v>0.15</v>
      </c>
      <c r="F312" s="2121">
        <v>0.1</v>
      </c>
    </row>
    <row r="313" spans="1:6" ht="14.25" thickBot="1">
      <c r="A313" s="1531" t="s">
        <v>1546</v>
      </c>
      <c r="B313" s="1525" t="s">
        <v>2264</v>
      </c>
      <c r="C313" s="2120">
        <v>0.15</v>
      </c>
      <c r="D313" s="2120">
        <v>0.15</v>
      </c>
      <c r="E313" s="2120">
        <v>0.15</v>
      </c>
      <c r="F313" s="2121">
        <v>0.15</v>
      </c>
    </row>
    <row r="314" spans="1:6" ht="24.75" thickBot="1">
      <c r="A314" s="1531" t="s">
        <v>1546</v>
      </c>
      <c r="B314" s="1525" t="s">
        <v>2265</v>
      </c>
      <c r="C314" s="2133"/>
      <c r="D314" s="2133"/>
      <c r="E314" s="2133"/>
      <c r="F314" s="2121">
        <v>0.05</v>
      </c>
    </row>
    <row r="315" spans="1:6" ht="24.75" thickBot="1">
      <c r="A315" s="1531" t="s">
        <v>1546</v>
      </c>
      <c r="B315" s="1525" t="s">
        <v>2266</v>
      </c>
      <c r="C315" s="2133"/>
      <c r="D315" s="2133"/>
      <c r="E315" s="2133"/>
      <c r="F315" s="2121">
        <v>0.05</v>
      </c>
    </row>
    <row r="316" spans="1:6" ht="24.75" thickBot="1">
      <c r="A316" s="1541" t="s">
        <v>1546</v>
      </c>
      <c r="B316" s="1537" t="s">
        <v>2267</v>
      </c>
      <c r="C316" s="2130"/>
      <c r="D316" s="2130"/>
      <c r="E316" s="2130"/>
      <c r="F316" s="2123">
        <v>0.05</v>
      </c>
    </row>
    <row r="317" spans="1:6" ht="14.25" thickBot="1">
      <c r="A317" s="1531" t="s">
        <v>2268</v>
      </c>
      <c r="B317" s="1532" t="s">
        <v>2269</v>
      </c>
      <c r="C317" s="2118">
        <v>0.15</v>
      </c>
      <c r="D317" s="2118">
        <v>0.15</v>
      </c>
      <c r="E317" s="2118">
        <v>0.15</v>
      </c>
      <c r="F317" s="2119">
        <v>0.15</v>
      </c>
    </row>
    <row r="318" spans="1:6" ht="14.25" thickBot="1">
      <c r="A318" s="1531" t="s">
        <v>2268</v>
      </c>
      <c r="B318" s="1525" t="s">
        <v>2270</v>
      </c>
      <c r="C318" s="2120">
        <v>0.107</v>
      </c>
      <c r="D318" s="2120">
        <v>0.11</v>
      </c>
      <c r="E318" s="2120">
        <v>0.112</v>
      </c>
      <c r="F318" s="2132"/>
    </row>
    <row r="319" spans="1:6" ht="14.25" thickBot="1">
      <c r="A319" s="1531" t="s">
        <v>2268</v>
      </c>
      <c r="B319" s="1525" t="s">
        <v>2271</v>
      </c>
      <c r="C319" s="2120">
        <v>0.15</v>
      </c>
      <c r="D319" s="2120">
        <v>0.15</v>
      </c>
      <c r="E319" s="2120">
        <v>0.15</v>
      </c>
      <c r="F319" s="2121">
        <v>0.15</v>
      </c>
    </row>
    <row r="320" spans="1:6" ht="14.25" thickBot="1">
      <c r="A320" s="1531" t="s">
        <v>2268</v>
      </c>
      <c r="B320" s="1525" t="s">
        <v>1235</v>
      </c>
      <c r="C320" s="2120">
        <v>0.15</v>
      </c>
      <c r="D320" s="2120">
        <v>0.15</v>
      </c>
      <c r="E320" s="2120">
        <v>0.15</v>
      </c>
      <c r="F320" s="2132"/>
    </row>
    <row r="321" spans="1:6" ht="14.25" thickBot="1">
      <c r="A321" s="1531" t="s">
        <v>2268</v>
      </c>
      <c r="B321" s="1525" t="s">
        <v>2272</v>
      </c>
      <c r="C321" s="2120">
        <v>0.15</v>
      </c>
      <c r="D321" s="2120">
        <v>0.15</v>
      </c>
      <c r="E321" s="2120">
        <v>0.15</v>
      </c>
      <c r="F321" s="2132"/>
    </row>
    <row r="322" spans="1:6" ht="14.25" thickBot="1">
      <c r="A322" s="1531" t="s">
        <v>2268</v>
      </c>
      <c r="B322" s="1525" t="s">
        <v>2273</v>
      </c>
      <c r="C322" s="2120">
        <v>0.15</v>
      </c>
      <c r="D322" s="2120">
        <v>0.15</v>
      </c>
      <c r="E322" s="2120">
        <v>0.15</v>
      </c>
      <c r="F322" s="2121">
        <v>0.15</v>
      </c>
    </row>
    <row r="323" spans="1:6" ht="14.25" thickBot="1">
      <c r="A323" s="1531" t="s">
        <v>2268</v>
      </c>
      <c r="B323" s="1525" t="s">
        <v>2274</v>
      </c>
      <c r="C323" s="2120">
        <v>0.15</v>
      </c>
      <c r="D323" s="2120">
        <v>0.15</v>
      </c>
      <c r="E323" s="2120">
        <v>0.15</v>
      </c>
      <c r="F323" s="2132"/>
    </row>
    <row r="324" spans="1:6" ht="14.25" thickBot="1">
      <c r="A324" s="1531" t="s">
        <v>2268</v>
      </c>
      <c r="B324" s="1525" t="s">
        <v>2275</v>
      </c>
      <c r="C324" s="2120">
        <v>0.15</v>
      </c>
      <c r="D324" s="2120">
        <v>0.15</v>
      </c>
      <c r="E324" s="2120">
        <v>0.15</v>
      </c>
      <c r="F324" s="2132"/>
    </row>
    <row r="325" spans="1:6" ht="14.25" thickBot="1">
      <c r="A325" s="1531" t="s">
        <v>2268</v>
      </c>
      <c r="B325" s="1525" t="s">
        <v>2276</v>
      </c>
      <c r="C325" s="2120">
        <v>0.15</v>
      </c>
      <c r="D325" s="2120">
        <v>0.15</v>
      </c>
      <c r="E325" s="2120">
        <v>0.15</v>
      </c>
      <c r="F325" s="2121">
        <v>0.14699999999999999</v>
      </c>
    </row>
    <row r="326" spans="1:6" ht="14.25" thickBot="1">
      <c r="A326" s="1531" t="s">
        <v>2268</v>
      </c>
      <c r="B326" s="1525" t="s">
        <v>1302</v>
      </c>
      <c r="C326" s="2120">
        <v>0.15</v>
      </c>
      <c r="D326" s="2120">
        <v>0.15</v>
      </c>
      <c r="E326" s="2120">
        <v>0.15</v>
      </c>
      <c r="F326" s="2132"/>
    </row>
    <row r="327" spans="1:6" ht="14.25" thickBot="1">
      <c r="A327" s="1531" t="s">
        <v>2268</v>
      </c>
      <c r="B327" s="1525" t="s">
        <v>2277</v>
      </c>
      <c r="C327" s="2120">
        <v>0.15</v>
      </c>
      <c r="D327" s="2120">
        <v>0.15</v>
      </c>
      <c r="E327" s="2120">
        <v>0.15</v>
      </c>
      <c r="F327" s="2121">
        <v>0.15</v>
      </c>
    </row>
    <row r="328" spans="1:6" ht="14.25" thickBot="1">
      <c r="A328" s="1531" t="s">
        <v>2268</v>
      </c>
      <c r="B328" s="1525" t="s">
        <v>1322</v>
      </c>
      <c r="C328" s="2120">
        <v>0.15</v>
      </c>
      <c r="D328" s="2120">
        <v>0.15</v>
      </c>
      <c r="E328" s="2120">
        <v>0.15</v>
      </c>
      <c r="F328" s="2121">
        <v>0.14099999999999999</v>
      </c>
    </row>
    <row r="329" spans="1:6" ht="14.25" thickBot="1">
      <c r="A329" s="1531" t="s">
        <v>2268</v>
      </c>
      <c r="B329" s="1525" t="s">
        <v>1332</v>
      </c>
      <c r="C329" s="2120">
        <v>0.15</v>
      </c>
      <c r="D329" s="2120">
        <v>0.15</v>
      </c>
      <c r="E329" s="2120">
        <v>0.15</v>
      </c>
      <c r="F329" s="2121">
        <v>0.15</v>
      </c>
    </row>
    <row r="330" spans="1:6" ht="14.25" thickBot="1">
      <c r="A330" s="1531" t="s">
        <v>2268</v>
      </c>
      <c r="B330" s="1525" t="s">
        <v>1343</v>
      </c>
      <c r="C330" s="2120">
        <v>0.15</v>
      </c>
      <c r="D330" s="2120">
        <v>0.15</v>
      </c>
      <c r="E330" s="2120">
        <v>0.15</v>
      </c>
      <c r="F330" s="2132"/>
    </row>
    <row r="331" spans="1:6" ht="14.25" thickBot="1">
      <c r="A331" s="1531" t="s">
        <v>2268</v>
      </c>
      <c r="B331" s="1525" t="s">
        <v>2278</v>
      </c>
      <c r="C331" s="2120">
        <v>0.15</v>
      </c>
      <c r="D331" s="2120">
        <v>0.15</v>
      </c>
      <c r="E331" s="2120">
        <v>0.15</v>
      </c>
      <c r="F331" s="2121">
        <v>0.15</v>
      </c>
    </row>
    <row r="332" spans="1:6" ht="14.25" thickBot="1">
      <c r="A332" s="1531" t="s">
        <v>2268</v>
      </c>
      <c r="B332" s="1525" t="s">
        <v>1364</v>
      </c>
      <c r="C332" s="2120">
        <v>0.15</v>
      </c>
      <c r="D332" s="2120">
        <v>0.15</v>
      </c>
      <c r="E332" s="2120">
        <v>0.15</v>
      </c>
      <c r="F332" s="2121">
        <v>0.15</v>
      </c>
    </row>
    <row r="333" spans="1:6" ht="14.25" thickBot="1">
      <c r="A333" s="1531" t="s">
        <v>2268</v>
      </c>
      <c r="B333" s="1525" t="s">
        <v>2279</v>
      </c>
      <c r="C333" s="2120">
        <v>0.15</v>
      </c>
      <c r="D333" s="2120">
        <v>0.15</v>
      </c>
      <c r="E333" s="2120">
        <v>0.15</v>
      </c>
      <c r="F333" s="2121">
        <v>0.14099999999999999</v>
      </c>
    </row>
    <row r="334" spans="1:6" ht="14.25" thickBot="1">
      <c r="A334" s="1531" t="s">
        <v>2268</v>
      </c>
      <c r="B334" s="1525" t="s">
        <v>1384</v>
      </c>
      <c r="C334" s="2120">
        <v>0.15</v>
      </c>
      <c r="D334" s="2120">
        <v>0.15</v>
      </c>
      <c r="E334" s="2120">
        <v>0.15</v>
      </c>
      <c r="F334" s="2121">
        <v>0.15</v>
      </c>
    </row>
    <row r="335" spans="1:6" ht="14.25" thickBot="1">
      <c r="A335" s="1531" t="s">
        <v>2268</v>
      </c>
      <c r="B335" s="1525" t="s">
        <v>1394</v>
      </c>
      <c r="C335" s="2120">
        <v>0.15</v>
      </c>
      <c r="D335" s="2120">
        <v>0.15</v>
      </c>
      <c r="E335" s="2120">
        <v>0.15</v>
      </c>
      <c r="F335" s="2132"/>
    </row>
    <row r="336" spans="1:6" ht="14.25" thickBot="1">
      <c r="A336" s="1531" t="s">
        <v>2268</v>
      </c>
      <c r="B336" s="1525" t="s">
        <v>2280</v>
      </c>
      <c r="C336" s="2120">
        <v>0.15</v>
      </c>
      <c r="D336" s="2120">
        <v>0.15</v>
      </c>
      <c r="E336" s="2120">
        <v>0.15</v>
      </c>
      <c r="F336" s="2121">
        <v>0.11799999999999999</v>
      </c>
    </row>
    <row r="337" spans="1:6" ht="14.25" thickBot="1">
      <c r="A337" s="1541" t="s">
        <v>2268</v>
      </c>
      <c r="B337" s="1537" t="s">
        <v>1412</v>
      </c>
      <c r="C337" s="2130"/>
      <c r="D337" s="2130"/>
      <c r="E337" s="2130"/>
      <c r="F337" s="2123">
        <v>0.14299999999999999</v>
      </c>
    </row>
    <row r="338" spans="1:6" ht="14.25" thickBot="1">
      <c r="A338" s="1531" t="s">
        <v>2281</v>
      </c>
      <c r="B338" s="1532" t="s">
        <v>2282</v>
      </c>
      <c r="C338" s="2118">
        <v>0.15</v>
      </c>
      <c r="D338" s="2118">
        <v>0.15</v>
      </c>
      <c r="E338" s="2118">
        <v>0.15</v>
      </c>
      <c r="F338" s="2135"/>
    </row>
    <row r="339" spans="1:6" ht="14.25" thickBot="1">
      <c r="A339" s="1531" t="s">
        <v>2281</v>
      </c>
      <c r="B339" s="1525" t="s">
        <v>2283</v>
      </c>
      <c r="C339" s="2120">
        <v>0.15</v>
      </c>
      <c r="D339" s="2120">
        <v>0.15</v>
      </c>
      <c r="E339" s="2120">
        <v>0.15</v>
      </c>
      <c r="F339" s="2132"/>
    </row>
    <row r="340" spans="1:6" ht="14.25" thickBot="1">
      <c r="A340" s="1531" t="s">
        <v>2281</v>
      </c>
      <c r="B340" s="1525" t="s">
        <v>2284</v>
      </c>
      <c r="C340" s="2120">
        <v>0.15</v>
      </c>
      <c r="D340" s="2120">
        <v>0.15</v>
      </c>
      <c r="E340" s="2120">
        <v>0.15</v>
      </c>
      <c r="F340" s="2132"/>
    </row>
    <row r="341" spans="1:6" ht="14.25" thickBot="1">
      <c r="A341" s="1531" t="s">
        <v>2281</v>
      </c>
      <c r="B341" s="1525" t="s">
        <v>2285</v>
      </c>
      <c r="C341" s="2120">
        <v>0.15</v>
      </c>
      <c r="D341" s="2120">
        <v>0.15</v>
      </c>
      <c r="E341" s="2120">
        <v>0.15</v>
      </c>
      <c r="F341" s="2121">
        <v>0.15</v>
      </c>
    </row>
    <row r="342" spans="1:6" ht="14.25" thickBot="1">
      <c r="A342" s="1531" t="s">
        <v>2281</v>
      </c>
      <c r="B342" s="1525" t="s">
        <v>2286</v>
      </c>
      <c r="C342" s="2120">
        <v>0.15</v>
      </c>
      <c r="D342" s="2120">
        <v>0.15</v>
      </c>
      <c r="E342" s="2120">
        <v>0.15</v>
      </c>
      <c r="F342" s="2121">
        <v>0.15</v>
      </c>
    </row>
    <row r="343" spans="1:6" ht="14.25" thickBot="1">
      <c r="A343" s="1531" t="s">
        <v>2281</v>
      </c>
      <c r="B343" s="1525" t="s">
        <v>2287</v>
      </c>
      <c r="C343" s="2120">
        <v>0.15</v>
      </c>
      <c r="D343" s="2120">
        <v>0.15</v>
      </c>
      <c r="E343" s="2120">
        <v>0.15</v>
      </c>
      <c r="F343" s="2121">
        <v>0.15</v>
      </c>
    </row>
    <row r="344" spans="1:6" ht="14.25" thickBot="1">
      <c r="A344" s="1541" t="s">
        <v>2281</v>
      </c>
      <c r="B344" s="1537" t="s">
        <v>2288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2901</v>
      </c>
      <c r="C1" s="3198">
        <f>项目基本情况!D3</f>
        <v>42964</v>
      </c>
      <c r="D1" s="3204" t="s">
        <v>2902</v>
      </c>
      <c r="E1" s="3199">
        <f>'数据-取费表'!B22</f>
        <v>2</v>
      </c>
      <c r="F1" s="3204" t="s">
        <v>2903</v>
      </c>
      <c r="G1" s="3200">
        <f ca="1">INDIRECT("d"&amp;$K$1)/100</f>
        <v>4.7500000000000001E-2</v>
      </c>
      <c r="H1" s="3204" t="s">
        <v>2933</v>
      </c>
      <c r="I1" s="3200">
        <f ca="1">F4/100</f>
        <v>1.4999999999999999E-2</v>
      </c>
      <c r="J1" s="3205">
        <f>IF(C1&gt;C13,0,MATCH(C1,C$13:C$100,-1))+IF(SUMIF(C13:C100,C1,D13:D100)=0,13,12)</f>
        <v>13</v>
      </c>
      <c r="K1" s="3205">
        <f>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2904</v>
      </c>
      <c r="E2" s="3140"/>
      <c r="F2" s="3140" t="s">
        <v>2905</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2906</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2907</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2908</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2909</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2910</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2911</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2912</v>
      </c>
      <c r="C10" s="3168"/>
      <c r="D10" s="3168"/>
      <c r="E10" s="3168"/>
      <c r="F10" s="3168"/>
      <c r="G10" s="3168"/>
      <c r="H10" s="3168"/>
      <c r="I10" s="3142"/>
      <c r="J10" s="3142"/>
      <c r="K10" s="3168"/>
      <c r="L10" s="3169" t="s">
        <v>2913</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2914</v>
      </c>
      <c r="C11" s="3173" t="s">
        <v>2915</v>
      </c>
      <c r="D11" s="3174" t="s">
        <v>2916</v>
      </c>
      <c r="E11" s="3175"/>
      <c r="F11" s="3174" t="s">
        <v>2917</v>
      </c>
      <c r="G11" s="3176"/>
      <c r="H11" s="3175"/>
      <c r="I11" s="3174" t="s">
        <v>2918</v>
      </c>
      <c r="J11" s="3175"/>
      <c r="K11" s="3171"/>
      <c r="L11" s="3172" t="s">
        <v>2914</v>
      </c>
      <c r="M11" s="3173" t="s">
        <v>2915</v>
      </c>
      <c r="N11" s="3172" t="s">
        <v>2919</v>
      </c>
      <c r="O11" s="3174" t="s">
        <v>2920</v>
      </c>
      <c r="P11" s="3176"/>
      <c r="Q11" s="3176"/>
      <c r="R11" s="3176"/>
      <c r="S11" s="3176"/>
      <c r="T11" s="3175"/>
      <c r="U11" s="3174" t="s">
        <v>2921</v>
      </c>
      <c r="V11" s="3176"/>
      <c r="W11" s="3175"/>
      <c r="X11" s="3172" t="s">
        <v>2922</v>
      </c>
      <c r="Y11" s="3172" t="s">
        <v>2923</v>
      </c>
      <c r="Z11" s="3172" t="s">
        <v>2924</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2925</v>
      </c>
      <c r="E12" s="3181" t="s">
        <v>2926</v>
      </c>
      <c r="F12" s="3181" t="s">
        <v>2927</v>
      </c>
      <c r="G12" s="3181" t="s">
        <v>2928</v>
      </c>
      <c r="H12" s="3181" t="s">
        <v>2910</v>
      </c>
      <c r="I12" s="3182" t="s">
        <v>2929</v>
      </c>
      <c r="J12" s="3182" t="s">
        <v>2929</v>
      </c>
      <c r="K12" s="3178"/>
      <c r="L12" s="3179"/>
      <c r="M12" s="3180"/>
      <c r="N12" s="3179"/>
      <c r="O12" s="3182" t="s">
        <v>2930</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2931</v>
      </c>
      <c r="C13" s="3186">
        <v>42301</v>
      </c>
      <c r="D13" s="3187">
        <v>4.3499999999999996</v>
      </c>
      <c r="E13" s="3187">
        <v>4.3499999999999996</v>
      </c>
      <c r="F13" s="3187">
        <v>4.75</v>
      </c>
      <c r="G13" s="3187">
        <v>4.75</v>
      </c>
      <c r="H13" s="3187">
        <v>4.9000000000000004</v>
      </c>
      <c r="I13" s="3187">
        <v>2.75</v>
      </c>
      <c r="J13" s="3187">
        <v>3.25</v>
      </c>
      <c r="K13" s="3184"/>
      <c r="L13" s="3185" t="s">
        <v>2931</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2932</v>
      </c>
      <c r="Y42" s="3191" t="s">
        <v>2932</v>
      </c>
      <c r="Z42" s="3191" t="s">
        <v>2932</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2932</v>
      </c>
      <c r="Y43" s="3191" t="s">
        <v>2932</v>
      </c>
      <c r="Z43" s="3191" t="s">
        <v>2932</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2932</v>
      </c>
      <c r="Y44" s="3191" t="s">
        <v>2932</v>
      </c>
      <c r="Z44" s="3191" t="s">
        <v>2932</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2932</v>
      </c>
      <c r="Y45" s="3191" t="s">
        <v>2932</v>
      </c>
      <c r="Z45" s="3191" t="s">
        <v>2932</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2932</v>
      </c>
      <c r="Y46" s="3191" t="s">
        <v>2932</v>
      </c>
      <c r="Z46" s="3191" t="s">
        <v>2932</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2932</v>
      </c>
      <c r="Y47" s="3191" t="s">
        <v>2932</v>
      </c>
      <c r="Z47" s="3191" t="s">
        <v>2932</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2932</v>
      </c>
      <c r="Y48" s="3191" t="s">
        <v>2932</v>
      </c>
      <c r="Z48" s="3191" t="s">
        <v>2932</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2932</v>
      </c>
      <c r="Y49" s="3191" t="s">
        <v>2932</v>
      </c>
      <c r="Z49" s="3191" t="s">
        <v>2932</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2932</v>
      </c>
      <c r="Y50" s="3191" t="s">
        <v>2932</v>
      </c>
      <c r="Z50" s="3191" t="s">
        <v>2932</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2932</v>
      </c>
      <c r="V51" s="3191" t="s">
        <v>2932</v>
      </c>
      <c r="W51" s="3191" t="s">
        <v>2932</v>
      </c>
      <c r="X51" s="3191" t="s">
        <v>2932</v>
      </c>
      <c r="Y51" s="3191" t="s">
        <v>2932</v>
      </c>
      <c r="Z51" s="3191" t="s">
        <v>2932</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2932</v>
      </c>
      <c r="J55" s="3191" t="s">
        <v>2932</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3034</v>
      </c>
      <c r="E1" s="3327" t="s">
        <v>3038</v>
      </c>
      <c r="F1" s="3328" t="s">
        <v>3042</v>
      </c>
    </row>
    <row r="2" spans="1:13" ht="20.25">
      <c r="A2" s="3334" t="s">
        <v>3035</v>
      </c>
    </row>
    <row r="3" spans="1:13" ht="16.5">
      <c r="A3" s="3335" t="s">
        <v>3036</v>
      </c>
    </row>
    <row r="4" spans="1:13" ht="14.25">
      <c r="A4" s="3325" t="s">
        <v>3037</v>
      </c>
      <c r="B4" s="3330" t="s">
        <v>3039</v>
      </c>
      <c r="C4" s="3331"/>
      <c r="D4" s="3332"/>
      <c r="E4" s="3330" t="s">
        <v>141</v>
      </c>
      <c r="F4" s="3331"/>
      <c r="G4" s="3332"/>
      <c r="H4" s="3330" t="s">
        <v>3040</v>
      </c>
      <c r="I4" s="3331"/>
      <c r="J4" s="3332"/>
      <c r="K4" s="3330" t="s">
        <v>39</v>
      </c>
      <c r="L4" s="3331"/>
      <c r="M4" s="3332"/>
    </row>
    <row r="5" spans="1:13" ht="14.25">
      <c r="A5" s="3326" t="s">
        <v>3041</v>
      </c>
      <c r="B5" s="3325" t="s">
        <v>3043</v>
      </c>
      <c r="C5" s="3325" t="s">
        <v>3044</v>
      </c>
      <c r="D5" s="3325" t="s">
        <v>3045</v>
      </c>
      <c r="E5" s="3325" t="s">
        <v>3043</v>
      </c>
      <c r="F5" s="3325" t="s">
        <v>3044</v>
      </c>
      <c r="G5" s="3325" t="s">
        <v>3045</v>
      </c>
      <c r="H5" s="3325" t="s">
        <v>3043</v>
      </c>
      <c r="I5" s="3325" t="s">
        <v>3044</v>
      </c>
      <c r="J5" s="3325" t="s">
        <v>3045</v>
      </c>
      <c r="K5" s="3325" t="s">
        <v>3043</v>
      </c>
      <c r="L5" s="3325" t="s">
        <v>3044</v>
      </c>
      <c r="M5" s="3325" t="s">
        <v>3045</v>
      </c>
    </row>
    <row r="6" spans="1:13" ht="14.25">
      <c r="A6" s="3329" t="s">
        <v>1224</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1281</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1454</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1135</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1535</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1538</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1540</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1542</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1546</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1945</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1946</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zoomScale="80" zoomScaleNormal="80" zoomScaleSheetLayoutView="90" workbookViewId="0">
      <selection activeCell="F43" sqref="A1:F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t="s">
        <v>3080</v>
      </c>
      <c r="D1" s="1274"/>
      <c r="E1" s="2586" t="s">
        <v>539</v>
      </c>
      <c r="F1" s="2587">
        <f ca="1">J53</f>
        <v>36.89</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25629</v>
      </c>
      <c r="C2" s="1300" t="s">
        <v>1098</v>
      </c>
      <c r="D2" s="1276"/>
      <c r="E2" s="2576"/>
      <c r="F2" s="1277"/>
      <c r="G2" s="2288"/>
      <c r="H2" s="1275"/>
      <c r="I2" s="1275"/>
      <c r="J2" s="1275"/>
      <c r="K2" s="1299"/>
      <c r="L2" s="1275"/>
      <c r="M2" s="1275"/>
    </row>
    <row r="3" spans="1:37" ht="18" customHeight="1" thickBot="1">
      <c r="A3" s="675" t="s">
        <v>346</v>
      </c>
      <c r="B3" s="1408">
        <f ca="1">IF(ISERROR(B2*10000/F43),0,ROUND(B2*10000/F43,0))</f>
        <v>10207</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2330</v>
      </c>
      <c r="C5" s="2627">
        <f ca="1">C6+C10+C12</f>
        <v>1308</v>
      </c>
      <c r="D5" s="2637" t="s">
        <v>2532</v>
      </c>
      <c r="E5" s="2628"/>
      <c r="F5" s="2629"/>
      <c r="G5" s="2289"/>
      <c r="H5" s="681">
        <v>1</v>
      </c>
      <c r="I5" s="682" t="s">
        <v>2330</v>
      </c>
      <c r="J5" s="2627">
        <f ca="1">J6+J10+J12</f>
        <v>0</v>
      </c>
      <c r="K5" s="2630" t="s">
        <v>2532</v>
      </c>
      <c r="L5" s="2628"/>
      <c r="M5" s="2629"/>
    </row>
    <row r="6" spans="1:37" ht="18" customHeight="1">
      <c r="A6" s="2623" t="s">
        <v>2371</v>
      </c>
      <c r="B6" s="3599" t="s">
        <v>2531</v>
      </c>
      <c r="C6" s="2632">
        <f ca="1">ROUND(F6*F8*F7*(1-F9)/10000,0)</f>
        <v>1308</v>
      </c>
      <c r="D6" s="2626" t="s">
        <v>2533</v>
      </c>
      <c r="E6" s="684" t="s">
        <v>911</v>
      </c>
      <c r="F6" s="685">
        <f ca="1">INDIRECT("'数据-取费表'!u"&amp;$G$1)</f>
        <v>1600</v>
      </c>
      <c r="G6" s="2289"/>
      <c r="H6" s="2623" t="s">
        <v>2371</v>
      </c>
      <c r="I6" s="3599" t="s">
        <v>2531</v>
      </c>
      <c r="J6" s="683">
        <f ca="1">ROUND(M6*M8*M7*(1-M9)/10000,0)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717</v>
      </c>
      <c r="G7" s="2289"/>
      <c r="H7" s="686"/>
      <c r="I7" s="3600"/>
      <c r="J7" s="688"/>
      <c r="K7" s="689"/>
      <c r="L7" s="684" t="s">
        <v>912</v>
      </c>
      <c r="M7" s="685">
        <f ca="1">F7</f>
        <v>717</v>
      </c>
    </row>
    <row r="8" spans="1:37" ht="18" customHeight="1">
      <c r="A8" s="686"/>
      <c r="B8" s="3600"/>
      <c r="C8" s="688"/>
      <c r="D8" s="689"/>
      <c r="E8" s="684" t="s">
        <v>913</v>
      </c>
      <c r="F8" s="685">
        <f ca="1">INDIRECT("'数据-取费表'!ai"&amp;$G$1)</f>
        <v>12</v>
      </c>
      <c r="G8" s="2289"/>
      <c r="H8" s="686"/>
      <c r="I8" s="3600"/>
      <c r="J8" s="688"/>
      <c r="K8" s="689"/>
      <c r="L8" s="684" t="s">
        <v>913</v>
      </c>
      <c r="M8" s="685">
        <f ca="1">INDIRECT("'数据-取费表'!ai"&amp;$G$1)</f>
        <v>12</v>
      </c>
    </row>
    <row r="9" spans="1:37" ht="18" customHeight="1">
      <c r="A9" s="686"/>
      <c r="B9" s="3601"/>
      <c r="C9" s="688"/>
      <c r="D9" s="689"/>
      <c r="E9" s="684" t="s">
        <v>914</v>
      </c>
      <c r="F9" s="694">
        <f ca="1">INDIRECT("'数据-取费表'!w"&amp;$G$1)</f>
        <v>0.05</v>
      </c>
      <c r="G9" s="2289"/>
      <c r="H9" s="686"/>
      <c r="I9" s="3601"/>
      <c r="J9" s="688"/>
      <c r="K9" s="689"/>
      <c r="L9" s="695" t="s">
        <v>914</v>
      </c>
      <c r="M9" s="696">
        <f ca="1">INDIRECT("'数据-取费表'!ab"&amp;$G$1)</f>
        <v>0</v>
      </c>
    </row>
    <row r="10" spans="1:37" ht="18" customHeight="1">
      <c r="A10" s="2623" t="s">
        <v>2378</v>
      </c>
      <c r="B10" s="2624" t="s">
        <v>2526</v>
      </c>
      <c r="C10" s="698">
        <f ca="1">ROUND(IF(F10="押一",F6*F8*F7/12*F11,IF(F10="押二",F6*F8*F7/12*2*F11,IF(F10="押三",F6*F8*F7/12*3*F11,C11*F11)))/10000,0)</f>
        <v>0</v>
      </c>
      <c r="D10" s="2635" t="s">
        <v>2534</v>
      </c>
      <c r="E10" s="2098" t="s">
        <v>2528</v>
      </c>
      <c r="F10" s="2829" t="s">
        <v>2690</v>
      </c>
      <c r="G10" s="2289"/>
      <c r="H10" s="2623" t="s">
        <v>2378</v>
      </c>
      <c r="I10" s="2624" t="s">
        <v>2526</v>
      </c>
      <c r="J10" s="683">
        <f ca="1">ROUND(IF(M10="押一",M6*M8*M7/12*M11,IF(M10="押二",M6*M8*M7/12*2*M11,IF(M10="押三",M6*M8*M7/12*3*M11,J11*M11)))/10000,0)</f>
        <v>0</v>
      </c>
      <c r="K10" s="2635" t="s">
        <v>2534</v>
      </c>
      <c r="L10" s="2098" t="s">
        <v>2528</v>
      </c>
      <c r="M10" s="2730" t="s">
        <v>2620</v>
      </c>
    </row>
    <row r="11" spans="1:37" ht="18" customHeight="1">
      <c r="A11" s="690"/>
      <c r="B11" s="2625" t="s">
        <v>2693</v>
      </c>
      <c r="C11" s="2416"/>
      <c r="D11" s="2868"/>
      <c r="E11" s="2098" t="s">
        <v>2529</v>
      </c>
      <c r="F11" s="696">
        <f ca="1">'数据-取费表'!B39</f>
        <v>1.4999999999999999E-2</v>
      </c>
      <c r="G11" s="2289"/>
      <c r="H11" s="2636"/>
      <c r="I11" s="2625" t="s">
        <v>2693</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2539</v>
      </c>
      <c r="I12" s="2672" t="s">
        <v>2527</v>
      </c>
      <c r="J12" s="2673"/>
      <c r="K12" s="2690"/>
      <c r="L12" s="2675"/>
      <c r="M12" s="2691"/>
    </row>
    <row r="13" spans="1:37" ht="18" customHeight="1" thickTop="1">
      <c r="A13" s="2667">
        <v>2</v>
      </c>
      <c r="B13" s="2668" t="s">
        <v>915</v>
      </c>
      <c r="C13" s="692">
        <f ca="1">ROUND(C29*F13,0)</f>
        <v>9057</v>
      </c>
      <c r="D13" s="2669" t="s">
        <v>916</v>
      </c>
      <c r="E13" s="2669" t="s">
        <v>917</v>
      </c>
      <c r="F13" s="2670">
        <f ca="1">INDIRECT("'数据-取费表'!y"&amp;$G$1)</f>
        <v>0.82</v>
      </c>
      <c r="G13" s="2289"/>
      <c r="H13" s="2667">
        <v>2</v>
      </c>
      <c r="I13" s="2668" t="s">
        <v>915</v>
      </c>
      <c r="J13" s="2622">
        <f ca="1">ROUND(J14*J15,0)</f>
        <v>0</v>
      </c>
      <c r="K13" s="2677" t="s">
        <v>916</v>
      </c>
      <c r="L13" s="2688"/>
      <c r="M13" s="2689"/>
    </row>
    <row r="14" spans="1:37" ht="18" customHeight="1">
      <c r="A14" s="2439" t="s">
        <v>2368</v>
      </c>
      <c r="B14" s="684" t="s">
        <v>359</v>
      </c>
      <c r="C14" s="702">
        <f ca="1">INDIRECT("'数据-取费表'!m"&amp;$G$1)+INDIRECT("'数据-取费表'!t"&amp;$G$1)</f>
        <v>7533</v>
      </c>
      <c r="D14" s="3369" t="s">
        <v>918</v>
      </c>
      <c r="E14" s="3367"/>
      <c r="F14" s="703"/>
      <c r="G14" s="2289"/>
      <c r="H14" s="2439" t="s">
        <v>2371</v>
      </c>
      <c r="I14" s="684" t="s">
        <v>919</v>
      </c>
      <c r="J14" s="313">
        <f ca="1">C29</f>
        <v>11045</v>
      </c>
      <c r="K14" s="303"/>
      <c r="L14" s="700"/>
      <c r="M14" s="701"/>
    </row>
    <row r="15" spans="1:37" s="706" customFormat="1" ht="18" customHeight="1" thickBot="1">
      <c r="A15" s="2439" t="s">
        <v>2603</v>
      </c>
      <c r="B15" s="684" t="s">
        <v>360</v>
      </c>
      <c r="C15" s="313">
        <f ca="1">ROUND(C14*F15,0)</f>
        <v>377</v>
      </c>
      <c r="D15" s="704" t="s">
        <v>920</v>
      </c>
      <c r="E15" s="704" t="s">
        <v>365</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ROUND(INDIRECT("'数据-取费表'!m"&amp;$G$1)*F16,0)</f>
        <v>0</v>
      </c>
      <c r="D16" s="684" t="s">
        <v>920</v>
      </c>
      <c r="E16" s="684" t="s">
        <v>365</v>
      </c>
      <c r="F16" s="707">
        <f ca="1">IF(INDIRECT("'数据-取费表'!c"&amp;$G$1)="住宅",'数据-取费表'!B34,0)</f>
        <v>0</v>
      </c>
      <c r="G16" s="2289"/>
      <c r="H16" s="2667" t="s">
        <v>2336</v>
      </c>
      <c r="I16" s="2668" t="s">
        <v>922</v>
      </c>
      <c r="J16" s="692">
        <f ca="1">ROUND(J17+J22+J23+J24,0)</f>
        <v>269</v>
      </c>
      <c r="K16" s="2677" t="s">
        <v>923</v>
      </c>
      <c r="L16" s="2678"/>
      <c r="M16" s="2629"/>
    </row>
    <row r="17" spans="1:37" s="706" customFormat="1" ht="18" customHeight="1">
      <c r="A17" s="2439" t="s">
        <v>2605</v>
      </c>
      <c r="B17" s="684" t="s">
        <v>362</v>
      </c>
      <c r="C17" s="313">
        <f ca="1">ROUND(F17*(F43+INDIRECT("'数据-取费表'!S"&amp;$G$1))/10000,0)</f>
        <v>502</v>
      </c>
      <c r="D17" s="684" t="s">
        <v>924</v>
      </c>
      <c r="E17" s="684" t="s">
        <v>925</v>
      </c>
      <c r="F17" s="315">
        <f>'数据-取费表'!B35</f>
        <v>200</v>
      </c>
      <c r="G17" s="2290"/>
      <c r="H17" s="2439" t="s">
        <v>2371</v>
      </c>
      <c r="I17" s="684" t="s">
        <v>363</v>
      </c>
      <c r="J17" s="313">
        <f ca="1">ROUND(IF(项目基本情况!B11="自然人",J5*M17,J18+J19+J20),1)</f>
        <v>103.1</v>
      </c>
      <c r="K17" s="3369" t="s">
        <v>926</v>
      </c>
      <c r="L17" s="3368"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113</v>
      </c>
      <c r="D18" s="684" t="s">
        <v>920</v>
      </c>
      <c r="E18" s="684" t="s">
        <v>365</v>
      </c>
      <c r="F18" s="707">
        <f>'数据-取费表'!B36</f>
        <v>1.4999999999999999E-2</v>
      </c>
      <c r="G18" s="2290"/>
      <c r="H18" s="2439" t="s">
        <v>2368</v>
      </c>
      <c r="I18" s="684" t="s">
        <v>928</v>
      </c>
      <c r="J18" s="313">
        <f ca="1">ROUND(J5*M18/(1+'数据-取费表'!C42),2)</f>
        <v>0</v>
      </c>
      <c r="K18" s="3368" t="s">
        <v>929</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2371</v>
      </c>
      <c r="B19" s="684" t="s">
        <v>366</v>
      </c>
      <c r="C19" s="313">
        <f ca="1">SUM(C14:C18)</f>
        <v>8525</v>
      </c>
      <c r="D19" s="471" t="s">
        <v>930</v>
      </c>
      <c r="E19" s="3372"/>
      <c r="F19" s="315"/>
      <c r="G19" s="2289"/>
      <c r="H19" s="2439" t="s">
        <v>2603</v>
      </c>
      <c r="I19" s="684" t="s">
        <v>931</v>
      </c>
      <c r="J19" s="313">
        <f ca="1">IF(K19="按租金收入计税",ROUND(J5*M19,2),ROUND(C29*M19*0.7,2))</f>
        <v>92.78</v>
      </c>
      <c r="K19" s="1301" t="s">
        <v>2410</v>
      </c>
      <c r="L19" s="684" t="s">
        <v>365</v>
      </c>
      <c r="M19" s="707">
        <f>IF(K19="按租金收入计税",'数据-取费表'!B51,'数据-取费表'!B50)</f>
        <v>1.2E-2</v>
      </c>
    </row>
    <row r="20" spans="1:37" s="706" customFormat="1" ht="18" customHeight="1">
      <c r="A20" s="2439" t="s">
        <v>2607</v>
      </c>
      <c r="B20" s="684" t="s">
        <v>367</v>
      </c>
      <c r="C20" s="313">
        <f ca="1">ROUND(C19*F20,0)</f>
        <v>256</v>
      </c>
      <c r="D20" s="709" t="s">
        <v>932</v>
      </c>
      <c r="E20" s="684" t="s">
        <v>365</v>
      </c>
      <c r="F20" s="707">
        <f>'数据-取费表'!B37</f>
        <v>0.03</v>
      </c>
      <c r="G20" s="2290"/>
      <c r="H20" s="2439" t="s">
        <v>2604</v>
      </c>
      <c r="I20" s="496" t="s">
        <v>933</v>
      </c>
      <c r="J20" s="314">
        <f ca="1">ROUND(M20*M21/10000,2)</f>
        <v>10.3</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71</v>
      </c>
      <c r="D21" s="709" t="s">
        <v>937</v>
      </c>
      <c r="E21" s="684" t="s">
        <v>938</v>
      </c>
      <c r="F21" s="707">
        <f>'数据-取费表'!B38</f>
        <v>0.03</v>
      </c>
      <c r="G21" s="2290"/>
      <c r="H21" s="712"/>
      <c r="I21" s="693"/>
      <c r="J21" s="318"/>
      <c r="K21" s="713"/>
      <c r="L21" s="684" t="s">
        <v>939</v>
      </c>
      <c r="M21" s="685">
        <f ca="1">INDIRECT("'数据-取费表'!r"&amp;$G$1)</f>
        <v>8583.85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3372"/>
      <c r="F22" s="315"/>
      <c r="G22" s="2289"/>
      <c r="H22" s="2439" t="s">
        <v>2378</v>
      </c>
      <c r="I22" s="684" t="s">
        <v>941</v>
      </c>
      <c r="J22" s="313">
        <f ca="1">ROUND(J14*M22,1)</f>
        <v>165.7</v>
      </c>
      <c r="K22" s="3368" t="s">
        <v>942</v>
      </c>
      <c r="L22" s="684" t="s">
        <v>365</v>
      </c>
      <c r="M22" s="714">
        <f ca="1">INDIRECT("'数据-取费表'!Ak"&amp;$G$1)</f>
        <v>1.4999999999999999E-2</v>
      </c>
    </row>
    <row r="23" spans="1:37" s="706" customFormat="1" ht="18" customHeight="1">
      <c r="A23" s="2439" t="s">
        <v>2368</v>
      </c>
      <c r="B23" s="684" t="s">
        <v>2523</v>
      </c>
      <c r="C23" s="313">
        <f ca="1">IF('数据-取费表'!B22&lt;=1,ROUND(C19*F24*F23/2,0)+ROUND(C20*F24*F23/2,0),ROUND(C19*(POWER((1+F24),F23/2)-1),0)+ROUND(C20*(POWER((1+F24),F23/2)-1),0))</f>
        <v>417</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ROUND(J13*M23,1)</f>
        <v>0</v>
      </c>
      <c r="K23" s="3368" t="s">
        <v>369</v>
      </c>
      <c r="L23" s="684" t="s">
        <v>365</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ROUND(J5*M24,1)</f>
        <v>0</v>
      </c>
      <c r="K24" s="2682" t="s">
        <v>371</v>
      </c>
      <c r="L24" s="2680" t="s">
        <v>365</v>
      </c>
      <c r="M24" s="2676">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3372"/>
      <c r="F25" s="315"/>
      <c r="G25" s="2289"/>
      <c r="H25" s="2667" t="s">
        <v>2351</v>
      </c>
      <c r="I25" s="2684" t="s">
        <v>377</v>
      </c>
      <c r="J25" s="692">
        <f ca="1">J5-J16</f>
        <v>-269</v>
      </c>
      <c r="K25" s="2685" t="s">
        <v>378</v>
      </c>
      <c r="L25" s="2686"/>
      <c r="M25" s="2687"/>
    </row>
    <row r="26" spans="1:37" ht="18" customHeight="1">
      <c r="A26" s="2439" t="s">
        <v>2368</v>
      </c>
      <c r="B26" s="684" t="s">
        <v>2524</v>
      </c>
      <c r="C26" s="313">
        <f ca="1">ROUND((C19+C20)*F26,0)</f>
        <v>878</v>
      </c>
      <c r="D26" s="709" t="s">
        <v>951</v>
      </c>
      <c r="E26" s="695" t="s">
        <v>952</v>
      </c>
      <c r="F26" s="694">
        <f ca="1">INDIRECT("'数据-取费表'!q"&amp;$G$1)</f>
        <v>0.1</v>
      </c>
      <c r="G26" s="2289"/>
      <c r="H26" s="681" t="s">
        <v>2354</v>
      </c>
      <c r="I26" s="682" t="s">
        <v>953</v>
      </c>
      <c r="J26" s="683">
        <f ca="1">IF(J5&lt;&gt;0,ROUND(J25*(1-((1+M28)/(1+M26))^M27)/(M26-M28),0),0)</f>
        <v>0</v>
      </c>
      <c r="K26" s="710" t="s">
        <v>373</v>
      </c>
      <c r="L26" s="684" t="s">
        <v>374</v>
      </c>
      <c r="M26" s="694">
        <f ca="1">INDIRECT("'数据-取费表'!I"&amp;$G$1)</f>
        <v>4.4999999999999998E-2</v>
      </c>
    </row>
    <row r="27" spans="1:37" ht="18" customHeight="1">
      <c r="A27" s="2439" t="s">
        <v>2374</v>
      </c>
      <c r="B27" s="684" t="s">
        <v>375</v>
      </c>
      <c r="C27" s="313">
        <f ca="1">ROUND(F21*F26,4)</f>
        <v>3.0000000000000001E-3</v>
      </c>
      <c r="D27" s="709" t="s">
        <v>955</v>
      </c>
      <c r="E27" s="704"/>
      <c r="F27" s="705"/>
      <c r="G27" s="2289"/>
      <c r="H27" s="686"/>
      <c r="I27" s="687"/>
      <c r="J27" s="688"/>
      <c r="K27" s="718" t="s">
        <v>956</v>
      </c>
      <c r="L27" s="684" t="s">
        <v>381</v>
      </c>
      <c r="M27" s="719">
        <f ca="1">INDIRECT("'数据-取费表'!ag"&amp;$G$1)</f>
        <v>0</v>
      </c>
    </row>
    <row r="28" spans="1:37" s="706" customFormat="1" ht="18" customHeight="1">
      <c r="A28" s="2439" t="s">
        <v>2376</v>
      </c>
      <c r="B28" s="684" t="s">
        <v>376</v>
      </c>
      <c r="C28" s="313">
        <f>ROUND(F28/(1+'数据-取费表'!C42),4)</f>
        <v>5.33E-2</v>
      </c>
      <c r="D28" s="709" t="s">
        <v>962</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11045</v>
      </c>
      <c r="D29" s="2682"/>
      <c r="E29" s="2680"/>
      <c r="F29" s="2683"/>
      <c r="G29" s="2290"/>
      <c r="H29" s="720" t="s">
        <v>2361</v>
      </c>
      <c r="I29" s="721" t="s">
        <v>957</v>
      </c>
      <c r="J29" s="722">
        <f ca="1">ROUND(J26/(1+F40)^F41,0)</f>
        <v>0</v>
      </c>
      <c r="K29" s="723" t="s">
        <v>958</v>
      </c>
      <c r="L29" s="724"/>
      <c r="M29" s="725">
        <f ca="1">INDIRECT("'数据-取费表'!k"&amp;$G$1)</f>
        <v>25109.51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378</v>
      </c>
      <c r="D30" s="2677" t="s">
        <v>923</v>
      </c>
      <c r="E30" s="2678"/>
      <c r="F30" s="2629"/>
      <c r="G30" s="2289"/>
      <c r="H30" s="1278"/>
      <c r="I30" s="1279"/>
      <c r="J30" s="1280"/>
      <c r="K30" s="1281"/>
      <c r="L30" s="1282"/>
      <c r="M30" s="1283"/>
    </row>
    <row r="31" spans="1:37" ht="18" customHeight="1">
      <c r="A31" s="2439" t="s">
        <v>2371</v>
      </c>
      <c r="B31" s="684" t="s">
        <v>363</v>
      </c>
      <c r="C31" s="313">
        <f ca="1">ROUND(IF(项目基本情况!B11="自然人",C5*F31,C32+C33+C34),1)</f>
        <v>172.8</v>
      </c>
      <c r="D31" s="3369" t="s">
        <v>926</v>
      </c>
      <c r="E31" s="3368"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2368</v>
      </c>
      <c r="B32" s="684" t="s">
        <v>928</v>
      </c>
      <c r="C32" s="313">
        <f ca="1">IF(项目基本情况!B11="自然人","——",ROUND(C5*F32/(1+'数据-取费表'!C42),2))</f>
        <v>69.760000000000005</v>
      </c>
      <c r="D32" s="3368" t="s">
        <v>929</v>
      </c>
      <c r="E32" s="684" t="s">
        <v>365</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IF(项目基本情况!B11="自然人","——",IF(D33="按租金收入计税",ROUND(C5*F33,2),IF(D33="按房产原值计税",ROUND(C29*F33*0.7,2),INDIRECT("'数据-取费表'!Aj"&amp;$G$1))))</f>
        <v>92.78</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933</v>
      </c>
      <c r="C34" s="314">
        <f ca="1">IF(项目基本情况!B11="自然人","——",ROUND(F34*F35/10000,2))</f>
        <v>10.3</v>
      </c>
      <c r="D34" s="710" t="s">
        <v>934</v>
      </c>
      <c r="E34" s="684" t="s">
        <v>935</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8583.85</v>
      </c>
      <c r="G35" s="2289"/>
      <c r="H35" s="1278"/>
      <c r="I35" s="2882"/>
      <c r="J35" s="2883"/>
      <c r="K35" s="1291"/>
      <c r="L35" s="1290"/>
      <c r="M35" s="1290"/>
    </row>
    <row r="36" spans="1:18" ht="18" customHeight="1">
      <c r="A36" s="2696" t="s">
        <v>2378</v>
      </c>
      <c r="B36" s="684" t="s">
        <v>941</v>
      </c>
      <c r="C36" s="313">
        <f ca="1">ROUND(C29*F36,1)</f>
        <v>165.7</v>
      </c>
      <c r="D36" s="3368" t="s">
        <v>971</v>
      </c>
      <c r="E36" s="684" t="s">
        <v>365</v>
      </c>
      <c r="F36" s="714">
        <f ca="1">INDIRECT("'数据-取费表'!Ak"&amp;$G$1)</f>
        <v>1.4999999999999999E-2</v>
      </c>
      <c r="G36" s="2289"/>
      <c r="H36" s="1290"/>
      <c r="I36" s="2882"/>
      <c r="J36" s="2883"/>
      <c r="K36" s="1294"/>
      <c r="L36" s="1290"/>
      <c r="M36" s="1290"/>
    </row>
    <row r="37" spans="1:18" ht="18" customHeight="1">
      <c r="A37" s="2439" t="s">
        <v>2608</v>
      </c>
      <c r="B37" s="684" t="s">
        <v>368</v>
      </c>
      <c r="C37" s="313">
        <f ca="1">ROUND(C13*F37,1)</f>
        <v>13.6</v>
      </c>
      <c r="D37" s="3368" t="s">
        <v>369</v>
      </c>
      <c r="E37" s="684" t="s">
        <v>365</v>
      </c>
      <c r="F37" s="716">
        <f ca="1">INDIRECT("'数据-取费表'!Al"&amp;$G$1)</f>
        <v>1.5E-3</v>
      </c>
      <c r="G37" s="2289"/>
      <c r="H37" s="1290"/>
      <c r="I37" s="2882"/>
      <c r="J37" s="2883"/>
      <c r="K37" s="1294"/>
      <c r="L37" s="1290"/>
      <c r="M37" s="1290"/>
    </row>
    <row r="38" spans="1:18" ht="18" customHeight="1" thickBot="1">
      <c r="A38" s="2679" t="s">
        <v>2609</v>
      </c>
      <c r="B38" s="2680" t="s">
        <v>367</v>
      </c>
      <c r="C38" s="2681">
        <f ca="1">ROUND(C5*F38,1)</f>
        <v>26.2</v>
      </c>
      <c r="D38" s="2682" t="s">
        <v>371</v>
      </c>
      <c r="E38" s="2680" t="s">
        <v>365</v>
      </c>
      <c r="F38" s="2676">
        <f ca="1">INDIRECT("'数据-取费表'!Am"&amp;$G$1)</f>
        <v>0.02</v>
      </c>
      <c r="G38" s="2289"/>
      <c r="H38" s="1290"/>
      <c r="I38" s="2882"/>
      <c r="J38" s="2883"/>
      <c r="K38" s="1295"/>
      <c r="L38" s="1290"/>
      <c r="M38" s="1290"/>
    </row>
    <row r="39" spans="1:18" ht="24.6" customHeight="1" thickTop="1">
      <c r="A39" s="2667" t="s">
        <v>2351</v>
      </c>
      <c r="B39" s="2684" t="s">
        <v>377</v>
      </c>
      <c r="C39" s="692">
        <f ca="1">C5-C30</f>
        <v>930</v>
      </c>
      <c r="D39" s="2685" t="s">
        <v>378</v>
      </c>
      <c r="E39" s="2686"/>
      <c r="F39" s="2687"/>
      <c r="G39" s="2289"/>
      <c r="H39" s="1290"/>
      <c r="I39" s="2882"/>
      <c r="J39" s="2883"/>
      <c r="K39" s="1295"/>
      <c r="L39" s="1290"/>
      <c r="M39" s="1290"/>
    </row>
    <row r="40" spans="1:18" ht="18" customHeight="1">
      <c r="A40" s="681" t="s">
        <v>2354</v>
      </c>
      <c r="B40" s="682" t="s">
        <v>379</v>
      </c>
      <c r="C40" s="683">
        <f ca="1">ROUND(C39*(1-((1+F42)/(1+F40))^F41)/(F40-F42),0)</f>
        <v>25629</v>
      </c>
      <c r="D40" s="710" t="s">
        <v>373</v>
      </c>
      <c r="E40" s="684" t="s">
        <v>374</v>
      </c>
      <c r="F40" s="694">
        <f ca="1">INDIRECT("'数据-取费表'!I"&amp;$G$1)</f>
        <v>4.4999999999999998E-2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36.89</v>
      </c>
      <c r="G41" s="2289"/>
      <c r="H41" s="1192"/>
      <c r="I41" s="2882"/>
      <c r="J41" s="2883"/>
      <c r="K41" s="1294"/>
      <c r="L41" s="1192"/>
      <c r="M41" s="1192"/>
    </row>
    <row r="42" spans="1:18" ht="18" customHeight="1">
      <c r="A42" s="690"/>
      <c r="B42" s="691"/>
      <c r="C42" s="692"/>
      <c r="D42" s="713"/>
      <c r="E42" s="684" t="s">
        <v>382</v>
      </c>
      <c r="F42" s="694">
        <f ca="1">INDIRECT("'数据-取费表'!v"&amp;$G$1)</f>
        <v>0.03</v>
      </c>
      <c r="G42" s="2289"/>
      <c r="H42" s="1192"/>
      <c r="I42" s="2882"/>
      <c r="J42" s="2883"/>
      <c r="K42" s="1294"/>
      <c r="L42" s="1192"/>
      <c r="M42" s="1192"/>
    </row>
    <row r="43" spans="1:18" ht="18" customHeight="1" thickBot="1">
      <c r="A43" s="720" t="s">
        <v>2361</v>
      </c>
      <c r="B43" s="721" t="s">
        <v>383</v>
      </c>
      <c r="C43" s="722">
        <f ca="1">ROUND(C40*10000/F43,0)</f>
        <v>10207</v>
      </c>
      <c r="D43" s="723" t="s">
        <v>384</v>
      </c>
      <c r="E43" s="724" t="s">
        <v>385</v>
      </c>
      <c r="F43" s="725">
        <f ca="1">INDIRECT("'数据-取费表'!k"&amp;$G$1)</f>
        <v>25109.51</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2483</v>
      </c>
      <c r="P45" s="1296"/>
      <c r="Q45" s="1296"/>
      <c r="R45" s="1296"/>
    </row>
    <row r="46" spans="1:18" s="1455" customFormat="1" ht="21" thickBot="1">
      <c r="A46" s="2397" t="s">
        <v>2323</v>
      </c>
      <c r="B46" s="2398"/>
      <c r="C46" s="2726">
        <f ca="1">C68-C40</f>
        <v>-30660</v>
      </c>
      <c r="D46" s="2727" t="str">
        <f>C2</f>
        <v>万元</v>
      </c>
      <c r="E46" s="1433"/>
      <c r="F46" s="1433"/>
      <c r="I46" s="2579" t="s">
        <v>2418</v>
      </c>
      <c r="J46" s="2580"/>
      <c r="K46" s="2581"/>
      <c r="L46" s="2583" t="str">
        <f ca="1">IF(M47="住宅",0,IF(L48&gt;J51,L60,J60))</f>
        <v>0</v>
      </c>
      <c r="O46" s="2595" t="s">
        <v>2461</v>
      </c>
      <c r="P46" s="2596" t="s">
        <v>2462</v>
      </c>
      <c r="Q46" s="2597" t="s">
        <v>2460</v>
      </c>
      <c r="R46" s="2597" t="s">
        <v>2463</v>
      </c>
    </row>
    <row r="47" spans="1:18" s="1455" customFormat="1" ht="15.75" thickBot="1">
      <c r="A47" s="2399" t="s">
        <v>906</v>
      </c>
      <c r="B47" s="2435" t="s">
        <v>907</v>
      </c>
      <c r="C47" s="2731" t="s">
        <v>908</v>
      </c>
      <c r="D47" s="2435" t="s">
        <v>909</v>
      </c>
      <c r="E47" s="2538" t="s">
        <v>910</v>
      </c>
      <c r="F47" s="2539"/>
      <c r="G47" s="1457"/>
      <c r="I47" s="2554" t="s">
        <v>2411</v>
      </c>
      <c r="J47" s="2555" t="s">
        <v>3107</v>
      </c>
      <c r="K47" s="2564" t="s">
        <v>2434</v>
      </c>
      <c r="L47" s="2565">
        <f ca="1">INDIRECT("'数据-取费表'!d"&amp;$G$1)</f>
        <v>50</v>
      </c>
      <c r="M47" s="2585" t="str">
        <f>IF(ISNUMBER(FIND("住宅",C1)),"住宅","非住宅")</f>
        <v>非住宅</v>
      </c>
      <c r="O47" s="2588" t="s">
        <v>2446</v>
      </c>
      <c r="P47" s="2598" t="s">
        <v>2464</v>
      </c>
      <c r="Q47" s="2589">
        <f ca="1">C40+J29</f>
        <v>25629</v>
      </c>
      <c r="R47" s="2589" t="s">
        <v>2465</v>
      </c>
    </row>
    <row r="48" spans="1:18" s="1455" customFormat="1" ht="47.25" thickBot="1">
      <c r="A48" s="2712" t="s">
        <v>2614</v>
      </c>
      <c r="B48" s="682" t="s">
        <v>2330</v>
      </c>
      <c r="C48" s="3371">
        <f ca="1">C49+C53+C55</f>
        <v>0</v>
      </c>
      <c r="D48" s="2716"/>
      <c r="E48" s="2717"/>
      <c r="F48" s="2419"/>
      <c r="G48" s="1457"/>
      <c r="H48" s="1458"/>
      <c r="I48" s="2545" t="s">
        <v>2412</v>
      </c>
      <c r="J48" s="2556" t="s">
        <v>2413</v>
      </c>
      <c r="K48" s="2566" t="s">
        <v>683</v>
      </c>
      <c r="L48" s="2169">
        <f ca="1">INDIRECT("'数据-取费表'!f"&amp;$G$1)</f>
        <v>36.89</v>
      </c>
      <c r="O48" s="2588" t="s">
        <v>2447</v>
      </c>
      <c r="P48" s="2598" t="s">
        <v>2466</v>
      </c>
      <c r="Q48" s="2589" t="str">
        <f ca="1">J60</f>
        <v>0</v>
      </c>
      <c r="R48" s="2589" t="s">
        <v>2474</v>
      </c>
    </row>
    <row r="49" spans="1:18" s="1455" customFormat="1" ht="15.75" thickBot="1">
      <c r="A49" s="2432" t="s">
        <v>2615</v>
      </c>
      <c r="B49" s="2715" t="s">
        <v>2617</v>
      </c>
      <c r="C49" s="2724">
        <f ca="1">ROUND(F49*F51*F50*(1-F52)/10000,0)</f>
        <v>0</v>
      </c>
      <c r="D49" s="2534" t="s">
        <v>2331</v>
      </c>
      <c r="E49" s="2537" t="s">
        <v>2324</v>
      </c>
      <c r="F49" s="2540"/>
      <c r="G49" s="1459"/>
      <c r="H49" s="1458"/>
      <c r="I49" s="2545" t="s">
        <v>2432</v>
      </c>
      <c r="J49" s="2557">
        <f>'收益法-商业'!J49</f>
        <v>2006</v>
      </c>
      <c r="K49" s="2567" t="s">
        <v>2437</v>
      </c>
      <c r="L49" s="2568"/>
      <c r="O49" s="2590" t="s">
        <v>2448</v>
      </c>
      <c r="P49" s="2598" t="s">
        <v>2467</v>
      </c>
      <c r="Q49" s="2589">
        <f ca="1">C29</f>
        <v>11045</v>
      </c>
      <c r="R49" s="2589" t="s">
        <v>2465</v>
      </c>
    </row>
    <row r="50" spans="1:18" s="1455" customFormat="1" ht="15.75" thickBot="1">
      <c r="A50" s="2433"/>
      <c r="B50" s="2436"/>
      <c r="C50" s="2732"/>
      <c r="D50" s="2406"/>
      <c r="E50" s="2535" t="s">
        <v>912</v>
      </c>
      <c r="F50" s="2536">
        <f ca="1">F7</f>
        <v>717</v>
      </c>
      <c r="H50" s="1458"/>
      <c r="I50" s="2545" t="s">
        <v>2414</v>
      </c>
      <c r="J50" s="2558">
        <f>SUMPRODUCT((I63:I65=J47)*(J62:L62=J48)*(J63:L65))</f>
        <v>60</v>
      </c>
      <c r="K50" s="2567" t="s">
        <v>2438</v>
      </c>
      <c r="L50" s="2568"/>
      <c r="M50" s="2562"/>
      <c r="O50" s="2590" t="s">
        <v>2449</v>
      </c>
      <c r="P50" s="2598" t="s">
        <v>2475</v>
      </c>
      <c r="Q50" s="2591" t="e">
        <f ca="1">J58</f>
        <v>#VALUE!</v>
      </c>
      <c r="R50" s="2589"/>
    </row>
    <row r="51" spans="1:18" s="1455" customFormat="1" ht="15.75" thickBot="1">
      <c r="A51" s="2434"/>
      <c r="B51" s="2436"/>
      <c r="C51" s="2437"/>
      <c r="D51" s="2406"/>
      <c r="E51" s="2438" t="s">
        <v>913</v>
      </c>
      <c r="F51" s="685">
        <f ca="1">F8</f>
        <v>12</v>
      </c>
      <c r="I51" s="2559" t="s">
        <v>2419</v>
      </c>
      <c r="J51" s="2560">
        <f>IF(J49="",J50,J49+J50-YEAR('数据-取费表'!B2))</f>
        <v>49</v>
      </c>
      <c r="K51" s="2569" t="s">
        <v>2439</v>
      </c>
      <c r="L51" s="2582">
        <f ca="1">ROUND(-PV(INDIRECT("'数据-取费表'!h"&amp;$G$1),L48,(C39-C13*C76),0),0)</f>
        <v>3062</v>
      </c>
      <c r="M51" s="2563"/>
      <c r="O51" s="2590" t="s">
        <v>2450</v>
      </c>
      <c r="P51" s="2598" t="s">
        <v>2476</v>
      </c>
      <c r="Q51" s="2591">
        <f>J52</f>
        <v>0.09</v>
      </c>
      <c r="R51" s="2589"/>
    </row>
    <row r="52" spans="1:18" s="1455" customFormat="1" ht="15.75" thickBot="1">
      <c r="A52" s="2434"/>
      <c r="B52" s="2436"/>
      <c r="C52" s="2437"/>
      <c r="D52" s="2406"/>
      <c r="E52" s="2438" t="s">
        <v>914</v>
      </c>
      <c r="F52" s="2533"/>
      <c r="I52" s="2561" t="s">
        <v>2442</v>
      </c>
      <c r="J52" s="2575">
        <v>0.09</v>
      </c>
      <c r="K52" s="2561" t="s">
        <v>2427</v>
      </c>
      <c r="L52" s="2575"/>
      <c r="M52" s="2398"/>
      <c r="O52" s="2590" t="s">
        <v>2451</v>
      </c>
      <c r="P52" s="2598" t="s">
        <v>2468</v>
      </c>
      <c r="Q52" s="2589">
        <f ca="1">J53</f>
        <v>36.89</v>
      </c>
      <c r="R52" s="2589" t="s">
        <v>2469</v>
      </c>
    </row>
    <row r="53" spans="1:18" s="1455" customFormat="1" ht="43.5" thickBot="1">
      <c r="A53" s="2827" t="s">
        <v>2616</v>
      </c>
      <c r="B53" s="433" t="s">
        <v>2526</v>
      </c>
      <c r="C53" s="698">
        <f ca="1">ROUND(IF(F53="押一",F49*F51*F50/12*F11,IF(F53="押二",F49*F51*F50/12*2*F11,IF(F53="押三",F49*F51*F50/12*3*F11,C54*F11)))/10000,0)</f>
        <v>0</v>
      </c>
      <c r="D53" s="2635" t="s">
        <v>2534</v>
      </c>
      <c r="E53" s="2098" t="s">
        <v>2528</v>
      </c>
      <c r="F53" s="2829"/>
      <c r="I53" s="2571" t="s">
        <v>2444</v>
      </c>
      <c r="J53" s="2572">
        <f ca="1">IF(M47="住宅",J51,MIN(J51,L48))</f>
        <v>36.89</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2452</v>
      </c>
      <c r="P53" s="2598" t="s">
        <v>2470</v>
      </c>
      <c r="Q53" s="2589">
        <f ca="1">Q47+Q48</f>
        <v>25629</v>
      </c>
      <c r="R53" s="2589" t="s">
        <v>2453</v>
      </c>
    </row>
    <row r="54" spans="1:18" s="1455" customFormat="1" ht="16.5" thickBot="1">
      <c r="A54" s="2828"/>
      <c r="B54" s="2625" t="s">
        <v>2693</v>
      </c>
      <c r="C54" s="2416"/>
      <c r="D54" s="2635"/>
      <c r="E54" s="3370"/>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3370"/>
      <c r="F55" s="2541"/>
      <c r="I55" s="3319" t="s">
        <v>2420</v>
      </c>
      <c r="J55" s="3318" t="e">
        <f ca="1">ROUND(IF(J47="钢混",J57/J50,1-(1-2%)*(J50-J57)/J50),3)</f>
        <v>#VALUE!</v>
      </c>
      <c r="K55" s="2552" t="s">
        <v>2421</v>
      </c>
      <c r="L55" s="2574" t="s">
        <v>3108</v>
      </c>
      <c r="O55" s="2595" t="s">
        <v>2461</v>
      </c>
      <c r="P55" s="2596" t="s">
        <v>2462</v>
      </c>
      <c r="Q55" s="2597" t="s">
        <v>2460</v>
      </c>
      <c r="R55" s="2597" t="s">
        <v>2463</v>
      </c>
    </row>
    <row r="56" spans="1:18" s="1455" customFormat="1" ht="44.25" thickTop="1" thickBot="1">
      <c r="A56" s="2410">
        <v>2</v>
      </c>
      <c r="B56" s="2411" t="s">
        <v>915</v>
      </c>
      <c r="C56" s="608">
        <f ca="1">C13</f>
        <v>9057</v>
      </c>
      <c r="D56" s="2699"/>
      <c r="E56" s="2412"/>
      <c r="F56" s="2541"/>
      <c r="I56" s="2544" t="s">
        <v>2422</v>
      </c>
      <c r="J56" s="2573" t="s">
        <v>3050</v>
      </c>
      <c r="K56" s="2545" t="s">
        <v>2426</v>
      </c>
      <c r="L56" s="2169" t="str">
        <f ca="1">IF(L48&lt;J51,"——",L48-J51)</f>
        <v>——</v>
      </c>
      <c r="O56" s="2588" t="s">
        <v>2446</v>
      </c>
      <c r="P56" s="2598" t="s">
        <v>2464</v>
      </c>
      <c r="Q56" s="2589">
        <f ca="1">C40+J29</f>
        <v>25629</v>
      </c>
      <c r="R56" s="2589" t="s">
        <v>2465</v>
      </c>
    </row>
    <row r="57" spans="1:18" s="1455" customFormat="1" ht="29.25" thickBot="1">
      <c r="A57" s="2542"/>
      <c r="B57" s="2403" t="s">
        <v>964</v>
      </c>
      <c r="C57" s="614">
        <f ca="1">C29</f>
        <v>11045</v>
      </c>
      <c r="D57" s="2414"/>
      <c r="E57" s="2415"/>
      <c r="F57" s="2543"/>
      <c r="I57" s="2546" t="s">
        <v>2443</v>
      </c>
      <c r="J57" s="2550" t="str">
        <f ca="1">IF(OR(M47="住宅",J51&lt;L48,J56="是"),"——",J51-L48)</f>
        <v>——</v>
      </c>
      <c r="K57" s="2545" t="s">
        <v>2895</v>
      </c>
      <c r="L57" s="2169" t="str">
        <f ca="1">IF(L48&lt;J51,"——",IF(L55="比较法",L49,IF(L55="基准地价",L50,L51)))</f>
        <v>——</v>
      </c>
      <c r="O57" s="2588" t="s">
        <v>2447</v>
      </c>
      <c r="P57" s="2598" t="s">
        <v>2471</v>
      </c>
      <c r="Q57" s="2589">
        <f ca="1">L60</f>
        <v>0</v>
      </c>
      <c r="R57" s="2589" t="s">
        <v>2486</v>
      </c>
    </row>
    <row r="58" spans="1:18" s="1455" customFormat="1" ht="29.25" thickBot="1">
      <c r="A58" s="697" t="s">
        <v>2336</v>
      </c>
      <c r="B58" s="2411" t="s">
        <v>922</v>
      </c>
      <c r="C58" s="698">
        <f ca="1">ROUND(C59+C64+C65+C66,0)</f>
        <v>282</v>
      </c>
      <c r="D58" s="2417" t="s">
        <v>923</v>
      </c>
      <c r="E58" s="2418"/>
      <c r="F58" s="2419"/>
      <c r="I58" s="2546" t="s">
        <v>2423</v>
      </c>
      <c r="J58" s="3320" t="e">
        <f ca="1">IF(J55&lt;0.4,0.4,J55)</f>
        <v>#VALUE!</v>
      </c>
      <c r="K58" s="2569" t="s">
        <v>2896</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ROUND(IF(项目基本情况!B11="自然人",C48*F59,C60+C61+C62),1)</f>
        <v>103.1</v>
      </c>
      <c r="D59" s="2420" t="s">
        <v>926</v>
      </c>
      <c r="E59" s="2421" t="s">
        <v>927</v>
      </c>
      <c r="F59" s="708" t="str">
        <f ca="1">IF(项目基本情况!B11="企业","",IF(INDIRECT("'数据-取费表'!c"&amp;$G$1)="住宅",5%,IF(F49*F50*F51/12/(1+'数据-取费表'!C42)&gt;20000,12%,7%)))</f>
        <v/>
      </c>
      <c r="I59" s="2546" t="s">
        <v>2424</v>
      </c>
      <c r="J59" s="2550" t="str">
        <f ca="1">IF(OR(M47="住宅",J51&lt;L48,J56="是"),"——",ROUND(C29*J58,0))</f>
        <v>——</v>
      </c>
      <c r="K59" s="2569" t="s">
        <v>2897</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928</v>
      </c>
      <c r="C60" s="313">
        <f ca="1">IF(项目基本情况!B11="自然人","——",ROUND(C48*F60/(1+'数据-取费表'!C42),2))</f>
        <v>0</v>
      </c>
      <c r="D60" s="2421" t="s">
        <v>929</v>
      </c>
      <c r="E60" s="2403" t="s">
        <v>365</v>
      </c>
      <c r="F60" s="717">
        <f t="shared" ref="F60:F66" si="0">F32</f>
        <v>5.6000000000000001E-2</v>
      </c>
      <c r="I60" s="2547" t="s">
        <v>2425</v>
      </c>
      <c r="J60" s="2551" t="str">
        <f ca="1">IF(OR(M47="住宅",J51&lt;L48,J56="是"),"0",ROUND(J59/(1+J52)^J53,0))</f>
        <v>0</v>
      </c>
      <c r="K60" s="2553" t="s">
        <v>2428</v>
      </c>
      <c r="L60" s="2551">
        <f ca="1">IF(OR(M47="住宅",L48&lt;J51),0,ROUND(L57*(L58/L59-1),0))</f>
        <v>0</v>
      </c>
      <c r="O60" s="2590" t="s">
        <v>2450</v>
      </c>
      <c r="P60" s="2598" t="s">
        <v>2480</v>
      </c>
      <c r="Q60" s="2589">
        <f ca="1">L58</f>
        <v>0</v>
      </c>
      <c r="R60" s="2589" t="s">
        <v>2455</v>
      </c>
    </row>
    <row r="61" spans="1:18" s="1455" customFormat="1" ht="20.25" thickBot="1">
      <c r="A61" s="2439" t="s">
        <v>2369</v>
      </c>
      <c r="B61" s="2403" t="s">
        <v>931</v>
      </c>
      <c r="C61" s="313">
        <f ca="1">IF(项目基本情况!B11="自然人","——",IF(D61="按租金收入计税",ROUND(C48*F61,2),IF(D61="按房产原值计税",ROUND(C57*F61*0.7,2),INDIRECT("'数据-取费表'!Aj"&amp;$G$1))))</f>
        <v>92.78</v>
      </c>
      <c r="D61" s="1301" t="s">
        <v>2410</v>
      </c>
      <c r="E61" s="2403" t="s">
        <v>365</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933</v>
      </c>
      <c r="C62" s="314">
        <f ca="1">IF(项目基本情况!B11="自然人","——",ROUND(F62*F63/10000,2))</f>
        <v>10.3</v>
      </c>
      <c r="D62" s="2422" t="s">
        <v>934</v>
      </c>
      <c r="E62" s="2403" t="s">
        <v>935</v>
      </c>
      <c r="F62" s="711">
        <f t="shared" si="0"/>
        <v>12</v>
      </c>
      <c r="I62" s="2548" t="s">
        <v>2415</v>
      </c>
      <c r="J62" s="2549" t="s">
        <v>2416</v>
      </c>
      <c r="K62" s="2549" t="s">
        <v>2417</v>
      </c>
      <c r="L62" s="2549" t="s">
        <v>2413</v>
      </c>
      <c r="M62" s="3321" t="s">
        <v>3033</v>
      </c>
      <c r="O62" s="2588" t="s">
        <v>2452</v>
      </c>
      <c r="P62" s="2598" t="s">
        <v>2470</v>
      </c>
      <c r="Q62" s="2589">
        <f ca="1">Q56+Q57</f>
        <v>25629</v>
      </c>
      <c r="R62" s="2589" t="s">
        <v>2453</v>
      </c>
    </row>
    <row r="63" spans="1:18" s="1455" customFormat="1" ht="16.5" thickBot="1">
      <c r="A63" s="712"/>
      <c r="B63" s="2409"/>
      <c r="C63" s="318"/>
      <c r="D63" s="2423"/>
      <c r="E63" s="2403" t="s">
        <v>939</v>
      </c>
      <c r="F63" s="685">
        <f t="shared" ca="1" si="0"/>
        <v>8583.85</v>
      </c>
      <c r="I63" s="2548" t="s">
        <v>2429</v>
      </c>
      <c r="J63" s="3324">
        <v>70</v>
      </c>
      <c r="K63" s="3324">
        <v>50</v>
      </c>
      <c r="L63" s="3324">
        <v>80</v>
      </c>
      <c r="M63" s="3322">
        <v>0.02</v>
      </c>
      <c r="O63" s="2592" t="s">
        <v>2484</v>
      </c>
      <c r="P63" s="1296"/>
      <c r="Q63" s="1296"/>
      <c r="R63" s="1296"/>
    </row>
    <row r="64" spans="1:18" s="1455" customFormat="1" ht="15.75" thickBot="1">
      <c r="A64" s="2439" t="s">
        <v>2378</v>
      </c>
      <c r="B64" s="2403" t="s">
        <v>941</v>
      </c>
      <c r="C64" s="313">
        <f ca="1">ROUND(C57*F64,1)</f>
        <v>165.7</v>
      </c>
      <c r="D64" s="2421" t="s">
        <v>971</v>
      </c>
      <c r="E64" s="2403" t="s">
        <v>365</v>
      </c>
      <c r="F64" s="714">
        <f t="shared" ca="1" si="0"/>
        <v>1.4999999999999999E-2</v>
      </c>
      <c r="I64" s="2548" t="s">
        <v>2430</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ROUND(C56*F65,1)</f>
        <v>13.6</v>
      </c>
      <c r="D65" s="2421" t="s">
        <v>369</v>
      </c>
      <c r="E65" s="2403" t="s">
        <v>365</v>
      </c>
      <c r="F65" s="716">
        <f t="shared" ca="1" si="0"/>
        <v>1.5E-3</v>
      </c>
      <c r="I65" s="2548" t="s">
        <v>2431</v>
      </c>
      <c r="J65" s="3324">
        <v>40</v>
      </c>
      <c r="K65" s="3324">
        <v>30</v>
      </c>
      <c r="L65" s="3324">
        <v>50</v>
      </c>
      <c r="M65" s="3322">
        <v>0.02</v>
      </c>
      <c r="O65" s="2588" t="s">
        <v>2446</v>
      </c>
      <c r="P65" s="2598" t="s">
        <v>2464</v>
      </c>
      <c r="Q65" s="2589">
        <f ca="1">C40+J29</f>
        <v>25629</v>
      </c>
      <c r="R65" s="2589" t="s">
        <v>2465</v>
      </c>
    </row>
    <row r="66" spans="1:18" s="1455" customFormat="1" ht="20.25" thickBot="1">
      <c r="A66" s="2439" t="s">
        <v>2373</v>
      </c>
      <c r="B66" s="2403" t="s">
        <v>367</v>
      </c>
      <c r="C66" s="313">
        <f ca="1">ROUND(C48*F66,1)</f>
        <v>0</v>
      </c>
      <c r="D66" s="2421" t="s">
        <v>371</v>
      </c>
      <c r="E66" s="2403" t="s">
        <v>365</v>
      </c>
      <c r="F66" s="694">
        <f t="shared" ca="1" si="0"/>
        <v>0.02</v>
      </c>
      <c r="O66" s="2588" t="s">
        <v>2447</v>
      </c>
      <c r="P66" s="2598" t="s">
        <v>2471</v>
      </c>
      <c r="Q66" s="2589">
        <f ca="1">L60</f>
        <v>0</v>
      </c>
      <c r="R66" s="2589" t="s">
        <v>2454</v>
      </c>
    </row>
    <row r="67" spans="1:18" s="1455" customFormat="1" ht="24.75" thickBot="1">
      <c r="A67" s="2410" t="s">
        <v>2351</v>
      </c>
      <c r="B67" s="2424" t="s">
        <v>377</v>
      </c>
      <c r="C67" s="698">
        <f ca="1">C48-C58</f>
        <v>-282</v>
      </c>
      <c r="D67" s="2420" t="s">
        <v>378</v>
      </c>
      <c r="E67" s="2425"/>
      <c r="F67" s="2426"/>
      <c r="O67" s="2590" t="s">
        <v>2448</v>
      </c>
      <c r="P67" s="2598" t="s">
        <v>2478</v>
      </c>
      <c r="Q67" s="2593">
        <f ca="1">L51</f>
        <v>3062</v>
      </c>
      <c r="R67" s="2594" t="s">
        <v>2488</v>
      </c>
    </row>
    <row r="68" spans="1:18" s="1455" customFormat="1" ht="20.25" thickBot="1">
      <c r="A68" s="2400" t="s">
        <v>2354</v>
      </c>
      <c r="B68" s="2401" t="s">
        <v>379</v>
      </c>
      <c r="C68" s="683">
        <f ca="1">ROUND(C67*(1-((1+F70)/(1+F68))^F69)/(F68-F70),0)</f>
        <v>-5031</v>
      </c>
      <c r="D68" s="2422" t="s">
        <v>373</v>
      </c>
      <c r="E68" s="2403" t="s">
        <v>374</v>
      </c>
      <c r="F68" s="694">
        <f ca="1">F40</f>
        <v>4.4999999999999998E-2</v>
      </c>
      <c r="O68" s="2590" t="s">
        <v>2449</v>
      </c>
      <c r="P68" s="2599" t="s">
        <v>2482</v>
      </c>
      <c r="Q68" s="2589">
        <f ca="1">ROUND(Q69-Q70*Q71,0)</f>
        <v>160</v>
      </c>
      <c r="R68" s="2589" t="s">
        <v>2487</v>
      </c>
    </row>
    <row r="69" spans="1:18" s="1455" customFormat="1" ht="15.75" thickBot="1">
      <c r="A69" s="2404"/>
      <c r="B69" s="2405"/>
      <c r="C69" s="688"/>
      <c r="D69" s="2427" t="s">
        <v>956</v>
      </c>
      <c r="E69" s="2403" t="s">
        <v>381</v>
      </c>
      <c r="F69" s="719">
        <f ca="1">F41</f>
        <v>36.89</v>
      </c>
      <c r="O69" s="2590" t="s">
        <v>2457</v>
      </c>
      <c r="P69" s="2599" t="s">
        <v>2472</v>
      </c>
      <c r="Q69" s="2589">
        <f ca="1">C39</f>
        <v>930</v>
      </c>
      <c r="R69" s="2589" t="s">
        <v>2465</v>
      </c>
    </row>
    <row r="70" spans="1:18" s="1455" customFormat="1" ht="15.75" thickBot="1">
      <c r="A70" s="2407"/>
      <c r="B70" s="2408"/>
      <c r="C70" s="692"/>
      <c r="D70" s="2423"/>
      <c r="E70" s="2403" t="s">
        <v>382</v>
      </c>
      <c r="F70" s="2533"/>
      <c r="O70" s="2590" t="s">
        <v>2458</v>
      </c>
      <c r="P70" s="2599" t="s">
        <v>2473</v>
      </c>
      <c r="Q70" s="2589">
        <f ca="1">C13</f>
        <v>9057</v>
      </c>
      <c r="R70" s="2589" t="s">
        <v>2465</v>
      </c>
    </row>
    <row r="71" spans="1:18" s="1455" customFormat="1" ht="15.75" thickBot="1">
      <c r="A71" s="2428" t="s">
        <v>2361</v>
      </c>
      <c r="B71" s="2429" t="s">
        <v>383</v>
      </c>
      <c r="C71" s="722">
        <f ca="1">ROUND(C68*10000/F71,0)</f>
        <v>-2004</v>
      </c>
      <c r="D71" s="2430" t="s">
        <v>384</v>
      </c>
      <c r="E71" s="2431" t="s">
        <v>385</v>
      </c>
      <c r="F71" s="725">
        <f ca="1">F43</f>
        <v>25109.51</v>
      </c>
      <c r="I71" s="2398"/>
      <c r="K71" s="2398"/>
      <c r="O71" s="2590" t="s">
        <v>2459</v>
      </c>
      <c r="P71" s="2599" t="s">
        <v>2485</v>
      </c>
      <c r="Q71" s="2591">
        <f ca="1">C76</f>
        <v>8.5000000000000006E-2</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770</v>
      </c>
      <c r="D75" s="1455"/>
      <c r="E75" s="1455"/>
      <c r="F75" s="1455"/>
      <c r="K75" s="1456"/>
      <c r="L75" s="1455"/>
      <c r="O75" s="2588" t="s">
        <v>2452</v>
      </c>
      <c r="P75" s="2598" t="s">
        <v>2470</v>
      </c>
      <c r="Q75" s="2589">
        <f ca="1">Q65+Q66</f>
        <v>25629</v>
      </c>
      <c r="R75" s="2589" t="s">
        <v>2453</v>
      </c>
    </row>
    <row r="76" spans="1:18">
      <c r="B76" s="731" t="s">
        <v>970</v>
      </c>
      <c r="C76" s="732">
        <f ca="1">INDIRECT("'数据-取费表'!j"&amp;$G$1)</f>
        <v>8.5000000000000006E-2</v>
      </c>
      <c r="I76" s="1455"/>
      <c r="J76" s="1455"/>
      <c r="K76" s="1456"/>
      <c r="L76" s="1455"/>
    </row>
    <row r="77" spans="1:18">
      <c r="B77" s="733" t="s">
        <v>973</v>
      </c>
      <c r="C77" s="734"/>
      <c r="I77" s="1455"/>
      <c r="J77" s="1455"/>
      <c r="K77" s="1456"/>
      <c r="L77" s="1455"/>
    </row>
    <row r="78" spans="1:18">
      <c r="B78" s="646" t="s">
        <v>959</v>
      </c>
      <c r="C78" s="735"/>
    </row>
    <row r="79" spans="1:18">
      <c r="B79" s="2874" t="s">
        <v>2698</v>
      </c>
      <c r="C79" s="650">
        <f ca="1">1-C80</f>
        <v>0.17200000000000004</v>
      </c>
    </row>
    <row r="80" spans="1:18">
      <c r="B80" s="2874" t="s">
        <v>2697</v>
      </c>
      <c r="C80" s="650">
        <f ca="1">ROUND(C75/C39,3)</f>
        <v>0.82799999999999996</v>
      </c>
    </row>
    <row r="81" spans="2:3">
      <c r="B81" s="646" t="s">
        <v>387</v>
      </c>
      <c r="C81" s="647"/>
    </row>
    <row r="82" spans="2:3">
      <c r="B82" s="2873" t="s">
        <v>2696</v>
      </c>
      <c r="C82" s="651">
        <f ca="1">1-C83</f>
        <v>0.64700000000000002</v>
      </c>
    </row>
    <row r="83" spans="2:3">
      <c r="B83" s="2873" t="s">
        <v>2695</v>
      </c>
      <c r="C83" s="650">
        <f ca="1">ROUND(C13/C40,3)</f>
        <v>0.35299999999999998</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63:P91"/>
  <sheetViews>
    <sheetView topLeftCell="A55" workbookViewId="0">
      <selection activeCell="L64" sqref="L64"/>
    </sheetView>
  </sheetViews>
  <sheetFormatPr defaultRowHeight="13.5"/>
  <sheetData>
    <row r="63" spans="10:16">
      <c r="J63" s="3373" t="s">
        <v>3103</v>
      </c>
      <c r="K63">
        <v>1</v>
      </c>
      <c r="L63">
        <v>13.5</v>
      </c>
      <c r="M63">
        <f>'基准地价修正（1）'!D29</f>
        <v>8351.19</v>
      </c>
      <c r="N63">
        <f>ROUND(M63/$M$71*L63,1)</f>
        <v>1.7</v>
      </c>
      <c r="P63">
        <f>'基准地价修正（1）'!C21</f>
        <v>1.8629</v>
      </c>
    </row>
    <row r="64" spans="10:16">
      <c r="J64">
        <v>2</v>
      </c>
      <c r="K64">
        <f>ROUND(P64/$P$63,1)</f>
        <v>0.7</v>
      </c>
      <c r="L64">
        <f>ROUND($L$63*K64,1)</f>
        <v>9.5</v>
      </c>
      <c r="M64">
        <f>'基准地价修正 (2)'!D29</f>
        <v>11262.99</v>
      </c>
      <c r="N64">
        <f t="shared" ref="N64:N70" si="0">ROUND(M64/$M$71*L64,1)</f>
        <v>1.6</v>
      </c>
      <c r="P64">
        <f>'基准地价修正 (2)'!C21</f>
        <v>1.3371999999999999</v>
      </c>
    </row>
    <row r="65" spans="10:16">
      <c r="J65">
        <v>3</v>
      </c>
      <c r="K65">
        <f t="shared" ref="K65:K70" si="1">ROUND(P65/$P$63,1)</f>
        <v>0.6</v>
      </c>
      <c r="L65">
        <f t="shared" ref="L65:L70" si="2">ROUND($L$63*K65,1)</f>
        <v>8.1</v>
      </c>
      <c r="M65">
        <f>'基准地价修正 (3)'!D29</f>
        <v>15605.82</v>
      </c>
      <c r="N65">
        <f t="shared" si="0"/>
        <v>1.9</v>
      </c>
      <c r="P65">
        <f>'基准地价修正 (3)'!C21</f>
        <v>1.0788</v>
      </c>
    </row>
    <row r="66" spans="10:16">
      <c r="J66">
        <v>4</v>
      </c>
      <c r="K66">
        <f t="shared" si="1"/>
        <v>0.5</v>
      </c>
      <c r="L66">
        <f t="shared" si="2"/>
        <v>6.8</v>
      </c>
      <c r="M66">
        <f>'基准地价修正 (4)'!D29</f>
        <v>16467.25</v>
      </c>
      <c r="N66">
        <f t="shared" si="0"/>
        <v>1.7</v>
      </c>
      <c r="P66">
        <f>'基准地价修正 (4)'!C21</f>
        <v>0.86560000000000004</v>
      </c>
    </row>
    <row r="67" spans="10:16">
      <c r="J67">
        <v>5</v>
      </c>
      <c r="K67">
        <f t="shared" si="1"/>
        <v>0.4</v>
      </c>
      <c r="L67">
        <f t="shared" si="2"/>
        <v>5.4</v>
      </c>
      <c r="M67">
        <f>'基准地价修正 (5)'!D29</f>
        <v>931.88</v>
      </c>
      <c r="N67">
        <f t="shared" si="0"/>
        <v>0.1</v>
      </c>
      <c r="P67">
        <f>'基准地价修正 (5)'!C21</f>
        <v>0.73709999999999998</v>
      </c>
    </row>
    <row r="68" spans="10:16">
      <c r="J68">
        <v>6</v>
      </c>
      <c r="K68">
        <f t="shared" si="1"/>
        <v>0.3</v>
      </c>
      <c r="L68">
        <f t="shared" si="2"/>
        <v>4.0999999999999996</v>
      </c>
      <c r="M68">
        <f>'基准地价修正 (6)'!D29</f>
        <v>0</v>
      </c>
      <c r="N68">
        <f t="shared" si="0"/>
        <v>0</v>
      </c>
      <c r="P68">
        <f>'基准地价修正 (6)'!C21</f>
        <v>0.6482</v>
      </c>
    </row>
    <row r="69" spans="10:16">
      <c r="J69">
        <v>7</v>
      </c>
      <c r="K69">
        <f t="shared" si="1"/>
        <v>0.3</v>
      </c>
      <c r="L69">
        <f t="shared" si="2"/>
        <v>4.0999999999999996</v>
      </c>
      <c r="M69">
        <f>'基准地价修正 (7)'!D29</f>
        <v>750.95</v>
      </c>
      <c r="N69">
        <f t="shared" si="0"/>
        <v>0</v>
      </c>
      <c r="P69">
        <f>'基准地价修正 (7)'!C21</f>
        <v>0.64729999999999999</v>
      </c>
    </row>
    <row r="70" spans="10:16">
      <c r="J70" s="3373" t="s">
        <v>3104</v>
      </c>
      <c r="K70">
        <f t="shared" si="1"/>
        <v>0.4</v>
      </c>
      <c r="L70">
        <f t="shared" si="2"/>
        <v>5.4</v>
      </c>
      <c r="M70">
        <f>'基准地价修正（1）'!D33</f>
        <v>14021.740000000002</v>
      </c>
      <c r="N70">
        <f t="shared" si="0"/>
        <v>1.1000000000000001</v>
      </c>
      <c r="P70">
        <f>'基准地价修正（1）'!F33</f>
        <v>0.7</v>
      </c>
    </row>
    <row r="71" spans="10:16">
      <c r="J71" s="3373"/>
      <c r="M71">
        <f>SUM(M63:M70)</f>
        <v>67391.819999999992</v>
      </c>
      <c r="N71" s="3374">
        <f>SUM(N63:N70)</f>
        <v>8.1</v>
      </c>
    </row>
    <row r="72" spans="10:16">
      <c r="O72">
        <f ca="1">结果表!G19</f>
        <v>322046</v>
      </c>
    </row>
    <row r="77" spans="10:16">
      <c r="O77">
        <v>29</v>
      </c>
    </row>
    <row r="78" spans="10:16">
      <c r="O78">
        <v>56</v>
      </c>
    </row>
    <row r="79" spans="10:16">
      <c r="O79">
        <v>54</v>
      </c>
    </row>
    <row r="80" spans="10:16">
      <c r="O80">
        <v>18</v>
      </c>
    </row>
    <row r="81" spans="15:15">
      <c r="O81">
        <v>2</v>
      </c>
    </row>
    <row r="82" spans="15:15">
      <c r="O82">
        <v>5</v>
      </c>
    </row>
    <row r="83" spans="15:15">
      <c r="O83">
        <v>5</v>
      </c>
    </row>
    <row r="84" spans="15:15">
      <c r="O84">
        <v>16</v>
      </c>
    </row>
    <row r="85" spans="15:15">
      <c r="O85">
        <v>21</v>
      </c>
    </row>
    <row r="86" spans="15:15">
      <c r="O86">
        <v>2</v>
      </c>
    </row>
    <row r="87" spans="15:15">
      <c r="O87">
        <v>35</v>
      </c>
    </row>
    <row r="88" spans="15:15">
      <c r="O88">
        <v>34</v>
      </c>
    </row>
    <row r="89" spans="15:15">
      <c r="O89">
        <v>2</v>
      </c>
    </row>
    <row r="90" spans="15:15">
      <c r="O90">
        <v>2</v>
      </c>
    </row>
    <row r="91" spans="15:15">
      <c r="O91">
        <f>SUM(O77:O90)</f>
        <v>281</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140</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基准地价修正（1）</vt:lpstr>
      <vt:lpstr>基准地价修正 (2)</vt:lpstr>
      <vt:lpstr>基准地价修正 (3)</vt:lpstr>
      <vt:lpstr>基准地价修正 (4)</vt:lpstr>
      <vt:lpstr>基准地价修正 (5)</vt:lpstr>
      <vt:lpstr>基准地价修正 (6)</vt:lpstr>
      <vt:lpstr>基准地价修正 (7)</vt:lpstr>
      <vt:lpstr>基准地价（汇总）</vt:lpstr>
      <vt:lpstr>成本法</vt:lpstr>
      <vt:lpstr>成本法 (元)</vt:lpstr>
      <vt:lpstr>假设开发法</vt:lpstr>
      <vt:lpstr>收益法（汇总）</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收益法-车库</vt:lpstr>
      <vt:lpstr>案例</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'基准地价修正 (3)'!季度</vt:lpstr>
      <vt:lpstr>'基准地价修正 (4)'!季度</vt:lpstr>
      <vt:lpstr>'基准地价修正 (5)'!季度</vt:lpstr>
      <vt:lpstr>'基准地价修正 (6)'!季度</vt:lpstr>
      <vt:lpstr>'基准地价修正 (7)'!季度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2017-08-23T08:21:45Z</cp:lastPrinted>
  <dcterms:created xsi:type="dcterms:W3CDTF">2015-07-13T07:17:23Z</dcterms:created>
  <dcterms:modified xsi:type="dcterms:W3CDTF">2017-08-23T08:26:45Z</dcterms:modified>
</cp:coreProperties>
</file>