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75" windowWidth="11115" windowHeight="10995"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已查封房产" sheetId="8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74" r:id="rId18"/>
    <sheet name="结果表" sheetId="9" r:id="rId19"/>
    <sheet name="Sheet0" sheetId="79" r:id="rId20"/>
    <sheet name="成本法" sheetId="68" r:id="rId21"/>
    <sheet name="成本法 (元)" sheetId="69" state="hidden" r:id="rId22"/>
    <sheet name="土地比较法-住宅、综合" sheetId="39" r:id="rId23"/>
    <sheet name="假设开发法" sheetId="12" r:id="rId24"/>
    <sheet name="收益法" sheetId="15" state="hidden" r:id="rId25"/>
    <sheet name="收益法 (元)" sheetId="67" state="hidden" r:id="rId26"/>
    <sheet name="收益法-酒店模型" sheetId="77" state="hidden" r:id="rId27"/>
    <sheet name="收益法（汇总）" sheetId="70" state="hidden" r:id="rId28"/>
    <sheet name="比较法-高层"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比较法-叠墅" sheetId="81" r:id="rId47"/>
    <sheet name="Sheet1" sheetId="78"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46" hidden="1">'比较法-叠墅'!$A$1:$L$49</definedName>
    <definedName name="_xlnm._FilterDatabase" localSheetId="28" hidden="1">'比较法-高层'!$A$1:$L$49</definedName>
    <definedName name="_xlnm._FilterDatabase" localSheetId="31" hidden="1">'比较法-工业'!$A$1:$L$43</definedName>
    <definedName name="_xlnm._FilterDatabase" localSheetId="29" hidden="1">'比较法-商业'!$A$1:$L$49</definedName>
    <definedName name="_xlnm._FilterDatabase" localSheetId="12"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46">'比较法-叠墅'!$A$1:$K$54,'比较法-叠墅'!$A$57:$M$131</definedName>
    <definedName name="_xlnm.Print_Area" localSheetId="28">'比较法-高层'!$A$1:$K$54,'比较法-高层'!$A$57:$M$131</definedName>
    <definedName name="_xlnm.Print_Area" localSheetId="31">'比较法-工业'!$A$1:$K$48,'比较法-工业'!$A$51:$M$113</definedName>
    <definedName name="_xlnm.Print_Area" localSheetId="29">'比较法-商业'!$A$1:$K$54,'比较法-商业'!$A$57:$M$131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22">'土地比较法-住宅、综合'!$A$1:$K$65,'土地比较法-住宅、综合'!$A$68:$M$131</definedName>
    <definedName name="_xlnm.Print_Area" localSheetId="17">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6">'比较法-叠墅'!$B$88:$M$88</definedName>
    <definedName name="住宅朝向">'比较法-高层'!$B$88:$M$88</definedName>
    <definedName name="住宅房型" localSheetId="46">'比较法-叠墅'!$B$118:$M$118</definedName>
    <definedName name="住宅房型">'比较法-高层'!$B$118:$M$118</definedName>
    <definedName name="住宅公共部分装修" localSheetId="46">'比较法-叠墅'!$B$109:$M$109</definedName>
    <definedName name="住宅公共部分装修">'比较法-高层'!$B$109:$M$109</definedName>
    <definedName name="住宅基础设施水平" localSheetId="46">'比较法-叠墅'!$B$116:$M$116</definedName>
    <definedName name="住宅基础设施水平">'比较法-高层'!$B$116:$M$116</definedName>
    <definedName name="住宅建筑结构" localSheetId="46">'比较法-叠墅'!$B$105:$M$105</definedName>
    <definedName name="住宅建筑结构">'比较法-高层'!$B$105:$M$105</definedName>
    <definedName name="住宅建筑类型" localSheetId="46">'比较法-叠墅'!$B$100:$M$100</definedName>
    <definedName name="住宅建筑类型">'比较法-高层'!$B$100:$M$100</definedName>
    <definedName name="住宅建筑品质" localSheetId="46">'比较法-叠墅'!$B$107:$M$107</definedName>
    <definedName name="住宅建筑品质">'比较法-高层'!$B$107:$M$107</definedName>
    <definedName name="住宅交易情况" localSheetId="46">'比较法-叠墅'!$A$61:$M$61</definedName>
    <definedName name="住宅交易情况">'比较法-高层'!$A$61:$M$61</definedName>
    <definedName name="住宅楼层" localSheetId="46">'比较法-叠墅'!$B$86:$M$86</definedName>
    <definedName name="住宅楼层">'比较法-高层'!$B$86:$M$86</definedName>
    <definedName name="住宅内部装修" localSheetId="46">'比较法-叠墅'!$B$122:$M$122</definedName>
    <definedName name="住宅内部装修">'比较法-高层'!$B$122:$M$122</definedName>
    <definedName name="住宅物业管理" localSheetId="46">'比较法-叠墅'!$B$114:$M$114</definedName>
    <definedName name="住宅物业管理">'比较法-高层'!$B$114:$M$114</definedName>
    <definedName name="住宅用途" localSheetId="46">'比较法-叠墅'!$B$63:$M$63</definedName>
    <definedName name="住宅用途">'比较法-高层'!$B$63:$M$63</definedName>
    <definedName name="住宅主力户型面积" localSheetId="46">'比较法-叠墅'!$B$120:$M$120</definedName>
    <definedName name="住宅主力户型面积">'比较法-高层'!$B$120:$M$120</definedName>
    <definedName name="注册房地产估价师">估价师及机构信息!$A$3:$A$16</definedName>
  </definedNames>
  <calcPr calcId="144525"/>
</workbook>
</file>

<file path=xl/calcChain.xml><?xml version="1.0" encoding="utf-8"?>
<calcChain xmlns="http://schemas.openxmlformats.org/spreadsheetml/2006/main">
  <c r="C145" i="81" l="1"/>
  <c r="J142" i="81"/>
  <c r="J140" i="81"/>
  <c r="K145" i="81" s="1"/>
  <c r="K139" i="81"/>
  <c r="K141" i="81" s="1"/>
  <c r="B130" i="81"/>
  <c r="B128" i="81"/>
  <c r="B126" i="81"/>
  <c r="E125" i="81"/>
  <c r="F125" i="81" s="1"/>
  <c r="G125" i="81" s="1"/>
  <c r="D125" i="81"/>
  <c r="E123" i="81"/>
  <c r="F123" i="81" s="1"/>
  <c r="G123" i="81" s="1"/>
  <c r="H123" i="81" s="1"/>
  <c r="I123" i="81" s="1"/>
  <c r="J123" i="81" s="1"/>
  <c r="K123" i="81" s="1"/>
  <c r="L123" i="81" s="1"/>
  <c r="M123" i="81" s="1"/>
  <c r="D123" i="81"/>
  <c r="E119" i="81"/>
  <c r="F119" i="81" s="1"/>
  <c r="G119" i="81" s="1"/>
  <c r="H119" i="81" s="1"/>
  <c r="I119" i="81" s="1"/>
  <c r="J119" i="81" s="1"/>
  <c r="K119" i="81" s="1"/>
  <c r="L119" i="81" s="1"/>
  <c r="M119" i="81" s="1"/>
  <c r="D119" i="81"/>
  <c r="E117" i="81"/>
  <c r="F117" i="81" s="1"/>
  <c r="G117" i="81" s="1"/>
  <c r="D117" i="81"/>
  <c r="E115" i="81"/>
  <c r="F115" i="81" s="1"/>
  <c r="G115" i="81" s="1"/>
  <c r="H115" i="81" s="1"/>
  <c r="I115" i="81" s="1"/>
  <c r="J115" i="81" s="1"/>
  <c r="K115" i="81" s="1"/>
  <c r="L115" i="81" s="1"/>
  <c r="M115" i="81" s="1"/>
  <c r="D115" i="81"/>
  <c r="D113" i="81"/>
  <c r="E113" i="81" s="1"/>
  <c r="F113" i="81" s="1"/>
  <c r="G113" i="81" s="1"/>
  <c r="H113" i="81" s="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E89" i="81"/>
  <c r="F89" i="81" s="1"/>
  <c r="G89" i="81" s="1"/>
  <c r="H89" i="81" s="1"/>
  <c r="I89" i="81" s="1"/>
  <c r="J89" i="81" s="1"/>
  <c r="K89" i="81" s="1"/>
  <c r="L89" i="81" s="1"/>
  <c r="M89" i="81" s="1"/>
  <c r="D89" i="81"/>
  <c r="M87" i="81"/>
  <c r="L87" i="81"/>
  <c r="K87" i="81"/>
  <c r="J87" i="81"/>
  <c r="I87" i="81"/>
  <c r="H87" i="81"/>
  <c r="G87" i="81"/>
  <c r="F87" i="81"/>
  <c r="E87" i="81"/>
  <c r="D87" i="81"/>
  <c r="E85" i="81"/>
  <c r="F85" i="81" s="1"/>
  <c r="G85" i="81" s="1"/>
  <c r="D85" i="8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D66" i="81"/>
  <c r="E66" i="81" s="1"/>
  <c r="F66" i="81" s="1"/>
  <c r="G66" i="81" s="1"/>
  <c r="H66" i="81" s="1"/>
  <c r="I66" i="81" s="1"/>
  <c r="C63" i="81"/>
  <c r="I54" i="81"/>
  <c r="J54" i="81" s="1"/>
  <c r="G54" i="81"/>
  <c r="H54" i="81" s="1"/>
  <c r="E54" i="81"/>
  <c r="F54" i="81" s="1"/>
  <c r="P49" i="81"/>
  <c r="P48" i="81"/>
  <c r="K48" i="81"/>
  <c r="V47" i="81"/>
  <c r="T47" i="81"/>
  <c r="R47" i="81"/>
  <c r="P47" i="8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C33" i="81"/>
  <c r="J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C19" i="81"/>
  <c r="W17" i="81"/>
  <c r="Q17" i="81"/>
  <c r="Z17" i="81" s="1"/>
  <c r="J17" i="81"/>
  <c r="AC17" i="81" s="1"/>
  <c r="H17" i="81"/>
  <c r="AB17" i="81" s="1"/>
  <c r="F17" i="81"/>
  <c r="AA17" i="81" s="1"/>
  <c r="C17" i="81"/>
  <c r="Q15" i="81"/>
  <c r="Z15" i="81" s="1"/>
  <c r="J15" i="81"/>
  <c r="W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C11" i="81"/>
  <c r="H11" i="81" s="1"/>
  <c r="Q10" i="81"/>
  <c r="Z10" i="81" s="1"/>
  <c r="J10" i="81"/>
  <c r="AC10" i="81" s="1"/>
  <c r="H10" i="81"/>
  <c r="AB10" i="81" s="1"/>
  <c r="F10" i="81"/>
  <c r="AA10" i="81" s="1"/>
  <c r="Q9" i="81"/>
  <c r="Z9" i="81" s="1"/>
  <c r="J9" i="81"/>
  <c r="AC9" i="81" s="1"/>
  <c r="H9" i="81"/>
  <c r="AB9" i="81" s="1"/>
  <c r="F9" i="81"/>
  <c r="AA9" i="81" s="1"/>
  <c r="J8" i="81"/>
  <c r="W8" i="81" s="1"/>
  <c r="H8" i="81"/>
  <c r="AB8" i="81" s="1"/>
  <c r="F8" i="81"/>
  <c r="S8" i="81" s="1"/>
  <c r="I7" i="81"/>
  <c r="J7" i="81" s="1"/>
  <c r="G7" i="81"/>
  <c r="H7" i="81" s="1"/>
  <c r="E7" i="81"/>
  <c r="F7" i="81" s="1"/>
  <c r="C7" i="81"/>
  <c r="C58" i="81" s="1"/>
  <c r="D58" i="81" s="1"/>
  <c r="E58" i="81" s="1"/>
  <c r="F58" i="81" s="1"/>
  <c r="G58" i="81" s="1"/>
  <c r="H58" i="81" s="1"/>
  <c r="I58" i="81" s="1"/>
  <c r="J58" i="81" s="1"/>
  <c r="K58" i="81" s="1"/>
  <c r="L58" i="81" s="1"/>
  <c r="M58" i="81" s="1"/>
  <c r="N58" i="81" s="1"/>
  <c r="O58" i="81" s="1"/>
  <c r="D3" i="81"/>
  <c r="C33" i="21"/>
  <c r="C11" i="21"/>
  <c r="I7" i="21"/>
  <c r="G7" i="21"/>
  <c r="E7" i="21"/>
  <c r="F21" i="6"/>
  <c r="F20" i="6"/>
  <c r="F19" i="6"/>
  <c r="C21" i="6"/>
  <c r="C20" i="6"/>
  <c r="C19" i="6"/>
  <c r="I16" i="3"/>
  <c r="I14" i="3"/>
  <c r="I15" i="3"/>
  <c r="I13" i="3"/>
  <c r="D2" i="81"/>
  <c r="AA7" i="81" l="1"/>
  <c r="S7" i="81"/>
  <c r="U7" i="81"/>
  <c r="AB7" i="81"/>
  <c r="AC7" i="81"/>
  <c r="W7" i="81"/>
  <c r="AB11" i="81"/>
  <c r="U11" i="81"/>
  <c r="U8" i="81"/>
  <c r="AA8" i="81"/>
  <c r="AC8" i="81"/>
  <c r="U9" i="81"/>
  <c r="S10" i="81"/>
  <c r="W10" i="81"/>
  <c r="F11" i="81"/>
  <c r="J11" i="81"/>
  <c r="U12" i="81"/>
  <c r="S13" i="81"/>
  <c r="W13" i="81"/>
  <c r="U14" i="81"/>
  <c r="U15" i="81"/>
  <c r="AC15" i="81"/>
  <c r="S17" i="81"/>
  <c r="S9" i="81"/>
  <c r="W9" i="81"/>
  <c r="U10" i="81"/>
  <c r="S12" i="81"/>
  <c r="W12" i="81"/>
  <c r="U13" i="81"/>
  <c r="S14" i="81"/>
  <c r="W14" i="81"/>
  <c r="S15" i="81"/>
  <c r="AA19" i="81"/>
  <c r="S19" i="81"/>
  <c r="AC33" i="81"/>
  <c r="W33" i="81"/>
  <c r="U17" i="81"/>
  <c r="U19" i="81"/>
  <c r="U21" i="81"/>
  <c r="U23" i="81"/>
  <c r="S25" i="81"/>
  <c r="W25" i="81"/>
  <c r="U26" i="81"/>
  <c r="S27" i="81"/>
  <c r="W27" i="81"/>
  <c r="U28" i="81"/>
  <c r="S29" i="81"/>
  <c r="W29" i="81"/>
  <c r="U30" i="81"/>
  <c r="S31" i="81"/>
  <c r="W31" i="81"/>
  <c r="U32" i="81"/>
  <c r="H33" i="81"/>
  <c r="S34" i="81"/>
  <c r="W34" i="81"/>
  <c r="U35" i="81"/>
  <c r="S36" i="81"/>
  <c r="W36" i="81"/>
  <c r="U37" i="81"/>
  <c r="S38" i="81"/>
  <c r="W38" i="81"/>
  <c r="U39" i="81"/>
  <c r="S40" i="81"/>
  <c r="W40" i="81"/>
  <c r="U41" i="81"/>
  <c r="S42" i="81"/>
  <c r="W42" i="81"/>
  <c r="U43" i="81"/>
  <c r="S44" i="81"/>
  <c r="W44" i="81"/>
  <c r="W19" i="81"/>
  <c r="S21" i="81"/>
  <c r="W21" i="81"/>
  <c r="S23" i="81"/>
  <c r="W23" i="81"/>
  <c r="U25" i="81"/>
  <c r="S26" i="81"/>
  <c r="W26" i="81"/>
  <c r="U27" i="81"/>
  <c r="S28" i="81"/>
  <c r="W28" i="81"/>
  <c r="U29" i="81"/>
  <c r="S30" i="81"/>
  <c r="W30" i="81"/>
  <c r="U31" i="81"/>
  <c r="S32" i="81"/>
  <c r="W32" i="81"/>
  <c r="F33" i="81"/>
  <c r="U34" i="81"/>
  <c r="S35" i="81"/>
  <c r="W35" i="81"/>
  <c r="U36" i="81"/>
  <c r="S37" i="81"/>
  <c r="W37" i="81"/>
  <c r="U38" i="81"/>
  <c r="S39" i="81"/>
  <c r="W39" i="81"/>
  <c r="U40" i="81"/>
  <c r="S41" i="81"/>
  <c r="W41" i="81"/>
  <c r="U42" i="81"/>
  <c r="S43" i="81"/>
  <c r="W43" i="81"/>
  <c r="U44" i="81"/>
  <c r="S45" i="81"/>
  <c r="W45" i="81"/>
  <c r="U46" i="81"/>
  <c r="K143" i="81"/>
  <c r="U45" i="81"/>
  <c r="S46" i="81"/>
  <c r="W46" i="81"/>
  <c r="K144" i="81"/>
  <c r="E2" i="80"/>
  <c r="G2" i="80" s="1"/>
  <c r="E3" i="80"/>
  <c r="G3" i="80" s="1"/>
  <c r="E4" i="80"/>
  <c r="G4" i="80" s="1"/>
  <c r="E5" i="80"/>
  <c r="G5" i="80" s="1"/>
  <c r="E6" i="80"/>
  <c r="G6" i="80" s="1"/>
  <c r="E7" i="80"/>
  <c r="G7" i="80" s="1"/>
  <c r="E8" i="80"/>
  <c r="G8" i="80" s="1"/>
  <c r="E9" i="80"/>
  <c r="G9" i="80" s="1"/>
  <c r="E10" i="80"/>
  <c r="G10" i="80" s="1"/>
  <c r="E11" i="80"/>
  <c r="G11" i="80" s="1"/>
  <c r="E12" i="80"/>
  <c r="G12" i="80" s="1"/>
  <c r="E13" i="80"/>
  <c r="G13" i="80" s="1"/>
  <c r="E14" i="80"/>
  <c r="G14" i="80" s="1"/>
  <c r="E15" i="80"/>
  <c r="G15" i="80" s="1"/>
  <c r="E16" i="80"/>
  <c r="G16" i="80" s="1"/>
  <c r="E17" i="80"/>
  <c r="G17" i="80" s="1"/>
  <c r="E18" i="80"/>
  <c r="G18" i="80" s="1"/>
  <c r="E19" i="80"/>
  <c r="G19" i="80" s="1"/>
  <c r="E20" i="80"/>
  <c r="G20" i="80" s="1"/>
  <c r="E21" i="80"/>
  <c r="G21" i="80" s="1"/>
  <c r="E22" i="80"/>
  <c r="G22" i="80" s="1"/>
  <c r="E23" i="80"/>
  <c r="G23" i="80" s="1"/>
  <c r="E24" i="80"/>
  <c r="G24" i="80" s="1"/>
  <c r="E25" i="80"/>
  <c r="G25" i="80" s="1"/>
  <c r="E26" i="80"/>
  <c r="G26" i="80" s="1"/>
  <c r="E27" i="80"/>
  <c r="G27" i="80" s="1"/>
  <c r="E28" i="80"/>
  <c r="G28" i="80" s="1"/>
  <c r="E29" i="80"/>
  <c r="G29" i="80" s="1"/>
  <c r="E30" i="80"/>
  <c r="G30" i="80" s="1"/>
  <c r="E31" i="80"/>
  <c r="G31" i="80" s="1"/>
  <c r="E32" i="80"/>
  <c r="G32" i="80" s="1"/>
  <c r="E33" i="80"/>
  <c r="G33" i="80" s="1"/>
  <c r="E34" i="80"/>
  <c r="G34" i="80" s="1"/>
  <c r="G35" i="80"/>
  <c r="G36" i="80"/>
  <c r="E37" i="80"/>
  <c r="G37" i="80" s="1"/>
  <c r="E38" i="80"/>
  <c r="G38" i="80" s="1"/>
  <c r="E39" i="80"/>
  <c r="G39" i="80" s="1"/>
  <c r="E40" i="80"/>
  <c r="G40" i="80" s="1"/>
  <c r="G41" i="80"/>
  <c r="G42" i="80"/>
  <c r="E43" i="80"/>
  <c r="G43" i="80" s="1"/>
  <c r="E44" i="80"/>
  <c r="G44" i="80" s="1"/>
  <c r="E45" i="80"/>
  <c r="G45" i="80" s="1"/>
  <c r="E46" i="80"/>
  <c r="G46" i="80" s="1"/>
  <c r="E47" i="80"/>
  <c r="G47" i="80" s="1"/>
  <c r="G48" i="80"/>
  <c r="G49" i="80"/>
  <c r="G50" i="80"/>
  <c r="G51" i="80"/>
  <c r="G52" i="80"/>
  <c r="D53" i="80"/>
  <c r="AA33" i="81" l="1"/>
  <c r="S33" i="81"/>
  <c r="AC11" i="81"/>
  <c r="V48" i="81" s="1"/>
  <c r="I48" i="81" s="1"/>
  <c r="W11" i="81"/>
  <c r="AB33" i="81"/>
  <c r="T48" i="81" s="1"/>
  <c r="G48" i="81" s="1"/>
  <c r="U33" i="81"/>
  <c r="AA11" i="81"/>
  <c r="R48" i="81" s="1"/>
  <c r="S11" i="81"/>
  <c r="I46" i="39"/>
  <c r="G46" i="39"/>
  <c r="E46" i="39"/>
  <c r="I38" i="39"/>
  <c r="G38" i="39"/>
  <c r="E38" i="39"/>
  <c r="E70" i="39"/>
  <c r="F70" i="39"/>
  <c r="G70" i="39" s="1"/>
  <c r="H70" i="39" s="1"/>
  <c r="I70" i="39" s="1"/>
  <c r="J70" i="39" s="1"/>
  <c r="K70" i="39" s="1"/>
  <c r="L70" i="39" s="1"/>
  <c r="M70" i="39" s="1"/>
  <c r="N70" i="39" s="1"/>
  <c r="O70" i="39" s="1"/>
  <c r="D70" i="39"/>
  <c r="I7" i="39"/>
  <c r="G7" i="39"/>
  <c r="E7" i="39"/>
  <c r="I5" i="39"/>
  <c r="G5" i="39"/>
  <c r="E5" i="39"/>
  <c r="R49" i="81" l="1"/>
  <c r="E48" i="81"/>
  <c r="G53" i="81"/>
  <c r="H53" i="81" s="1"/>
  <c r="G52" i="81"/>
  <c r="H52" i="81" s="1"/>
  <c r="I53" i="81"/>
  <c r="J53" i="81" s="1"/>
  <c r="I52" i="81"/>
  <c r="J52" i="81" s="1"/>
  <c r="D3" i="4"/>
  <c r="E53" i="81" l="1"/>
  <c r="F53" i="81" s="1"/>
  <c r="E52" i="81"/>
  <c r="F52" i="81" s="1"/>
  <c r="C49" i="81"/>
  <c r="C6" i="12" s="1"/>
  <c r="C48" i="81"/>
  <c r="G15" i="73"/>
  <c r="F15" i="73"/>
  <c r="E15" i="73"/>
  <c r="B2" i="81" l="1"/>
  <c r="C8" i="12" s="1"/>
  <c r="B3" i="81"/>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B66" i="72" s="1"/>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9" i="1"/>
  <c r="AP10" i="1"/>
  <c r="AP11" i="1"/>
  <c r="AP12" i="1"/>
  <c r="AP13" i="1"/>
  <c r="L21" i="6"/>
  <c r="L22" i="6"/>
  <c r="L23" i="6"/>
  <c r="L24" i="6"/>
  <c r="L25" i="6"/>
  <c r="L26" i="6"/>
  <c r="P27" i="6"/>
  <c r="A7" i="70"/>
  <c r="A8" i="70"/>
  <c r="E8" i="70"/>
  <c r="A9" i="70"/>
  <c r="E9" i="70" s="1"/>
  <c r="A10" i="70"/>
  <c r="E10" i="70" s="1"/>
  <c r="A11" i="70"/>
  <c r="E11" i="70" s="1"/>
  <c r="A12" i="70"/>
  <c r="E12" i="70" s="1"/>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66" i="43" s="1"/>
  <c r="B75" i="43"/>
  <c r="B55"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H5" i="3" s="1"/>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W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s="1"/>
  <c r="C18" i="20"/>
  <c r="B71" i="43" s="1"/>
  <c r="C17" i="20"/>
  <c r="C19" i="39" s="1"/>
  <c r="B59" i="43"/>
  <c r="C16" i="20"/>
  <c r="C17" i="39"/>
  <c r="C15" i="20"/>
  <c r="B70" i="43"/>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F19" i="21"/>
  <c r="AA19" i="21" s="1"/>
  <c r="E81" i="21"/>
  <c r="F81" i="2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AI11" i="43" s="1"/>
  <c r="AI1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U31" i="39" s="1"/>
  <c r="F31" i="39"/>
  <c r="S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9" i="39"/>
  <c r="AC19" i="39" s="1"/>
  <c r="J17" i="39"/>
  <c r="W17" i="39" s="1"/>
  <c r="J27" i="39"/>
  <c r="AC27" i="39" s="1"/>
  <c r="F27" i="39"/>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AC43" i="39"/>
  <c r="W43" i="39"/>
  <c r="U45" i="39"/>
  <c r="AB45" i="39"/>
  <c r="AB44" i="39"/>
  <c r="U44" i="39"/>
  <c r="H37" i="39"/>
  <c r="AB37" i="39" s="1"/>
  <c r="AC37" i="39"/>
  <c r="W37" i="39"/>
  <c r="H25" i="39"/>
  <c r="AB25" i="39" s="1"/>
  <c r="J25" i="39"/>
  <c r="W25" i="39" s="1"/>
  <c r="F25" i="39"/>
  <c r="AA25" i="39" s="1"/>
  <c r="F15" i="39"/>
  <c r="AA15" i="39" s="1"/>
  <c r="H15" i="39"/>
  <c r="U15" i="39" s="1"/>
  <c r="J15" i="39"/>
  <c r="W15" i="39" s="1"/>
  <c r="H41" i="39"/>
  <c r="AB41" i="39" s="1"/>
  <c r="W8" i="39"/>
  <c r="J19" i="40"/>
  <c r="AC19" i="40"/>
  <c r="J50" i="40"/>
  <c r="H103" i="9"/>
  <c r="D8" i="53" s="1"/>
  <c r="B16" i="53"/>
  <c r="B33" i="72" s="1"/>
  <c r="C7" i="37"/>
  <c r="C7" i="34"/>
  <c r="C7" i="36"/>
  <c r="W35" i="40"/>
  <c r="A118" i="9"/>
  <c r="A4" i="52"/>
  <c r="B41" i="72"/>
  <c r="J11" i="39"/>
  <c r="W11" i="39" s="1"/>
  <c r="F11" i="39"/>
  <c r="AA11" i="39" s="1"/>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S14" i="35"/>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S32" i="39" s="1"/>
  <c r="J21" i="39"/>
  <c r="W21" i="39" s="1"/>
  <c r="F21" i="39"/>
  <c r="AA21" i="39" s="1"/>
  <c r="H21" i="39"/>
  <c r="AB21" i="39" s="1"/>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J15" i="21"/>
  <c r="W15" i="21" s="1"/>
  <c r="F23" i="21"/>
  <c r="S23" i="21"/>
  <c r="E85" i="21"/>
  <c r="AC11" i="21"/>
  <c r="AA14" i="21"/>
  <c r="AB8" i="21"/>
  <c r="S8" i="21"/>
  <c r="M3" i="43"/>
  <c r="M1" i="43"/>
  <c r="N8" i="43"/>
  <c r="D120" i="9"/>
  <c r="D121" i="9" s="1"/>
  <c r="D7" i="52" s="1"/>
  <c r="C18" i="9"/>
  <c r="D18" i="9"/>
  <c r="F34" i="67"/>
  <c r="F62" i="67" s="1"/>
  <c r="M20" i="67"/>
  <c r="F34" i="15"/>
  <c r="F62" i="15" s="1"/>
  <c r="G13" i="3"/>
  <c r="G5" i="3"/>
  <c r="B3" i="3" s="1"/>
  <c r="E125" i="3" s="1"/>
  <c r="BA13" i="3"/>
  <c r="AZ13" i="3" s="1"/>
  <c r="E10" i="6"/>
  <c r="BA5" i="3"/>
  <c r="E11" i="6"/>
  <c r="E60" i="39" s="1"/>
  <c r="BL17" i="3"/>
  <c r="AZ17" i="3"/>
  <c r="BL13" i="3"/>
  <c r="G30" i="6"/>
  <c r="G31" i="6"/>
  <c r="J56" i="9"/>
  <c r="J57" i="9" s="1"/>
  <c r="J59" i="9" s="1"/>
  <c r="J61" i="9" s="1"/>
  <c r="A24" i="51"/>
  <c r="B18" i="72" s="1"/>
  <c r="U29" i="34"/>
  <c r="E14" i="6"/>
  <c r="E5" i="6"/>
  <c r="E32" i="6"/>
  <c r="L19" i="6"/>
  <c r="G1" i="68"/>
  <c r="K1" i="12"/>
  <c r="E28" i="6"/>
  <c r="E57" i="40"/>
  <c r="E19" i="69"/>
  <c r="E19" i="68"/>
  <c r="E19" i="11"/>
  <c r="E1" i="73"/>
  <c r="G22" i="69"/>
  <c r="G22" i="68"/>
  <c r="G26" i="12"/>
  <c r="G22" i="11"/>
  <c r="C100" i="43"/>
  <c r="E81" i="43"/>
  <c r="B79" i="43"/>
  <c r="Z7" i="43"/>
  <c r="AE11" i="43"/>
  <c r="AE13" i="43" s="1"/>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c r="C69" i="39" s="1"/>
  <c r="C7" i="35"/>
  <c r="C48" i="35" s="1"/>
  <c r="D48" i="35" s="1"/>
  <c r="C7" i="33"/>
  <c r="C58" i="33" s="1"/>
  <c r="C7" i="21"/>
  <c r="C58" i="21" s="1"/>
  <c r="C7" i="40"/>
  <c r="C63" i="40" s="1"/>
  <c r="M47" i="9"/>
  <c r="G19" i="43"/>
  <c r="O19" i="43" s="1"/>
  <c r="C19" i="43" s="1"/>
  <c r="T35" i="4"/>
  <c r="A19" i="51"/>
  <c r="B14" i="72" s="1"/>
  <c r="C46" i="36"/>
  <c r="D46" i="36" s="1"/>
  <c r="E46" i="36" s="1"/>
  <c r="F46" i="36" s="1"/>
  <c r="G46" i="36" s="1"/>
  <c r="H46" i="36" s="1"/>
  <c r="I46" i="36" s="1"/>
  <c r="C59" i="34"/>
  <c r="D59" i="34" s="1"/>
  <c r="E59" i="34" s="1"/>
  <c r="F59" i="34" s="1"/>
  <c r="G59" i="34" s="1"/>
  <c r="H59" i="34" s="1"/>
  <c r="C52" i="37"/>
  <c r="D52" i="37" s="1"/>
  <c r="A4" i="51"/>
  <c r="B6" i="72" s="1"/>
  <c r="H66" i="43"/>
  <c r="H65" i="43"/>
  <c r="H64" i="43"/>
  <c r="H63" i="43"/>
  <c r="H55" i="43"/>
  <c r="H56" i="43"/>
  <c r="H72" i="43"/>
  <c r="L20" i="6"/>
  <c r="E61" i="39"/>
  <c r="B6" i="1"/>
  <c r="E6" i="1" s="1"/>
  <c r="K11" i="1"/>
  <c r="M11" i="1" s="1"/>
  <c r="AP6" i="1"/>
  <c r="B9" i="1"/>
  <c r="E9" i="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B11" i="39"/>
  <c r="U11" i="39"/>
  <c r="AA27" i="39"/>
  <c r="S27"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U28" i="21"/>
  <c r="S45" i="21"/>
  <c r="F33" i="21"/>
  <c r="AA33" i="21" s="1"/>
  <c r="J33" i="21"/>
  <c r="W33" i="21" s="1"/>
  <c r="H33" i="21"/>
  <c r="AB33" i="21" s="1"/>
  <c r="AA26" i="21"/>
  <c r="AB14" i="21"/>
  <c r="U40" i="21"/>
  <c r="AB31" i="21"/>
  <c r="U31" i="21"/>
  <c r="U13" i="21"/>
  <c r="AB13" i="21"/>
  <c r="W8" i="21"/>
  <c r="S35" i="21"/>
  <c r="H15" i="21"/>
  <c r="U15" i="21" s="1"/>
  <c r="J17" i="21"/>
  <c r="AC17" i="21" s="1"/>
  <c r="AC19" i="21"/>
  <c r="W39" i="21"/>
  <c r="AC14" i="21"/>
  <c r="W30" i="21"/>
  <c r="H45" i="21"/>
  <c r="U45" i="21" s="1"/>
  <c r="F29" i="21"/>
  <c r="S29" i="21" s="1"/>
  <c r="F13" i="21"/>
  <c r="AA13" i="21" s="1"/>
  <c r="AC38" i="21"/>
  <c r="H9" i="21"/>
  <c r="AB9" i="21" s="1"/>
  <c r="J9" i="21"/>
  <c r="AA31" i="21"/>
  <c r="U17" i="21"/>
  <c r="S19" i="21"/>
  <c r="S9" i="21"/>
  <c r="AA9" i="21"/>
  <c r="K141" i="21"/>
  <c r="K144" i="21"/>
  <c r="K143" i="21"/>
  <c r="U27" i="21"/>
  <c r="AB25" i="21"/>
  <c r="AB44" i="21"/>
  <c r="AA30" i="21"/>
  <c r="W13" i="21"/>
  <c r="AC45" i="21"/>
  <c r="F10" i="21"/>
  <c r="K145" i="21"/>
  <c r="W25" i="21"/>
  <c r="W31" i="21"/>
  <c r="S27" i="21"/>
  <c r="S17" i="21"/>
  <c r="AA15" i="21"/>
  <c r="AC26" i="21"/>
  <c r="AB29" i="21"/>
  <c r="S28" i="21"/>
  <c r="AC34" i="21"/>
  <c r="W10" i="21"/>
  <c r="W12" i="21"/>
  <c r="AB36" i="21"/>
  <c r="W30" i="40"/>
  <c r="C17" i="40"/>
  <c r="C23" i="40"/>
  <c r="C21" i="40"/>
  <c r="U30" i="40"/>
  <c r="B54" i="43"/>
  <c r="B65" i="43"/>
  <c r="B49" i="43"/>
  <c r="B52" i="43"/>
  <c r="B56" i="43"/>
  <c r="B60" i="43"/>
  <c r="B63" i="43"/>
  <c r="B67" i="43"/>
  <c r="D23" i="15"/>
  <c r="D22" i="15"/>
  <c r="E4" i="4"/>
  <c r="B5" i="62" s="1"/>
  <c r="B73" i="72" s="1"/>
  <c r="C4" i="4"/>
  <c r="M6" i="1"/>
  <c r="O6" i="1" s="1"/>
  <c r="P6" i="1" s="1"/>
  <c r="F30" i="11"/>
  <c r="C48" i="11" s="1"/>
  <c r="E366" i="3"/>
  <c r="E282" i="3"/>
  <c r="D9" i="68"/>
  <c r="C9" i="68" s="1"/>
  <c r="B29" i="1" s="1"/>
  <c r="C8" i="68" s="1"/>
  <c r="E7" i="70"/>
  <c r="AA39" i="40"/>
  <c r="S39" i="40"/>
  <c r="S12" i="33"/>
  <c r="AA12" i="33"/>
  <c r="J32" i="39"/>
  <c r="H32" i="39"/>
  <c r="AB32" i="39" s="1"/>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A23" i="21"/>
  <c r="J23" i="21"/>
  <c r="W23" i="21" s="1"/>
  <c r="F85" i="21"/>
  <c r="G85" i="21"/>
  <c r="H23" i="21"/>
  <c r="D6" i="52"/>
  <c r="E583" i="3"/>
  <c r="X6" i="3"/>
  <c r="E336" i="3"/>
  <c r="E246" i="3"/>
  <c r="E293" i="3"/>
  <c r="BL5" i="3"/>
  <c r="E311" i="3"/>
  <c r="E514" i="3"/>
  <c r="E570" i="3"/>
  <c r="M6" i="3"/>
  <c r="AB6" i="3"/>
  <c r="E387" i="3"/>
  <c r="E335" i="3"/>
  <c r="E215" i="3"/>
  <c r="E189" i="3"/>
  <c r="E134" i="3"/>
  <c r="E148" i="3"/>
  <c r="E269" i="3"/>
  <c r="E122" i="3"/>
  <c r="E89" i="3"/>
  <c r="E140" i="3"/>
  <c r="E85" i="3"/>
  <c r="E223" i="3"/>
  <c r="E238" i="3"/>
  <c r="E197" i="3"/>
  <c r="E116" i="3"/>
  <c r="E173" i="3"/>
  <c r="E105" i="3"/>
  <c r="E369" i="3"/>
  <c r="E393" i="3"/>
  <c r="E525" i="3"/>
  <c r="E493" i="3"/>
  <c r="E534" i="3"/>
  <c r="E564" i="3"/>
  <c r="T6" i="3"/>
  <c r="E543"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AB45" i="21"/>
  <c r="S33" i="21"/>
  <c r="W9" i="21"/>
  <c r="AC9" i="21"/>
  <c r="AA10" i="21"/>
  <c r="S10" i="21"/>
  <c r="E6" i="70"/>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11" i="37"/>
  <c r="W11" i="37"/>
  <c r="W11" i="34"/>
  <c r="AC11" i="34"/>
  <c r="F34" i="11"/>
  <c r="F11" i="12"/>
  <c r="F34" i="68"/>
  <c r="AE7" i="1"/>
  <c r="AE8" i="1"/>
  <c r="AE6" i="1"/>
  <c r="AG6" i="1"/>
  <c r="H109" i="9"/>
  <c r="D124" i="9" s="1"/>
  <c r="H110" i="9"/>
  <c r="D18" i="53" s="1"/>
  <c r="B35" i="72" s="1"/>
  <c r="D16" i="53"/>
  <c r="B34" i="72" s="1"/>
  <c r="H112" i="9"/>
  <c r="D21" i="53" s="1"/>
  <c r="B39" i="72" s="1"/>
  <c r="H111" i="9"/>
  <c r="D126" i="9"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D67" i="39"/>
  <c r="D69" i="39"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J15" i="67"/>
  <c r="F8" i="67"/>
  <c r="F41" i="67"/>
  <c r="C76" i="15"/>
  <c r="E12" i="76"/>
  <c r="E2" i="68"/>
  <c r="E7" i="76"/>
  <c r="M26" i="15"/>
  <c r="L47" i="15"/>
  <c r="D2" i="21"/>
  <c r="F43" i="15"/>
  <c r="M29" i="67"/>
  <c r="M23" i="67"/>
  <c r="L47" i="67"/>
  <c r="F26" i="15"/>
  <c r="F9" i="67"/>
  <c r="D2" i="35"/>
  <c r="AO8" i="1"/>
  <c r="F36" i="15"/>
  <c r="B8" i="76"/>
  <c r="AO13" i="1"/>
  <c r="M26" i="67"/>
  <c r="M28" i="67"/>
  <c r="D5" i="73"/>
  <c r="M27" i="67"/>
  <c r="F42" i="67"/>
  <c r="F36" i="67"/>
  <c r="F20" i="31"/>
  <c r="F35" i="67"/>
  <c r="C76" i="67"/>
  <c r="F9" i="15"/>
  <c r="F5" i="73"/>
  <c r="E9" i="76"/>
  <c r="F16" i="67"/>
  <c r="AO12" i="1"/>
  <c r="M6" i="15"/>
  <c r="F38" i="15"/>
  <c r="F7" i="67"/>
  <c r="E10" i="76"/>
  <c r="F7" i="15"/>
  <c r="B11" i="76"/>
  <c r="M24" i="15"/>
  <c r="M28" i="15"/>
  <c r="F6" i="73"/>
  <c r="F13" i="67"/>
  <c r="F13" i="15"/>
  <c r="F3" i="73"/>
  <c r="B10" i="76"/>
  <c r="M22" i="15"/>
  <c r="D2" i="34"/>
  <c r="F6" i="15"/>
  <c r="D2" i="37"/>
  <c r="M9" i="67"/>
  <c r="E11" i="76"/>
  <c r="D7" i="73"/>
  <c r="F7" i="73"/>
  <c r="M23" i="15"/>
  <c r="L48" i="67"/>
  <c r="F38" i="67"/>
  <c r="F40" i="67"/>
  <c r="F37" i="15"/>
  <c r="F42" i="15"/>
  <c r="F40" i="15"/>
  <c r="F8" i="15"/>
  <c r="AO7" i="1"/>
  <c r="L48" i="15"/>
  <c r="M8" i="67"/>
  <c r="B12" i="76"/>
  <c r="E13" i="76"/>
  <c r="AO11" i="1"/>
  <c r="F35" i="15"/>
  <c r="M21" i="67"/>
  <c r="AO9" i="1"/>
  <c r="M8" i="15"/>
  <c r="AO6" i="1"/>
  <c r="M29" i="15"/>
  <c r="M24" i="67"/>
  <c r="M22" i="67"/>
  <c r="M21" i="15"/>
  <c r="F43" i="67"/>
  <c r="F26" i="67"/>
  <c r="D2" i="33"/>
  <c r="F41" i="15"/>
  <c r="AO10" i="1"/>
  <c r="D3" i="73"/>
  <c r="F4" i="73"/>
  <c r="D4" i="73"/>
  <c r="B7" i="76"/>
  <c r="F6" i="67"/>
  <c r="D6" i="73"/>
  <c r="B13" i="76"/>
  <c r="M27" i="15"/>
  <c r="J15" i="15"/>
  <c r="F16" i="15"/>
  <c r="B9" i="76"/>
  <c r="D2" i="36"/>
  <c r="F37" i="67"/>
  <c r="M9" i="15"/>
  <c r="E8" i="76"/>
  <c r="M6" i="67"/>
  <c r="E2" i="69"/>
  <c r="AP8" i="1" l="1"/>
  <c r="C36" i="69" s="1"/>
  <c r="F42" i="21"/>
  <c r="AA42" i="21" s="1"/>
  <c r="G123" i="21"/>
  <c r="H123" i="21" s="1"/>
  <c r="I123" i="21" s="1"/>
  <c r="J123" i="21" s="1"/>
  <c r="K123" i="21" s="1"/>
  <c r="L123" i="21" s="1"/>
  <c r="M123" i="21" s="1"/>
  <c r="H42" i="21"/>
  <c r="U42" i="21" s="1"/>
  <c r="J42" i="21"/>
  <c r="H37" i="21"/>
  <c r="F37" i="21"/>
  <c r="J37" i="21"/>
  <c r="W37" i="21" s="1"/>
  <c r="H113" i="21"/>
  <c r="U43" i="21"/>
  <c r="AC40" i="21"/>
  <c r="S40" i="21"/>
  <c r="AB38" i="21"/>
  <c r="AC37" i="21"/>
  <c r="AC23" i="21"/>
  <c r="F69" i="21"/>
  <c r="G69" i="21" s="1"/>
  <c r="H69" i="21" s="1"/>
  <c r="I69" i="21" s="1"/>
  <c r="J69" i="21" s="1"/>
  <c r="K69" i="21" s="1"/>
  <c r="L69" i="21" s="1"/>
  <c r="M69" i="21" s="1"/>
  <c r="F11" i="21"/>
  <c r="S11" i="21" s="1"/>
  <c r="H32" i="21"/>
  <c r="F32" i="21"/>
  <c r="F101" i="21"/>
  <c r="G101" i="21" s="1"/>
  <c r="H101" i="21" s="1"/>
  <c r="I101" i="21" s="1"/>
  <c r="J101" i="21" s="1"/>
  <c r="K101" i="21" s="1"/>
  <c r="L101" i="21" s="1"/>
  <c r="M101" i="21" s="1"/>
  <c r="J32" i="21"/>
  <c r="W32" i="21" s="1"/>
  <c r="S21" i="21"/>
  <c r="W17" i="21"/>
  <c r="AC15" i="21"/>
  <c r="AB15" i="21"/>
  <c r="U9" i="21"/>
  <c r="C94" i="9"/>
  <c r="C92" i="9"/>
  <c r="C5" i="11"/>
  <c r="F30" i="69"/>
  <c r="F48" i="69" s="1"/>
  <c r="M18" i="15"/>
  <c r="F52" i="9"/>
  <c r="F54" i="9"/>
  <c r="F32" i="15"/>
  <c r="F60" i="15" s="1"/>
  <c r="F32" i="67"/>
  <c r="F60" i="67" s="1"/>
  <c r="F28" i="67"/>
  <c r="C28" i="67" s="1"/>
  <c r="C24" i="12"/>
  <c r="C30" i="69"/>
  <c r="C30" i="11"/>
  <c r="D68" i="9"/>
  <c r="F28" i="15"/>
  <c r="C28" i="15" s="1"/>
  <c r="C48" i="69"/>
  <c r="M18" i="67"/>
  <c r="F31" i="12"/>
  <c r="F30" i="68"/>
  <c r="F53" i="9"/>
  <c r="C21" i="69"/>
  <c r="D22" i="67"/>
  <c r="C36" i="11"/>
  <c r="E2" i="70"/>
  <c r="AR10" i="1"/>
  <c r="L27" i="6"/>
  <c r="T13" i="1"/>
  <c r="AQ13" i="1"/>
  <c r="AA11" i="43"/>
  <c r="AA13" i="43" s="1"/>
  <c r="AQ12" i="1"/>
  <c r="N6" i="3"/>
  <c r="E553" i="3"/>
  <c r="D9" i="11"/>
  <c r="C9" i="11" s="1"/>
  <c r="D9" i="69"/>
  <c r="C9" i="69" s="1"/>
  <c r="D19" i="12"/>
  <c r="C19" i="12" s="1"/>
  <c r="E53" i="3"/>
  <c r="E175" i="3"/>
  <c r="E319" i="3"/>
  <c r="E530" i="3"/>
  <c r="E501" i="3"/>
  <c r="E343" i="3"/>
  <c r="E153" i="3"/>
  <c r="E305" i="3"/>
  <c r="E426" i="3"/>
  <c r="E508" i="3"/>
  <c r="E328"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217" i="3"/>
  <c r="E526" i="3"/>
  <c r="E268" i="3"/>
  <c r="E322" i="3"/>
  <c r="AJ6" i="3"/>
  <c r="E347" i="3"/>
  <c r="AA6" i="3"/>
  <c r="E399" i="3"/>
  <c r="E280" i="3"/>
  <c r="E124" i="3"/>
  <c r="E358" i="3"/>
  <c r="E559" i="3"/>
  <c r="E551" i="3"/>
  <c r="V6" i="3"/>
  <c r="E407" i="3"/>
  <c r="E320" i="3"/>
  <c r="E294" i="3"/>
  <c r="E230" i="3"/>
  <c r="E130" i="3"/>
  <c r="E254" i="3"/>
  <c r="E228" i="3"/>
  <c r="E181" i="3"/>
  <c r="E157" i="3"/>
  <c r="E120" i="3"/>
  <c r="E45" i="3"/>
  <c r="E277" i="3"/>
  <c r="E224" i="3"/>
  <c r="E177" i="3"/>
  <c r="E193" i="3"/>
  <c r="E133" i="3"/>
  <c r="E313" i="3"/>
  <c r="E330" i="3"/>
  <c r="E519" i="3"/>
  <c r="K6" i="3"/>
  <c r="E532" i="3"/>
  <c r="Q6" i="3"/>
  <c r="E573" i="3"/>
  <c r="E560" i="3"/>
  <c r="E529"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13" i="6"/>
  <c r="E15"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AC6" i="3"/>
  <c r="E6" i="3" s="1"/>
  <c r="F22" i="43"/>
  <c r="K101" i="43"/>
  <c r="N101" i="43"/>
  <c r="G101" i="43"/>
  <c r="J101" i="43"/>
  <c r="B113" i="43"/>
  <c r="F101" i="43"/>
  <c r="E22" i="43"/>
  <c r="C101" i="43"/>
  <c r="N104" i="46"/>
  <c r="H22" i="43"/>
  <c r="H101" i="43"/>
  <c r="M101" i="43"/>
  <c r="E101" i="43"/>
  <c r="AH11" i="43"/>
  <c r="AH13" i="43" s="1"/>
  <c r="AD11" i="43"/>
  <c r="AD13" i="43" s="1"/>
  <c r="Z11" i="43"/>
  <c r="Z13" i="43" s="1"/>
  <c r="AG11" i="43"/>
  <c r="AG13" i="43" s="1"/>
  <c r="AC11" i="43"/>
  <c r="AC13" i="43" s="1"/>
  <c r="Y11" i="43"/>
  <c r="Y13" i="43" s="1"/>
  <c r="J22" i="43"/>
  <c r="L101" i="43"/>
  <c r="L107" i="43" s="1"/>
  <c r="D101" i="43"/>
  <c r="D105" i="43" s="1"/>
  <c r="I101" i="43"/>
  <c r="I107" i="43" s="1"/>
  <c r="G22" i="43"/>
  <c r="D22" i="43" s="1"/>
  <c r="AJ11" i="43"/>
  <c r="AJ13" i="43" s="1"/>
  <c r="AF11" i="43"/>
  <c r="AF13" i="43" s="1"/>
  <c r="AB11" i="43"/>
  <c r="AB13" i="43" s="1"/>
  <c r="F27" i="6"/>
  <c r="E27" i="6" s="1"/>
  <c r="E51" i="40"/>
  <c r="E56" i="39"/>
  <c r="Q16" i="1"/>
  <c r="F27" i="68" s="1"/>
  <c r="AQ9" i="1"/>
  <c r="E56" i="40"/>
  <c r="H16" i="1"/>
  <c r="L105" i="43"/>
  <c r="D103" i="43"/>
  <c r="I106" i="43"/>
  <c r="T9" i="1"/>
  <c r="AR11" i="1"/>
  <c r="T11" i="1"/>
  <c r="T10" i="1"/>
  <c r="T12" i="1"/>
  <c r="K14" i="1"/>
  <c r="E102" i="43"/>
  <c r="E106" i="43"/>
  <c r="E103" i="43"/>
  <c r="E109" i="43"/>
  <c r="M109" i="43"/>
  <c r="M102" i="43"/>
  <c r="M106" i="43"/>
  <c r="M103" i="43"/>
  <c r="H102" i="43"/>
  <c r="H103" i="43"/>
  <c r="H104" i="43"/>
  <c r="E63" i="39"/>
  <c r="E59" i="40"/>
  <c r="E16" i="6"/>
  <c r="AZ5" i="3"/>
  <c r="O11" i="1"/>
  <c r="P11" i="1" s="1"/>
  <c r="E29" i="6"/>
  <c r="F30" i="6"/>
  <c r="F31" i="6" s="1"/>
  <c r="O8" i="1"/>
  <c r="P8" i="1" s="1"/>
  <c r="P7" i="1"/>
  <c r="O9" i="1"/>
  <c r="D19" i="53"/>
  <c r="B38" i="72" s="1"/>
  <c r="H14" i="74"/>
  <c r="B7" i="74" s="1"/>
  <c r="D10" i="52"/>
  <c r="D125" i="9"/>
  <c r="D11" i="52" s="1"/>
  <c r="I14" i="74"/>
  <c r="B8" i="74" s="1"/>
  <c r="D127" i="9"/>
  <c r="D13" i="52" s="1"/>
  <c r="D12" i="52"/>
  <c r="D17" i="53"/>
  <c r="B36" i="72" s="1"/>
  <c r="AA5" i="71"/>
  <c r="AB5" i="71"/>
  <c r="X5" i="71"/>
  <c r="Y5" i="71"/>
  <c r="Z5" i="71" s="1"/>
  <c r="U35" i="21"/>
  <c r="U34" i="21"/>
  <c r="U33" i="21"/>
  <c r="AC33" i="21"/>
  <c r="AA11" i="21"/>
  <c r="S46" i="21"/>
  <c r="AB46" i="21"/>
  <c r="S44" i="21"/>
  <c r="W27" i="21"/>
  <c r="AC27" i="21"/>
  <c r="AC29" i="21"/>
  <c r="W29" i="21"/>
  <c r="AA29" i="21"/>
  <c r="S13" i="21"/>
  <c r="AC25" i="39"/>
  <c r="AB27" i="39"/>
  <c r="W27" i="39"/>
  <c r="U25" i="39"/>
  <c r="S23" i="39"/>
  <c r="W23" i="39"/>
  <c r="S21" i="39"/>
  <c r="U21" i="39"/>
  <c r="S15" i="39"/>
  <c r="U17" i="39"/>
  <c r="AC17" i="39"/>
  <c r="S17" i="39"/>
  <c r="U19" i="39"/>
  <c r="W19" i="39"/>
  <c r="S19" i="39"/>
  <c r="AA31" i="39"/>
  <c r="AB31" i="39"/>
  <c r="AC31" i="39"/>
  <c r="AB34" i="39"/>
  <c r="U32" i="39"/>
  <c r="U12" i="39"/>
  <c r="AA12" i="39"/>
  <c r="U42" i="39"/>
  <c r="S42" i="39"/>
  <c r="U41" i="39"/>
  <c r="AC41" i="39"/>
  <c r="AA41" i="39"/>
  <c r="W40" i="39"/>
  <c r="U40" i="39"/>
  <c r="AB39" i="39"/>
  <c r="AA39" i="39"/>
  <c r="S11" i="39"/>
  <c r="U9" i="39"/>
  <c r="AC9" i="39"/>
  <c r="C15" i="40"/>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C14" i="15"/>
  <c r="G1" i="73"/>
  <c r="C16" i="15"/>
  <c r="C17" i="67"/>
  <c r="C17" i="15"/>
  <c r="C14" i="67"/>
  <c r="C16" i="67"/>
  <c r="AC32" i="21" l="1"/>
  <c r="S42" i="21"/>
  <c r="AB42" i="21"/>
  <c r="AC42" i="21"/>
  <c r="W42" i="21"/>
  <c r="AA37" i="21"/>
  <c r="S37" i="21"/>
  <c r="U37" i="21"/>
  <c r="AB37" i="21"/>
  <c r="S32" i="21"/>
  <c r="AA32" i="21"/>
  <c r="U32" i="21"/>
  <c r="AB32" i="21"/>
  <c r="F48" i="68"/>
  <c r="C30" i="68"/>
  <c r="C48" i="68"/>
  <c r="C13" i="12"/>
  <c r="C29" i="68"/>
  <c r="D27" i="68" s="1"/>
  <c r="F45" i="68"/>
  <c r="C47" i="68"/>
  <c r="D45" i="68" s="1"/>
  <c r="I102" i="43"/>
  <c r="I103" i="43"/>
  <c r="L102" i="43"/>
  <c r="L104" i="43"/>
  <c r="E60" i="40"/>
  <c r="E64" i="39"/>
  <c r="D107" i="43"/>
  <c r="E58" i="40"/>
  <c r="E62" i="39"/>
  <c r="K24" i="6"/>
  <c r="M24" i="6" s="1"/>
  <c r="I24" i="6" s="1"/>
  <c r="S24" i="6" s="1"/>
  <c r="K20" i="6"/>
  <c r="K21" i="6"/>
  <c r="K19" i="6"/>
  <c r="S6" i="1" s="1"/>
  <c r="K26" i="6"/>
  <c r="M26" i="6" s="1"/>
  <c r="I26" i="6" s="1"/>
  <c r="S26" i="6" s="1"/>
  <c r="K23" i="6"/>
  <c r="M23" i="6" s="1"/>
  <c r="I23" i="6" s="1"/>
  <c r="S23" i="6" s="1"/>
  <c r="K22" i="6"/>
  <c r="M22" i="6" s="1"/>
  <c r="I22" i="6" s="1"/>
  <c r="S22" i="6" s="1"/>
  <c r="K25" i="6"/>
  <c r="M25" i="6" s="1"/>
  <c r="I25" i="6" s="1"/>
  <c r="S25" i="6" s="1"/>
  <c r="D109" i="43"/>
  <c r="D106" i="43"/>
  <c r="M107" i="43"/>
  <c r="M104" i="43"/>
  <c r="M105" i="43"/>
  <c r="C104" i="43"/>
  <c r="C106" i="43"/>
  <c r="C107" i="43"/>
  <c r="C103" i="43"/>
  <c r="C109" i="43"/>
  <c r="C105" i="43"/>
  <c r="C102" i="43"/>
  <c r="F104" i="43"/>
  <c r="F102" i="43"/>
  <c r="F105" i="43"/>
  <c r="F109" i="43"/>
  <c r="F107" i="43"/>
  <c r="F106" i="43"/>
  <c r="F103" i="43"/>
  <c r="J104" i="43"/>
  <c r="J107" i="43"/>
  <c r="J102" i="43"/>
  <c r="J105" i="43"/>
  <c r="J103" i="43"/>
  <c r="J106" i="43"/>
  <c r="J109" i="43"/>
  <c r="N102" i="43"/>
  <c r="N105" i="43"/>
  <c r="N104" i="43"/>
  <c r="N109" i="43"/>
  <c r="N103" i="43"/>
  <c r="N106" i="43"/>
  <c r="N107" i="43"/>
  <c r="D104" i="43"/>
  <c r="D102" i="43"/>
  <c r="I109" i="43"/>
  <c r="I105" i="43"/>
  <c r="I104" i="43"/>
  <c r="L109" i="43"/>
  <c r="L106" i="43"/>
  <c r="L103" i="43"/>
  <c r="E104" i="43"/>
  <c r="E105" i="43"/>
  <c r="E107" i="43"/>
  <c r="H107" i="43"/>
  <c r="H105" i="43"/>
  <c r="H109" i="43"/>
  <c r="H106" i="43"/>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G105" i="43"/>
  <c r="G107" i="43"/>
  <c r="G104" i="43"/>
  <c r="G106" i="43"/>
  <c r="G102" i="43"/>
  <c r="G103" i="43"/>
  <c r="G109" i="43"/>
  <c r="K103" i="43"/>
  <c r="K102" i="43"/>
  <c r="K105" i="43"/>
  <c r="K107" i="43"/>
  <c r="K104" i="43"/>
  <c r="K106" i="43"/>
  <c r="K109" i="43"/>
  <c r="F27" i="69"/>
  <c r="F28" i="12"/>
  <c r="C29" i="12" s="1"/>
  <c r="D28" i="12" s="1"/>
  <c r="F27" i="11"/>
  <c r="M19" i="6"/>
  <c r="AY6" i="3"/>
  <c r="E3" i="6"/>
  <c r="M14" i="1"/>
  <c r="C34" i="69"/>
  <c r="P9" i="1"/>
  <c r="C15" i="15"/>
  <c r="C18" i="15"/>
  <c r="E30" i="6"/>
  <c r="E31" i="6" s="1"/>
  <c r="K15" i="1"/>
  <c r="K16" i="1" s="1"/>
  <c r="D20" i="53"/>
  <c r="B40" i="72" s="1"/>
  <c r="J10" i="40"/>
  <c r="AC10" i="40" s="1"/>
  <c r="H10" i="39"/>
  <c r="U10" i="39" s="1"/>
  <c r="F10" i="40"/>
  <c r="S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AQ6" i="1" l="1"/>
  <c r="AR6" i="1"/>
  <c r="T6" i="1"/>
  <c r="M20" i="6"/>
  <c r="I20" i="6" s="1"/>
  <c r="S20" i="6" s="1"/>
  <c r="S7" i="1"/>
  <c r="S16" i="1" s="1"/>
  <c r="K27" i="6"/>
  <c r="M21" i="6"/>
  <c r="I21" i="6" s="1"/>
  <c r="S21" i="6" s="1"/>
  <c r="S8" i="1"/>
  <c r="AA10" i="40"/>
  <c r="E65" i="39"/>
  <c r="W10" i="40"/>
  <c r="C115" i="43"/>
  <c r="D113" i="43" s="1"/>
  <c r="S4" i="43"/>
  <c r="T4" i="43" s="1"/>
  <c r="V4" i="43" s="1"/>
  <c r="S6" i="43"/>
  <c r="T6" i="43" s="1"/>
  <c r="V6" i="43" s="1"/>
  <c r="S7" i="43"/>
  <c r="T7" i="43" s="1"/>
  <c r="V7" i="43" s="1"/>
  <c r="S3" i="43"/>
  <c r="T3" i="43" s="1"/>
  <c r="V3" i="43" s="1"/>
  <c r="S2" i="43"/>
  <c r="T2" i="43" s="1"/>
  <c r="V2" i="43" s="1"/>
  <c r="S5" i="43"/>
  <c r="T5" i="43" s="1"/>
  <c r="V5" i="43" s="1"/>
  <c r="C23" i="43"/>
  <c r="C21" i="43" s="1"/>
  <c r="C29" i="43" s="1"/>
  <c r="C30" i="43" s="1"/>
  <c r="E30" i="43" s="1"/>
  <c r="C19" i="15"/>
  <c r="C20" i="15" s="1"/>
  <c r="C26" i="15" s="1"/>
  <c r="U10" i="40"/>
  <c r="C47" i="11"/>
  <c r="D45" i="11" s="1"/>
  <c r="C29" i="11"/>
  <c r="D27" i="11" s="1"/>
  <c r="C47" i="69"/>
  <c r="D45" i="69" s="1"/>
  <c r="C29" i="69"/>
  <c r="D27" i="69" s="1"/>
  <c r="F45" i="69"/>
  <c r="AB10" i="39"/>
  <c r="C35" i="69"/>
  <c r="C38" i="69"/>
  <c r="E6" i="6"/>
  <c r="D3" i="37"/>
  <c r="D3" i="21"/>
  <c r="L18" i="9"/>
  <c r="D3" i="34"/>
  <c r="D19" i="11"/>
  <c r="C19" i="11" s="1"/>
  <c r="C20" i="11" s="1"/>
  <c r="C28" i="11" s="1"/>
  <c r="C27" i="11" s="1"/>
  <c r="D37" i="11"/>
  <c r="C37" i="11" s="1"/>
  <c r="M18" i="9"/>
  <c r="B118" i="9" s="1"/>
  <c r="B14" i="74" s="1"/>
  <c r="B1" i="74" s="1"/>
  <c r="D3" i="33"/>
  <c r="C17" i="4"/>
  <c r="B4" i="52" s="1"/>
  <c r="B43" i="72" s="1"/>
  <c r="D14" i="12"/>
  <c r="M27" i="6"/>
  <c r="I19" i="6"/>
  <c r="O14" i="1"/>
  <c r="M16" i="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AY533" i="3"/>
  <c r="AY541" i="3"/>
  <c r="BE6" i="3"/>
  <c r="AY553" i="3"/>
  <c r="AY97" i="3"/>
  <c r="AY108" i="3"/>
  <c r="AY92" i="3"/>
  <c r="AY77" i="3"/>
  <c r="AY61" i="3"/>
  <c r="AY45" i="3"/>
  <c r="AY76" i="3"/>
  <c r="AY103" i="3"/>
  <c r="AY50" i="3"/>
  <c r="AY160" i="3"/>
  <c r="AY289" i="3"/>
  <c r="AY183" i="3"/>
  <c r="AY261" i="3"/>
  <c r="AY284" i="3"/>
  <c r="AY209" i="3"/>
  <c r="AY319" i="3"/>
  <c r="AY455" i="3"/>
  <c r="AY497" i="3"/>
  <c r="AY116" i="3"/>
  <c r="AY212" i="3"/>
  <c r="AY343" i="3"/>
  <c r="AY478" i="3"/>
  <c r="AY417" i="3"/>
  <c r="AY573" i="3"/>
  <c r="BO6" i="3"/>
  <c r="AY555" i="3"/>
  <c r="AY89" i="3"/>
  <c r="AY85" i="3"/>
  <c r="AY53"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196" i="3"/>
  <c r="AY74" i="3"/>
  <c r="AY204" i="3"/>
  <c r="AY363" i="3"/>
  <c r="AY412" i="3"/>
  <c r="AY229" i="3"/>
  <c r="AY326" i="3"/>
  <c r="AY557" i="3"/>
  <c r="AY539" i="3"/>
  <c r="AY100" i="3"/>
  <c r="AY84"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67" i="3"/>
  <c r="AY123" i="3"/>
  <c r="AY489" i="3"/>
  <c r="AY379" i="3"/>
  <c r="AY540" i="3"/>
  <c r="AY69" i="3"/>
  <c r="AY28" i="3"/>
  <c r="AY201" i="3"/>
  <c r="AY138" i="3"/>
  <c r="AY118" i="3"/>
  <c r="AY294" i="3"/>
  <c r="AY231" i="3"/>
  <c r="AY214" i="3"/>
  <c r="AY381" i="3"/>
  <c r="AY554" i="3"/>
  <c r="AY104" i="3"/>
  <c r="AY24" i="3"/>
  <c r="AY177" i="3"/>
  <c r="AY290" i="3"/>
  <c r="AY210" i="3"/>
  <c r="AY349"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39" i="3"/>
  <c r="AY252" i="3"/>
  <c r="AY43" i="3"/>
  <c r="AY436" i="3"/>
  <c r="AY105" i="3"/>
  <c r="AY60" i="3"/>
  <c r="AY206" i="3"/>
  <c r="AY170" i="3"/>
  <c r="AY149" i="3"/>
  <c r="AY299" i="3"/>
  <c r="AY263" i="3"/>
  <c r="AY246" i="3"/>
  <c r="AY392" i="3"/>
  <c r="AY357" i="3"/>
  <c r="BJ6" i="3"/>
  <c r="AY41" i="3"/>
  <c r="AY197" i="3"/>
  <c r="AY114" i="3"/>
  <c r="AY274" i="3"/>
  <c r="AY377"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C10" i="39"/>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T8" i="1" l="1"/>
  <c r="AQ8" i="1"/>
  <c r="AR8" i="1"/>
  <c r="T7" i="1"/>
  <c r="AQ7" i="1"/>
  <c r="AR7" i="1"/>
  <c r="P14" i="1"/>
  <c r="P16" i="1" s="1"/>
  <c r="C11" i="12" s="1"/>
  <c r="O16" i="1"/>
  <c r="S19" i="6"/>
  <c r="S27" i="6" s="1"/>
  <c r="I27" i="6"/>
  <c r="D17" i="12"/>
  <c r="C17" i="12" s="1"/>
  <c r="C14" i="12"/>
  <c r="D10" i="11"/>
  <c r="C10" i="11" s="1"/>
  <c r="D10" i="69"/>
  <c r="D10" i="68"/>
  <c r="D20" i="12"/>
  <c r="C20" i="12" s="1"/>
  <c r="C18" i="12" s="1"/>
  <c r="H20" i="6"/>
  <c r="D19" i="6"/>
  <c r="C18" i="4"/>
  <c r="D23" i="6"/>
  <c r="D6" i="6"/>
  <c r="D9" i="6"/>
  <c r="D10" i="6"/>
  <c r="L19" i="9"/>
  <c r="E61" i="40"/>
  <c r="H19" i="6"/>
  <c r="D26" i="6"/>
  <c r="D8" i="6"/>
  <c r="D14" i="6"/>
  <c r="D5" i="6"/>
  <c r="D12" i="6"/>
  <c r="D11" i="6"/>
  <c r="D13" i="6"/>
  <c r="D28" i="6"/>
  <c r="H25" i="6"/>
  <c r="H21" i="6"/>
  <c r="H24" i="6"/>
  <c r="H23" i="6"/>
  <c r="R23" i="6" s="1"/>
  <c r="H26" i="6"/>
  <c r="R26" i="6" s="1"/>
  <c r="D24" i="6"/>
  <c r="D22" i="6"/>
  <c r="D25" i="6"/>
  <c r="H22" i="6"/>
  <c r="D20" i="6"/>
  <c r="D21" i="6"/>
  <c r="R21" i="6" s="1"/>
  <c r="R8" i="1" s="1"/>
  <c r="D15" i="6"/>
  <c r="M19" i="9"/>
  <c r="C118" i="9" s="1"/>
  <c r="C14" i="74" s="1"/>
  <c r="B2" i="74" s="1"/>
  <c r="D29" i="6"/>
  <c r="C34" i="68"/>
  <c r="C34" i="11"/>
  <c r="L16" i="1"/>
  <c r="C7" i="74"/>
  <c r="C8" i="74"/>
  <c r="N16" i="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B6" i="76"/>
  <c r="E6" i="76"/>
  <c r="H27" i="6" l="1"/>
  <c r="T16" i="1"/>
  <c r="D30" i="6"/>
  <c r="D16" i="6"/>
  <c r="F50" i="69"/>
  <c r="F50" i="68"/>
  <c r="F50" i="11"/>
  <c r="C38" i="11"/>
  <c r="C35" i="11"/>
  <c r="R20" i="6"/>
  <c r="R7" i="1" s="1"/>
  <c r="R25" i="6"/>
  <c r="R24" i="6"/>
  <c r="R19" i="6"/>
  <c r="D27" i="6"/>
  <c r="D31" i="6" s="1"/>
  <c r="C10" i="69"/>
  <c r="C8" i="69" s="1"/>
  <c r="C5" i="69" s="1"/>
  <c r="D19" i="69"/>
  <c r="C38" i="68"/>
  <c r="C35" i="68"/>
  <c r="D8" i="74"/>
  <c r="D7" i="74"/>
  <c r="R22" i="6"/>
  <c r="C4" i="52"/>
  <c r="B45" i="72" s="1"/>
  <c r="A10" i="51"/>
  <c r="B9" i="72" s="1"/>
  <c r="A7" i="51"/>
  <c r="B7" i="72" s="1"/>
  <c r="C10" i="68"/>
  <c r="D19" i="68"/>
  <c r="C15" i="12"/>
  <c r="C12" i="12"/>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C33" i="11" l="1"/>
  <c r="C39" i="11" s="1"/>
  <c r="R27" i="6"/>
  <c r="R6" i="1"/>
  <c r="R16" i="1" s="1"/>
  <c r="C16" i="12"/>
  <c r="C21" i="12" s="1"/>
  <c r="C22" i="12" s="1"/>
  <c r="C23" i="69"/>
  <c r="C19" i="68"/>
  <c r="D37" i="68"/>
  <c r="C37" i="68" s="1"/>
  <c r="C33" i="68" s="1"/>
  <c r="C19" i="69"/>
  <c r="C24" i="69" s="1"/>
  <c r="D37" i="69"/>
  <c r="C37" i="69" s="1"/>
  <c r="C33" i="69" s="1"/>
  <c r="I6" i="6"/>
  <c r="I5" i="6"/>
  <c r="I69" i="39"/>
  <c r="J67" i="39"/>
  <c r="B3" i="76"/>
  <c r="D6" i="71"/>
  <c r="M20" i="43"/>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C42" i="11" l="1"/>
  <c r="C39" i="69"/>
  <c r="C43" i="69" s="1"/>
  <c r="C42" i="69"/>
  <c r="C39" i="68"/>
  <c r="C42" i="68"/>
  <c r="C46" i="11"/>
  <c r="C45" i="11" s="1"/>
  <c r="C43" i="11"/>
  <c r="C24" i="68"/>
  <c r="C20" i="69"/>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41" i="69" l="1"/>
  <c r="C41" i="11"/>
  <c r="C49" i="11" s="1"/>
  <c r="C51" i="11" s="1"/>
  <c r="C52" i="11" s="1"/>
  <c r="B2" i="11" s="1"/>
  <c r="B3" i="11" s="1"/>
  <c r="C46" i="69"/>
  <c r="C45" i="69" s="1"/>
  <c r="C46" i="68"/>
  <c r="C45" i="68" s="1"/>
  <c r="C43" i="68"/>
  <c r="C41" i="68" s="1"/>
  <c r="C28" i="69"/>
  <c r="C27" i="69" s="1"/>
  <c r="C25" i="69"/>
  <c r="C22" i="69"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C49" i="69" l="1"/>
  <c r="C51" i="69" s="1"/>
  <c r="C31" i="69"/>
  <c r="C49" i="68"/>
  <c r="C51" i="68" s="1"/>
  <c r="C56" i="11"/>
  <c r="C57" i="11" s="1"/>
  <c r="L69" i="39"/>
  <c r="M67" i="39"/>
  <c r="S7" i="35"/>
  <c r="AA7" i="35"/>
  <c r="R38" i="35" s="1"/>
  <c r="C49" i="2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52" i="69" l="1"/>
  <c r="B2" i="69" s="1"/>
  <c r="B3" i="69" s="1"/>
  <c r="B2" i="21"/>
  <c r="E6" i="12"/>
  <c r="M69" i="39"/>
  <c r="N67" i="39"/>
  <c r="R39" i="35"/>
  <c r="E38" i="35"/>
  <c r="M63" i="40"/>
  <c r="L65" i="40"/>
  <c r="C57" i="69" l="1"/>
  <c r="C56" i="69" s="1"/>
  <c r="D8" i="12"/>
  <c r="D6" i="12"/>
  <c r="B3" i="21"/>
  <c r="E8" i="12"/>
  <c r="O67" i="39"/>
  <c r="O69" i="39" s="1"/>
  <c r="N69" i="39"/>
  <c r="F7" i="39"/>
  <c r="C39" i="35"/>
  <c r="B2" i="35" s="1"/>
  <c r="B3" i="35" s="1"/>
  <c r="C38" i="35"/>
  <c r="N63" i="40"/>
  <c r="M65" i="40"/>
  <c r="E43" i="35"/>
  <c r="F43" i="35" s="1"/>
  <c r="E42" i="35"/>
  <c r="F42" i="35" s="1"/>
  <c r="I43" i="35"/>
  <c r="J43" i="35" s="1"/>
  <c r="C4" i="12" l="1"/>
  <c r="C23" i="12" s="1"/>
  <c r="H7" i="39"/>
  <c r="J7" i="39"/>
  <c r="S7" i="39"/>
  <c r="AA7" i="39"/>
  <c r="R47" i="39" s="1"/>
  <c r="O63" i="40"/>
  <c r="O65" i="40" s="1"/>
  <c r="N65" i="40"/>
  <c r="C31" i="12" l="1"/>
  <c r="C30" i="12"/>
  <c r="C28" i="12" s="1"/>
  <c r="C27" i="12"/>
  <c r="C25" i="12" s="1"/>
  <c r="W7" i="39"/>
  <c r="AC7" i="39"/>
  <c r="V47" i="39" s="1"/>
  <c r="I47" i="39" s="1"/>
  <c r="E47" i="39"/>
  <c r="U7" i="39"/>
  <c r="AB7" i="39"/>
  <c r="T47" i="39" s="1"/>
  <c r="G47" i="39" s="1"/>
  <c r="J7" i="40"/>
  <c r="F7" i="40"/>
  <c r="H7" i="40"/>
  <c r="C32" i="12" l="1"/>
  <c r="B2" i="12" s="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D102" i="9" l="1"/>
  <c r="D21" i="9"/>
  <c r="B3" i="12"/>
  <c r="C47" i="39"/>
  <c r="B56" i="39"/>
  <c r="F56" i="39" s="1"/>
  <c r="C6" i="68"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7" i="68" l="1"/>
  <c r="C5" i="68" s="1"/>
  <c r="D103" i="9"/>
  <c r="F65" i="39"/>
  <c r="B2" i="39" s="1"/>
  <c r="B3" i="39" s="1"/>
  <c r="C42" i="40"/>
  <c r="C43" i="40"/>
  <c r="E47" i="40"/>
  <c r="F47" i="40" s="1"/>
  <c r="E46" i="40"/>
  <c r="F46" i="40" s="1"/>
  <c r="I47" i="40"/>
  <c r="J47" i="40" s="1"/>
  <c r="C23" i="68" l="1"/>
  <c r="C20" i="68"/>
  <c r="C25" i="68"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C31" i="68" l="1"/>
  <c r="C52" i="68" s="1"/>
  <c r="B2" i="68" l="1"/>
  <c r="C57" i="68"/>
  <c r="C56" i="68" s="1"/>
  <c r="C19" i="9"/>
  <c r="C21" i="9" l="1"/>
  <c r="G19" i="9"/>
  <c r="G21" i="9" s="1"/>
  <c r="C102" i="9"/>
  <c r="D22" i="9"/>
  <c r="B3" i="68"/>
  <c r="D35" i="9"/>
  <c r="D34" i="9"/>
  <c r="C20" i="9"/>
  <c r="C103" i="9" l="1"/>
  <c r="G20" i="9"/>
  <c r="C32" i="9" s="1"/>
  <c r="C35" i="9" s="1"/>
  <c r="C34" i="9" s="1"/>
  <c r="D118" i="9" s="1"/>
  <c r="D119" i="9" s="1"/>
  <c r="D5" i="52" s="1"/>
  <c r="B49" i="72" s="1"/>
  <c r="H118" i="9"/>
  <c r="H119" i="9" s="1"/>
  <c r="H5" i="52" s="1"/>
  <c r="F118" i="9" l="1"/>
  <c r="F119" i="9" s="1"/>
  <c r="F5" i="52" s="1"/>
  <c r="B53" i="72" s="1"/>
  <c r="I118" i="9"/>
  <c r="H102" i="9" s="1"/>
  <c r="D7" i="53" s="1"/>
  <c r="B21" i="72" s="1"/>
  <c r="H4" i="52"/>
  <c r="C104" i="9"/>
  <c r="D4" i="52"/>
  <c r="B47" i="72" s="1"/>
  <c r="D14" i="74"/>
  <c r="G118" i="9"/>
  <c r="G4" i="52" s="1"/>
  <c r="B52" i="72" s="1"/>
  <c r="F4" i="52"/>
  <c r="B51" i="72" s="1"/>
  <c r="H101" i="9"/>
  <c r="C105" i="9"/>
  <c r="I4" i="52"/>
  <c r="M48" i="9" l="1"/>
  <c r="D45" i="9"/>
  <c r="D5" i="53"/>
  <c r="H107" i="9"/>
  <c r="F14" i="74"/>
  <c r="E14" i="74"/>
  <c r="B5" i="74"/>
  <c r="E118" i="9"/>
  <c r="E4" i="52" s="1"/>
  <c r="B48" i="72" s="1"/>
  <c r="D5" i="74" l="1"/>
  <c r="C5" i="74"/>
  <c r="D6" i="53"/>
  <c r="B22" i="72" s="1"/>
  <c r="B20" i="72"/>
  <c r="M49" i="9"/>
  <c r="D122" i="9"/>
  <c r="D13" i="53"/>
  <c r="H108" i="9"/>
  <c r="D15" i="53" s="1"/>
  <c r="B31" i="72" s="1"/>
  <c r="C72" i="9"/>
  <c r="D55" i="9"/>
  <c r="M53" i="9" s="1"/>
  <c r="C64" i="9"/>
  <c r="C63" i="9" s="1"/>
  <c r="C67" i="9" s="1"/>
  <c r="C78" i="9"/>
  <c r="C73" i="9" s="1"/>
  <c r="D52" i="9"/>
  <c r="D53" i="9"/>
  <c r="C85" i="9"/>
  <c r="C93" i="9"/>
  <c r="C86" i="9" s="1"/>
  <c r="D59" i="9" l="1"/>
  <c r="M55" i="9" s="1"/>
  <c r="C68" i="9"/>
  <c r="D54" i="9" s="1"/>
  <c r="L68" i="9"/>
  <c r="M68" i="9" s="1"/>
  <c r="L66" i="9"/>
  <c r="M66" i="9" s="1"/>
  <c r="L64" i="9"/>
  <c r="M64" i="9" s="1"/>
  <c r="L65" i="9"/>
  <c r="M65" i="9" s="1"/>
  <c r="L63" i="9"/>
  <c r="M63" i="9" s="1"/>
  <c r="L67" i="9"/>
  <c r="M67" i="9" s="1"/>
  <c r="G14" i="74"/>
  <c r="B6" i="74" s="1"/>
  <c r="D123" i="9"/>
  <c r="D9" i="52" s="1"/>
  <c r="D8" i="52"/>
  <c r="C79" i="9"/>
  <c r="B30" i="72"/>
  <c r="D14" i="53"/>
  <c r="B32" i="72" s="1"/>
  <c r="C95" i="9"/>
  <c r="C6" i="74" l="1"/>
  <c r="D6" i="74"/>
  <c r="C96" i="9"/>
  <c r="E96" i="9" s="1"/>
  <c r="E97" i="9" s="1"/>
  <c r="M69" i="9"/>
  <c r="N69" i="9" s="1"/>
  <c r="C80" i="9"/>
  <c r="E80" i="9" s="1"/>
  <c r="E81" i="9" s="1"/>
  <c r="C81" i="9" l="1"/>
  <c r="C97" i="9"/>
  <c r="D58" i="9" s="1"/>
  <c r="D56" i="9" s="1"/>
  <c r="M54" i="9" s="1"/>
  <c r="N57" i="9" s="1"/>
  <c r="P57" i="9" s="1"/>
  <c r="N59"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<sst xmlns="http://schemas.openxmlformats.org/spreadsheetml/2006/main" count="8485" uniqueCount="3493">
  <si>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</si>
  <si>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</si>
  <si>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</si>
  <si>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</si>
  <si>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</si>
  <si>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</si>
  <si>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</si>
  <si>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</si>
  <si>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</si>
  <si>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</si>
  <si>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</si>
  <si>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</si>
  <si>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</si>
  <si>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</si>
  <si>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</si>
  <si>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</si>
  <si>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</si>
  <si>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</si>
  <si>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</si>
  <si>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</si>
  <si>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</si>
  <si>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</si>
  <si>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</si>
  <si>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</si>
  <si>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</si>
  <si>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</si>
  <si>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</si>
  <si>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</si>
  <si>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</si>
  <si>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</si>
  <si>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</si>
  <si>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</si>
  <si>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</si>
  <si>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</si>
  <si>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</si>
  <si>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</si>
  <si>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</si>
  <si>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</si>
  <si>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</si>
  <si>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</si>
  <si>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</si>
  <si>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</si>
  <si>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</si>
  <si>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</si>
  <si>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</si>
  <si>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</si>
  <si>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</si>
  <si>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</si>
  <si>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</si>
  <si>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</si>
  <si>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</si>
  <si>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</si>
  <si>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</si>
  <si>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</si>
  <si>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</si>
  <si>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</si>
  <si>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</si>
  <si>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</si>
  <si>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</si>
  <si>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</si>
  <si>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</si>
  <si>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</si>
  <si>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</si>
  <si>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</si>
  <si>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</si>
  <si>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</si>
  <si>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</si>
  <si>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</si>
  <si>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</si>
  <si>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</si>
  <si>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</si>
  <si>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</si>
  <si>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</si>
  <si>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</si>
  <si>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</si>
  <si>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</si>
  <si>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</si>
  <si>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</si>
  <si>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</si>
  <si>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</si>
  <si>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</si>
  <si>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</si>
  <si>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</si>
  <si>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</si>
  <si>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</si>
  <si>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</si>
  <si>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</si>
  <si>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</si>
  <si>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</si>
  <si>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</si>
  <si>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</si>
  <si>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</si>
  <si>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</si>
  <si>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</si>
  <si>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</si>
  <si>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</si>
  <si>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</si>
  <si>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</si>
  <si>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</si>
  <si>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</si>
  <si>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</si>
  <si>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</si>
  <si>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</si>
  <si>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</si>
  <si>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</si>
  <si>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</si>
  <si>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</si>
  <si>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</si>
  <si>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</si>
  <si>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</si>
  <si>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</si>
  <si>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</si>
  <si>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</si>
  <si>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</si>
  <si>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</si>
  <si>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</si>
  <si>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</si>
  <si>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</si>
  <si>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</si>
  <si>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</si>
  <si>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</si>
  <si>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</si>
  <si>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</si>
  <si>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</si>
  <si>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</si>
  <si>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</si>
  <si>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</si>
  <si>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</si>
  <si>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</si>
  <si>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</si>
  <si>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</si>
  <si>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</si>
  <si>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</si>
  <si>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</si>
  <si>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</si>
  <si>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</si>
  <si>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</si>
  <si>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</si>
  <si>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</si>
  <si>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</si>
  <si>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</si>
  <si>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</si>
  <si>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</si>
  <si>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</si>
  <si>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</si>
  <si>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</si>
  <si>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</si>
  <si>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</si>
  <si>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</si>
  <si>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</si>
  <si>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</si>
  <si>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</si>
  <si>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</si>
  <si>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</si>
  <si>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</si>
  <si>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</si>
  <si>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</si>
  <si>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</si>
  <si>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</si>
  <si>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</si>
  <si>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</si>
  <si>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</si>
  <si>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</si>
  <si>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</si>
  <si>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</si>
  <si>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</si>
  <si>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</si>
  <si>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</si>
  <si>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</si>
  <si>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</si>
  <si>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</si>
  <si>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</si>
  <si>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</si>
  <si>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</si>
  <si>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</si>
  <si>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</si>
  <si>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</si>
  <si>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</si>
  <si>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</si>
  <si>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</si>
  <si>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</si>
  <si>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</si>
  <si>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</si>
  <si>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</si>
  <si>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</si>
  <si>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</si>
  <si>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</si>
  <si>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</si>
  <si>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</si>
  <si>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</si>
  <si>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</si>
  <si>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</si>
  <si>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</si>
  <si>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</si>
  <si>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</si>
  <si>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</si>
  <si>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</si>
  <si>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</si>
  <si>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</si>
  <si>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</si>
  <si>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</si>
  <si>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</si>
  <si>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</si>
  <si>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</si>
  <si>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</si>
  <si>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</si>
  <si>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</si>
  <si>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</si>
  <si>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</si>
  <si>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</si>
  <si>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</si>
  <si>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</si>
  <si>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</si>
  <si>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</si>
  <si>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</si>
  <si>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</si>
  <si>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</si>
  <si>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</si>
  <si>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</si>
  <si>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</si>
  <si>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</si>
  <si>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</si>
  <si>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</si>
  <si>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</si>
  <si>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</si>
  <si>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</si>
  <si>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</si>
  <si>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</si>
  <si>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</si>
  <si>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</si>
  <si>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</si>
  <si>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</si>
  <si>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</si>
  <si>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</si>
  <si>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</si>
  <si>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</si>
  <si>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</si>
  <si>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</si>
  <si>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</si>
  <si>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</si>
  <si>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</si>
  <si>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</si>
  <si>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</si>
  <si>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</si>
  <si>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</si>
  <si>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</si>
  <si>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</si>
  <si>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</si>
  <si>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</si>
  <si>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</si>
  <si>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</si>
  <si>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</si>
  <si>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</si>
  <si>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</si>
  <si>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</si>
  <si>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</si>
  <si>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</si>
  <si>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</si>
  <si>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</si>
  <si>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</si>
  <si>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</si>
  <si>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</si>
  <si>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</si>
  <si>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</si>
  <si>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</si>
  <si>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</si>
  <si>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</si>
  <si>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</si>
  <si>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</si>
  <si>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</si>
  <si>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</si>
  <si>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</si>
  <si>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</si>
  <si>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</si>
  <si>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</si>
  <si>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</si>
  <si>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</si>
  <si>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</si>
  <si>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</si>
  <si>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</si>
  <si>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</si>
  <si>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</si>
  <si>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</si>
  <si>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</si>
  <si>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</si>
  <si>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</si>
  <si>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</si>
  <si>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</si>
  <si>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</si>
  <si>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</si>
  <si>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</si>
  <si>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</si>
  <si>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</si>
  <si>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</si>
  <si>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</si>
  <si>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</si>
  <si>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</si>
  <si>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</si>
  <si>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</si>
  <si>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</si>
  <si>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</si>
  <si>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</si>
  <si>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</si>
  <si>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</si>
  <si>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</si>
  <si>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</si>
  <si>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</si>
  <si>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</si>
  <si>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</si>
  <si>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</si>
  <si>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</si>
  <si>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</si>
  <si>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</si>
  <si>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</si>
  <si>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</si>
  <si>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</si>
  <si>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</si>
  <si>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</si>
  <si>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</si>
  <si>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</si>
  <si>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</si>
  <si>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</si>
  <si>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</si>
  <si>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</si>
  <si>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</si>
  <si>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</si>
  <si>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</si>
  <si>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</si>
  <si>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</si>
  <si>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</si>
  <si>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</si>
  <si>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</si>
  <si>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</si>
  <si>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</si>
  <si>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</si>
  <si>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</si>
  <si>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</si>
  <si>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</si>
  <si>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</si>
  <si>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</si>
  <si>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</si>
  <si>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</si>
  <si>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</si>
  <si>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</si>
  <si>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</si>
  <si>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</si>
  <si>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</si>
  <si>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</si>
  <si>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</si>
  <si>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</si>
  <si>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</si>
  <si>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</si>
  <si>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</si>
  <si>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</si>
  <si>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</si>
  <si>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</si>
  <si>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</si>
  <si>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</si>
  <si>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</si>
  <si>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</si>
  <si>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</si>
  <si>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</si>
  <si>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</si>
  <si>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</si>
  <si>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</si>
  <si>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</si>
  <si>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</si>
  <si>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</si>
  <si>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</si>
  <si>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</si>
  <si>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</si>
  <si>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</si>
  <si>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</si>
  <si>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</si>
  <si>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</si>
  <si>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</si>
  <si>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</si>
  <si>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</si>
  <si>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</si>
  <si>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</si>
  <si>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</si>
  <si>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</si>
  <si>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</si>
  <si>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</si>
  <si>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</si>
  <si>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</si>
  <si>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</si>
  <si>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</si>
  <si>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</si>
  <si>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</si>
  <si>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</si>
  <si>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</si>
  <si>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</si>
  <si>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</si>
  <si>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</si>
  <si>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</si>
  <si>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</si>
  <si>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</si>
  <si>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</si>
  <si>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</si>
  <si>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</si>
  <si>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</si>
  <si>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</si>
  <si>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</si>
  <si>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</si>
  <si>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</si>
  <si>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</si>
  <si>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</si>
  <si>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</si>
  <si>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</si>
  <si>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</si>
  <si>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</si>
  <si>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</si>
  <si>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</si>
  <si>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</si>
  <si>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</si>
  <si>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</si>
  <si>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</si>
  <si>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</si>
  <si>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</si>
  <si>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</si>
  <si>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</si>
  <si>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</si>
  <si>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</si>
  <si>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</si>
  <si>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</si>
  <si>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</si>
  <si>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</si>
  <si>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</si>
  <si>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</si>
  <si>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</si>
  <si>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</si>
  <si>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</si>
  <si>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</si>
  <si>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</si>
  <si>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</si>
  <si>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</si>
  <si>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</si>
  <si>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</si>
  <si>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</si>
  <si>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</si>
  <si>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</si>
  <si>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</si>
  <si>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</si>
  <si>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</si>
  <si>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</si>
  <si>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</si>
  <si>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</si>
  <si>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</si>
  <si>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</si>
  <si>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</si>
  <si>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</si>
  <si>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</si>
  <si>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</si>
  <si>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</si>
  <si>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</si>
  <si>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</si>
  <si>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</si>
  <si>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</si>
  <si>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</si>
  <si>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</si>
  <si>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</si>
  <si>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</si>
  <si>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</si>
  <si>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</si>
  <si>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</si>
  <si>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</si>
  <si>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</si>
  <si>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</si>
  <si>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</si>
  <si>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</si>
  <si>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</si>
  <si>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</si>
  <si>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</si>
  <si>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</si>
  <si>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</si>
  <si>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</si>
  <si>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</si>
  <si>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</si>
  <si>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</si>
  <si>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</si>
  <si>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</si>
  <si>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</si>
  <si>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</si>
  <si>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</si>
  <si>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</si>
  <si>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</si>
  <si>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</si>
  <si>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</si>
  <si>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</si>
  <si>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</si>
  <si>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</si>
  <si>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</si>
  <si>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</si>
  <si>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</si>
  <si>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</si>
  <si>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</si>
  <si>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</si>
  <si>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</si>
  <si>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</si>
  <si>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</si>
  <si>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</si>
  <si>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</si>
  <si>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</si>
  <si>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</si>
  <si>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</si>
  <si>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</si>
  <si>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</si>
  <si>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</si>
  <si>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</si>
  <si>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</si>
  <si>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</si>
  <si>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</si>
  <si>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</si>
  <si>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</si>
  <si>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</si>
  <si>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</si>
  <si>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</si>
  <si>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</si>
  <si>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</si>
  <si>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</si>
  <si>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</si>
  <si>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</si>
  <si>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</si>
  <si>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</si>
  <si>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</si>
  <si>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</si>
  <si>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</si>
  <si>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</si>
  <si>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</si>
  <si>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</si>
  <si>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</si>
  <si>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</si>
  <si>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</si>
  <si>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</si>
  <si>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</si>
  <si>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</si>
  <si>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</si>
  <si>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</si>
  <si>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</si>
  <si>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</si>
  <si>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</si>
  <si>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</si>
  <si>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</si>
  <si>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</si>
  <si>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</si>
  <si>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</si>
  <si>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</si>
  <si>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</si>
  <si>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</si>
  <si>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</si>
  <si>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</si>
  <si>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</si>
  <si>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</si>
  <si>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</si>
  <si>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</si>
  <si>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</si>
  <si>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</si>
  <si>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</si>
  <si>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</si>
  <si>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</si>
  <si>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</si>
  <si>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</si>
  <si>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</si>
  <si>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</si>
  <si>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</si>
  <si>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</si>
  <si>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</si>
  <si>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</si>
  <si>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</si>
  <si>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</si>
  <si>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</si>
  <si>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</si>
  <si>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</si>
  <si>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</si>
  <si>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</si>
  <si>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</si>
  <si>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</si>
  <si>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</si>
  <si>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</si>
  <si>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</si>
  <si>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</si>
  <si>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</si>
  <si>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</si>
  <si>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</si>
  <si>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</si>
  <si>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</si>
  <si>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</si>
  <si>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</si>
  <si>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</si>
  <si>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</si>
  <si>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</si>
  <si>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</si>
  <si>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</si>
  <si>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</si>
  <si>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</si>
  <si>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</si>
  <si>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</si>
  <si>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</si>
  <si>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</si>
  <si>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</si>
  <si>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</si>
  <si>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</si>
  <si>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</si>
  <si>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</si>
  <si>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</si>
  <si>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</si>
  <si>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</si>
  <si>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</si>
  <si>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</si>
  <si>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</si>
  <si>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</si>
  <si>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</si>
  <si>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</si>
  <si>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</si>
  <si>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</si>
  <si>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</si>
  <si>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</si>
  <si>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</si>
  <si>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</si>
  <si>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</si>
  <si>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</si>
  <si>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</si>
  <si>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</si>
  <si>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</si>
  <si>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</si>
  <si>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</si>
  <si>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</si>
  <si>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</si>
  <si>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</si>
  <si>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</si>
  <si>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</si>
  <si>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</si>
  <si>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</si>
  <si>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</si>
  <si>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</si>
  <si>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</si>
  <si>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</si>
  <si>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</si>
  <si>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</si>
  <si>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</si>
  <si>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</si>
  <si>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</si>
  <si>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</si>
  <si>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</si>
  <si>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</si>
  <si>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</si>
  <si>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</si>
  <si>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</si>
  <si>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</si>
  <si>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</si>
  <si>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</si>
  <si>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</si>
  <si>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</si>
  <si>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</si>
  <si>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</si>
  <si>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</si>
  <si>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</si>
  <si>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</si>
  <si>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</si>
  <si>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</si>
  <si>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</si>
  <si>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</si>
  <si>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</si>
  <si>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</si>
  <si>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</si>
  <si>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</si>
  <si>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</si>
  <si>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</si>
  <si>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</si>
  <si>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</si>
  <si>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</si>
  <si>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</si>
  <si>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</si>
  <si>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</si>
  <si>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</si>
  <si>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</si>
  <si>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</si>
  <si>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</si>
  <si>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</si>
  <si>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</si>
  <si>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</si>
  <si>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</si>
  <si>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</si>
  <si>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</si>
  <si>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</si>
  <si>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</si>
  <si>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</si>
  <si>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</si>
  <si>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</si>
  <si>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</si>
  <si>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</si>
  <si>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</si>
  <si>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</si>
  <si>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</si>
  <si>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</si>
  <si>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</si>
  <si>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</si>
  <si>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</si>
  <si>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</si>
  <si>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</si>
  <si>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</si>
  <si>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</si>
  <si>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</si>
  <si>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</si>
  <si>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</si>
  <si>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</si>
  <si>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</si>
  <si>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</si>
  <si>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</si>
  <si>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</si>
  <si>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</si>
  <si>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</si>
  <si>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</si>
  <si>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</si>
  <si>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</si>
  <si>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</si>
  <si>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</si>
  <si>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</si>
  <si>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</si>
  <si>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</si>
  <si>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</si>
  <si>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</si>
  <si>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</si>
  <si>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</si>
  <si>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</si>
  <si>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</si>
  <si>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</si>
  <si>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</si>
  <si>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</si>
  <si>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</si>
  <si>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</si>
  <si>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</si>
  <si>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</si>
  <si>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</si>
  <si>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</si>
  <si>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</si>
  <si>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</si>
  <si>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</si>
  <si>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</si>
  <si>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</si>
  <si>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</si>
  <si>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</si>
  <si>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</si>
  <si>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</si>
  <si>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</si>
  <si>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</si>
  <si>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</si>
  <si>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</si>
  <si>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</si>
  <si>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</si>
  <si>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</si>
  <si>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</si>
  <si>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</si>
  <si>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</si>
  <si>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</si>
  <si>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</si>
  <si>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</si>
  <si>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</si>
  <si>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</si>
  <si>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</si>
  <si>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</si>
  <si>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</si>
  <si>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</si>
  <si>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</si>
  <si>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</si>
  <si>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</si>
  <si>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</si>
  <si>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</si>
  <si>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</si>
  <si>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</si>
  <si>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</si>
  <si>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</si>
  <si>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</si>
  <si>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</si>
  <si>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</si>
  <si>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</si>
  <si>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</si>
  <si>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</si>
  <si>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</si>
  <si>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</si>
  <si>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</si>
  <si>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</si>
  <si>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</si>
  <si>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</si>
  <si>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</si>
  <si>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</si>
  <si>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</si>
  <si>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</si>
  <si>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</si>
  <si>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</si>
  <si>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</si>
  <si>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</si>
  <si>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</si>
  <si>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</si>
  <si>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</si>
  <si>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</si>
  <si>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</si>
  <si>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</si>
  <si>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</si>
  <si>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</si>
  <si>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</si>
  <si>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</si>
  <si>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</si>
  <si>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</si>
  <si>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</si>
  <si>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</si>
  <si>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</si>
  <si>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</si>
  <si>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</si>
  <si>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</si>
  <si>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</si>
  <si>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</si>
  <si>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</si>
  <si>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</si>
  <si>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</si>
  <si>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</si>
  <si>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</si>
  <si>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</si>
  <si>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</si>
  <si>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</si>
  <si>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</si>
  <si>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</si>
  <si>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</si>
  <si>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</si>
  <si>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</si>
  <si>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</si>
  <si>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</si>
  <si>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</si>
  <si>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</si>
  <si>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</si>
  <si>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</si>
  <si>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</si>
  <si>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</si>
  <si>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</si>
  <si>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</si>
  <si>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</si>
  <si>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</si>
  <si>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</si>
  <si>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</si>
  <si>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</si>
  <si>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</si>
  <si>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</si>
  <si>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</si>
  <si>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</si>
  <si>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</si>
  <si>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</si>
  <si>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</si>
  <si>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</si>
  <si>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</si>
  <si>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</si>
  <si>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</si>
  <si>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</si>
  <si>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</si>
  <si>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</si>
  <si>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</si>
  <si>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</si>
  <si>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</si>
  <si>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</si>
  <si>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</si>
  <si>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</si>
  <si>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</si>
  <si>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</si>
  <si>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</si>
  <si>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</si>
  <si>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</si>
  <si>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</si>
  <si>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</si>
  <si>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</si>
  <si>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</si>
  <si>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</si>
  <si>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</si>
  <si>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</si>
  <si>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</si>
  <si>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</si>
  <si>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</si>
  <si>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</si>
  <si>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</si>
  <si>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</si>
  <si>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</si>
  <si>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</si>
  <si>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</si>
  <si>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</si>
  <si>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</si>
  <si>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</si>
  <si>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</si>
  <si>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</si>
  <si>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</si>
  <si>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</si>
  <si>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</si>
  <si>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</si>
  <si>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</si>
  <si>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</si>
  <si>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</si>
  <si>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</si>
  <si>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</si>
  <si>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</si>
  <si>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</si>
  <si>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</si>
  <si>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</si>
  <si>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</si>
  <si>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</si>
  <si>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</si>
  <si>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</si>
  <si>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</si>
  <si>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</si>
  <si>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</si>
  <si>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</si>
  <si>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</si>
  <si>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</si>
  <si>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</si>
  <si>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</si>
  <si>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</si>
  <si>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</si>
  <si>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</si>
  <si>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</si>
  <si>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</si>
  <si>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</si>
  <si>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</si>
  <si>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</si>
  <si>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</si>
  <si>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</si>
  <si>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</si>
  <si>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</si>
  <si>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</si>
  <si>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</si>
  <si>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</si>
  <si>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</si>
  <si>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</si>
  <si>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</si>
  <si>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</si>
  <si>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</si>
  <si>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</si>
  <si>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</si>
  <si>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</si>
  <si>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</si>
  <si>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</si>
  <si>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</si>
  <si>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</si>
  <si>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</si>
  <si>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</si>
  <si>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</si>
  <si>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</si>
  <si>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</si>
  <si>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</si>
  <si>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</si>
  <si>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</si>
  <si>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</si>
  <si>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</si>
  <si>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</si>
  <si>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</si>
  <si>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</si>
  <si>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</si>
  <si>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</si>
  <si>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</si>
  <si>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</si>
  <si>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</si>
  <si>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</si>
  <si>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</si>
  <si>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</si>
  <si>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</si>
  <si>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</si>
  <si>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</si>
  <si>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</si>
  <si>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</si>
  <si>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</si>
  <si>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</si>
  <si>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</si>
  <si>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</si>
  <si>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</si>
  <si>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</si>
  <si>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</si>
  <si>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</si>
  <si>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</si>
  <si>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</si>
  <si>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</si>
  <si>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</si>
  <si>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</si>
  <si>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</si>
  <si>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</si>
  <si>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</si>
  <si>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</si>
  <si>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</si>
  <si>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</si>
  <si>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</si>
  <si>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</si>
  <si>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</si>
  <si>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</si>
  <si>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</si>
  <si>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</si>
  <si>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</si>
  <si>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</si>
  <si>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</si>
  <si>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</si>
  <si>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</si>
  <si>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</si>
  <si>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</si>
  <si>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</si>
  <si>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</si>
  <si>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</si>
  <si>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</si>
  <si>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</si>
  <si>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</si>
  <si>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</si>
  <si>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</si>
  <si>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</si>
  <si>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</si>
  <si>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</si>
  <si>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</si>
  <si>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</si>
  <si>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</si>
  <si>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</si>
  <si>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</si>
  <si>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</si>
  <si>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</si>
  <si>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</si>
  <si>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</si>
  <si>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</si>
  <si>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</si>
  <si>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</si>
  <si>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</si>
  <si>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</si>
  <si>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</si>
  <si>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</si>
  <si>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</si>
  <si>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</si>
  <si>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</si>
  <si>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</si>
  <si>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</si>
  <si>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</si>
  <si>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</si>
  <si>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</si>
  <si>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</si>
  <si>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</si>
  <si>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</si>
  <si>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</si>
  <si>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</si>
  <si>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</si>
  <si>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</si>
  <si>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</si>
  <si>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</si>
  <si>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</si>
  <si>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</si>
  <si>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</si>
  <si>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</si>
  <si>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</si>
  <si>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</si>
  <si>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</si>
  <si>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</si>
  <si>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</si>
  <si>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</si>
  <si>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</si>
  <si>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</si>
  <si>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</si>
  <si>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</si>
  <si>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</si>
  <si>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</si>
  <si>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</si>
  <si>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</si>
  <si>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</si>
  <si>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</si>
  <si>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</si>
  <si>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</si>
  <si>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</si>
  <si>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</si>
  <si>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</si>
  <si>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</si>
  <si>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</si>
  <si>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</si>
  <si>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</si>
  <si>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</si>
  <si>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</si>
  <si>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</si>
  <si>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</si>
  <si>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</si>
  <si>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</si>
  <si>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</si>
  <si>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</si>
  <si>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</si>
  <si>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</si>
  <si>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</si>
  <si>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</si>
  <si>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</si>
  <si>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</si>
  <si>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</si>
  <si>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</si>
  <si>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</si>
  <si>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</si>
  <si>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</si>
  <si>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</si>
  <si>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</si>
  <si>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</si>
  <si>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</si>
  <si>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</si>
  <si>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</si>
  <si>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</si>
  <si>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</si>
  <si>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</si>
  <si>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</si>
  <si>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</si>
  <si>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</si>
  <si>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</si>
  <si>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</si>
  <si>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</si>
  <si>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</si>
  <si>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</si>
  <si>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</si>
  <si>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</si>
  <si>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</si>
  <si>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</si>
  <si>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</si>
  <si>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</si>
  <si>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</si>
  <si>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</si>
  <si>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</si>
  <si>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</si>
  <si>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</si>
  <si>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</si>
  <si>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</si>
  <si>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</si>
  <si>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</si>
  <si>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</si>
  <si>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</si>
  <si>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</si>
  <si>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</si>
  <si>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</si>
  <si>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</si>
  <si>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</si>
  <si>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</si>
  <si>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</si>
  <si>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</si>
  <si>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</si>
  <si>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</si>
  <si>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</si>
  <si>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</si>
  <si>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</si>
  <si>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</si>
  <si>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</si>
  <si>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</si>
  <si>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</si>
  <si>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</si>
  <si>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</si>
  <si>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</si>
  <si>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</si>
  <si>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</si>
  <si>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</si>
  <si>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</si>
  <si>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</si>
  <si>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</si>
  <si>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</si>
  <si>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</si>
  <si>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</si>
  <si>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</si>
  <si>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</si>
  <si>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</si>
  <si>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</si>
  <si>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</si>
  <si>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</si>
  <si>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</si>
  <si>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</si>
  <si>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</si>
  <si>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</si>
  <si>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</si>
  <si>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</si>
  <si>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</si>
  <si>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</si>
  <si>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</si>
  <si>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</si>
  <si>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</si>
  <si>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</si>
  <si>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</si>
  <si>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</si>
  <si>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</si>
  <si>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</si>
  <si>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</si>
  <si>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</si>
  <si>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</si>
  <si>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</si>
  <si>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</si>
  <si>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</si>
  <si>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</si>
  <si>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</si>
  <si>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</si>
  <si>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</si>
  <si>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</si>
  <si>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</si>
  <si>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</si>
  <si>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</si>
  <si>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</si>
  <si>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</si>
  <si>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</si>
  <si>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</si>
  <si>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</si>
  <si>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</si>
  <si>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</si>
  <si>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</si>
  <si>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</si>
  <si>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</si>
  <si>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</si>
  <si>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</si>
  <si>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</si>
  <si>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</si>
  <si>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</si>
  <si>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</si>
  <si>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</si>
  <si>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</si>
  <si>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</si>
  <si>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</si>
  <si>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</si>
  <si>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</si>
  <si>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</si>
  <si>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</si>
  <si>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</si>
  <si>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</si>
  <si>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</si>
  <si>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</si>
  <si>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</si>
  <si>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</si>
  <si>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</si>
  <si>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</si>
  <si>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</si>
  <si>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</si>
  <si>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</si>
  <si>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</si>
  <si>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</si>
  <si>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</si>
  <si>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</si>
  <si>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</si>
  <si>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</si>
  <si>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</si>
  <si>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</si>
  <si>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</si>
  <si>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</si>
  <si>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</si>
  <si>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</si>
  <si>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</si>
  <si>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</si>
  <si>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</si>
  <si>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</si>
  <si>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</si>
  <si>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</si>
  <si>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</si>
  <si>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</si>
  <si>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</si>
  <si>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</si>
  <si>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</si>
  <si>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</si>
  <si>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</si>
  <si>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</si>
  <si>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</si>
  <si>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</si>
  <si>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</si>
  <si>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</si>
  <si>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</si>
  <si>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</si>
  <si>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</si>
  <si>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</si>
  <si>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</si>
  <si>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</si>
  <si>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</si>
  <si>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</si>
  <si>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</si>
  <si>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</si>
  <si>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</si>
  <si>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</si>
  <si>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</si>
  <si>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</si>
  <si>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</si>
  <si>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</si>
  <si>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</si>
  <si>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</si>
  <si>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</si>
  <si>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</si>
  <si>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</si>
  <si>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</si>
  <si>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</si>
  <si>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</si>
  <si>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</si>
  <si>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</si>
  <si>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</si>
  <si>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</si>
  <si>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</si>
  <si>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</si>
  <si>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</si>
  <si>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</si>
  <si>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</si>
  <si>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</si>
  <si>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</si>
  <si>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</si>
  <si>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</si>
  <si>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</si>
  <si>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</si>
  <si>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</si>
  <si>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</si>
  <si>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</si>
  <si>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</si>
  <si>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</si>
  <si>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</si>
  <si>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</si>
  <si>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</si>
  <si>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</si>
  <si>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</si>
  <si>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</si>
  <si>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</si>
  <si>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</si>
  <si>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</si>
  <si>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</si>
  <si>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</si>
  <si>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</si>
  <si>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</si>
  <si>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</si>
  <si>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</si>
  <si>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</si>
  <si>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</si>
  <si>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</si>
  <si>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</si>
  <si>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</si>
  <si>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</si>
  <si>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</si>
  <si>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</si>
  <si>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</si>
  <si>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</si>
  <si>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</si>
  <si>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</si>
  <si>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</si>
  <si>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</si>
  <si>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</si>
  <si>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</si>
  <si>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</si>
  <si>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</si>
  <si>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</si>
  <si>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</si>
  <si>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</si>
  <si>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</si>
  <si>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</si>
  <si>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</si>
  <si>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</si>
  <si>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</si>
  <si>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</si>
  <si>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</si>
  <si>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</si>
  <si>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</si>
  <si>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</si>
  <si>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</si>
  <si>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</si>
  <si>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</si>
  <si>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</si>
  <si>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</si>
  <si>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</si>
  <si>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</si>
  <si>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</si>
  <si>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</si>
  <si>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</si>
  <si>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</si>
  <si>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</si>
  <si>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</si>
  <si>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</si>
  <si>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</si>
  <si>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</si>
  <si>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</si>
  <si>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</si>
  <si>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</si>
  <si>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</si>
  <si>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</si>
  <si>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</si>
  <si>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</si>
  <si>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</si>
  <si>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</si>
  <si>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</si>
  <si>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</si>
  <si>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</si>
  <si>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</si>
  <si>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</si>
  <si>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</si>
  <si>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</si>
  <si>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</si>
  <si>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</si>
  <si>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</si>
  <si>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</si>
  <si>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</si>
  <si>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</si>
  <si>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</si>
  <si>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</si>
  <si>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</si>
  <si>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</si>
  <si>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</si>
  <si>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</si>
  <si>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</si>
  <si>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</si>
  <si>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</si>
  <si>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</si>
  <si>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</si>
  <si>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</si>
  <si>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</si>
  <si>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</si>
  <si>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</si>
  <si>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</si>
  <si>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</si>
  <si>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</si>
  <si>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</si>
  <si>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</si>
  <si>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</si>
  <si>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</si>
  <si>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</si>
  <si>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</si>
  <si>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</si>
  <si>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</si>
  <si>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</si>
  <si>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</si>
  <si>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</si>
  <si>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</si>
  <si>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</si>
  <si>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</si>
  <si>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</si>
  <si>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</si>
  <si>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</si>
  <si>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</si>
  <si>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</si>
  <si>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</si>
  <si>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</si>
  <si>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</si>
  <si>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</si>
  <si>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</si>
  <si>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</si>
  <si>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</si>
  <si>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</si>
  <si>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</si>
  <si>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</si>
  <si>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</si>
  <si>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</si>
  <si>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</si>
  <si>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</si>
  <si>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</si>
  <si>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</si>
  <si>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</si>
  <si>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</si>
  <si>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</si>
  <si>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</si>
  <si>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</si>
  <si>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</si>
  <si>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</si>
  <si>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</si>
  <si>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</si>
  <si>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</si>
  <si>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</si>
  <si>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</si>
  <si>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</si>
  <si>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</si>
  <si>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</si>
  <si>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</si>
  <si>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</si>
  <si>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</si>
  <si>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</si>
  <si>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</si>
  <si>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</si>
  <si>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</si>
  <si>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</si>
  <si>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</si>
  <si>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</si>
  <si>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</si>
  <si>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</si>
  <si>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</si>
  <si>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</si>
  <si>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</si>
  <si>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</si>
  <si>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</si>
  <si>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</si>
  <si>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</si>
  <si>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</si>
  <si>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</si>
  <si>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</si>
  <si>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</si>
  <si>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</si>
  <si>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</si>
  <si>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</si>
  <si>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</si>
  <si>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</si>
  <si>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</si>
  <si>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</si>
  <si>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</si>
  <si>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</si>
  <si>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</si>
  <si>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</si>
  <si>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</si>
  <si>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</si>
  <si>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</si>
  <si>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</si>
  <si>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</si>
  <si>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</si>
  <si>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</si>
  <si>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</si>
  <si>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</si>
  <si>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</si>
  <si>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</si>
  <si>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</si>
  <si>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</si>
  <si>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</si>
  <si>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</si>
  <si>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</si>
  <si>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</si>
  <si>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</si>
  <si>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</si>
  <si>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</si>
  <si>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</si>
  <si>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</si>
  <si>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</si>
  <si>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</si>
  <si>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</si>
  <si>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</si>
  <si>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</si>
  <si>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</si>
  <si>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</si>
  <si>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</si>
  <si>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</si>
  <si>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</si>
  <si>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</si>
  <si>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</si>
  <si>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</si>
  <si>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</si>
  <si>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</si>
  <si>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</si>
  <si>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</si>
  <si>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</si>
  <si>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</si>
  <si>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</si>
  <si>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</si>
  <si>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</si>
  <si>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</si>
  <si>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</si>
  <si>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</si>
  <si>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</si>
  <si>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</si>
  <si>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</si>
  <si>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</si>
  <si>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</si>
  <si>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</si>
  <si>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</si>
  <si>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</si>
  <si>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</si>
  <si>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</si>
  <si>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</si>
  <si>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</si>
  <si>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</si>
  <si>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</si>
  <si>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</si>
  <si>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</si>
  <si>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</si>
  <si>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</si>
  <si>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</si>
  <si>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</si>
  <si>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</si>
  <si>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</si>
  <si>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</si>
  <si>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</si>
  <si>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</si>
  <si>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</si>
  <si>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</si>
  <si>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</si>
  <si>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</si>
  <si>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</si>
  <si>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</si>
  <si>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</si>
  <si>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</si>
  <si>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</si>
  <si>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</si>
  <si>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</si>
  <si>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</si>
  <si>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</si>
  <si>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</si>
  <si>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</si>
  <si>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</si>
  <si>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</si>
  <si>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</si>
  <si>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</si>
  <si>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</si>
  <si>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</si>
  <si>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</si>
  <si>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</si>
  <si>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</si>
  <si>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</si>
  <si>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</si>
  <si>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</si>
  <si>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</si>
  <si>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</si>
  <si>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</si>
  <si>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</si>
  <si>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</si>
  <si>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</si>
  <si>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</si>
  <si>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</si>
  <si>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</si>
  <si>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</si>
  <si>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</si>
  <si>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</si>
  <si>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</si>
  <si>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</si>
  <si>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</si>
  <si>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</si>
  <si>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</si>
  <si>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</si>
  <si>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</si>
  <si>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</si>
  <si>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</si>
  <si>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</si>
  <si>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</si>
  <si>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</si>
  <si>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</si>
  <si>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</si>
  <si>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</si>
  <si>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</si>
  <si>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</si>
  <si>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</si>
  <si>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</si>
  <si>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</si>
  <si>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</si>
  <si>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</si>
  <si>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</si>
  <si>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</si>
  <si>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</si>
  <si>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</si>
  <si>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</si>
  <si>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</si>
  <si>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</si>
  <si>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</si>
  <si>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</si>
  <si>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</si>
  <si>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</si>
  <si>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</si>
  <si>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</si>
  <si>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</si>
  <si>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</si>
  <si>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</si>
  <si>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</si>
  <si>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</si>
  <si>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</si>
  <si>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</si>
  <si>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</si>
  <si>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</si>
  <si>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</si>
  <si>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</si>
  <si>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</si>
  <si>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</si>
  <si>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</si>
  <si>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</si>
  <si>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</si>
  <si>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</si>
  <si>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</si>
  <si>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</si>
  <si>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</si>
  <si>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</si>
  <si>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</si>
  <si>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</si>
  <si>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</si>
  <si>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</si>
  <si>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</si>
  <si>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</si>
  <si>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</si>
  <si>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</si>
  <si>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</si>
  <si>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</si>
  <si>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</si>
  <si>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</si>
  <si>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</si>
  <si>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</si>
  <si>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</si>
  <si>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</si>
  <si>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</si>
  <si>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</si>
  <si>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</si>
  <si>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</si>
  <si>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</si>
  <si>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</si>
  <si>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</si>
  <si>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</si>
  <si>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</si>
  <si>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</si>
  <si>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</si>
  <si>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</si>
  <si>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</si>
  <si>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</si>
  <si>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</si>
  <si>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</si>
  <si>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</si>
  <si>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</si>
  <si>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</si>
  <si>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</si>
  <si>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</si>
  <si>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</si>
  <si>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</si>
  <si>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</si>
  <si>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</si>
  <si>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</si>
  <si>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</si>
  <si>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</si>
  <si>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</si>
  <si>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</si>
  <si>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</si>
  <si>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</si>
  <si>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</si>
  <si>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</si>
  <si>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</si>
  <si>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</si>
  <si>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</si>
  <si>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</si>
  <si>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</si>
  <si>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</si>
  <si>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</si>
  <si>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</si>
  <si>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</si>
  <si>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</si>
  <si>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</si>
  <si>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</si>
  <si>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</si>
  <si>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</si>
  <si>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</si>
  <si>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</si>
  <si>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</si>
  <si>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</si>
  <si>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</si>
  <si>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</si>
  <si>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</si>
  <si>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</si>
  <si>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</si>
  <si>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</si>
  <si>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</si>
  <si>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</si>
  <si>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</si>
  <si>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</si>
  <si>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</si>
  <si>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</si>
  <si>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</si>
  <si>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</si>
  <si>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</si>
  <si>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</si>
  <si>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</si>
  <si>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</si>
  <si>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</si>
  <si>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</si>
  <si>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</si>
  <si>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</si>
  <si>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</si>
  <si>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</si>
  <si>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</si>
  <si>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</si>
  <si>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</si>
  <si>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</si>
  <si>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</si>
  <si>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</si>
  <si>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</si>
  <si>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</si>
  <si>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</si>
  <si>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</si>
  <si>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</si>
  <si>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</si>
  <si>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</si>
  <si>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</si>
  <si>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</si>
  <si>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</si>
  <si>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</si>
  <si>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</si>
  <si>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</si>
  <si>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</si>
  <si>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</si>
  <si>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</si>
  <si>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</si>
  <si>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</si>
  <si>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</si>
  <si>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</si>
  <si>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</si>
  <si>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</si>
  <si>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</si>
  <si>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</si>
  <si>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</si>
  <si>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</si>
  <si>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</si>
  <si>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</si>
  <si>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</si>
  <si>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</si>
  <si>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</si>
  <si>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</si>
  <si>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</si>
  <si>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</si>
  <si>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</si>
  <si>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</si>
  <si>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</si>
  <si>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</si>
  <si>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</si>
  <si>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</si>
  <si>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</si>
  <si>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</si>
  <si>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</si>
  <si>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</si>
  <si>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</si>
  <si>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</si>
  <si>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</si>
  <si>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</si>
  <si>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</si>
  <si>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</si>
  <si>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</si>
  <si>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</si>
  <si>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</si>
  <si>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</si>
  <si>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</si>
  <si>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</si>
  <si>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</si>
  <si>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</si>
  <si>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</si>
  <si>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</si>
  <si>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</si>
  <si>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</si>
  <si>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</si>
  <si>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</si>
  <si>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</si>
  <si>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</si>
  <si>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</si>
  <si>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</si>
  <si>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</si>
  <si>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</si>
  <si>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</si>
  <si>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</si>
  <si>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</si>
  <si>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</si>
  <si>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</si>
  <si>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</si>
  <si>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</si>
  <si>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</si>
  <si>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</si>
  <si>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</si>
  <si>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</si>
  <si>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</si>
  <si>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</si>
  <si>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</si>
  <si>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</si>
  <si>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</si>
  <si>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</si>
  <si>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</si>
  <si>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</si>
  <si>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</si>
  <si>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</si>
  <si>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</si>
  <si>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</si>
  <si>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</si>
  <si>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</si>
  <si>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</si>
  <si>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</si>
  <si>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</si>
  <si>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</si>
  <si>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</si>
  <si>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</si>
  <si>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</si>
  <si>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</si>
  <si>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</si>
  <si>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</si>
  <si>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</si>
  <si>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</si>
  <si>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</si>
  <si>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</si>
  <si>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</si>
  <si>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</si>
  <si>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</si>
  <si>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</si>
  <si>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</si>
  <si>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</si>
  <si>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</si>
  <si>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</si>
  <si>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</si>
  <si>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</si>
  <si>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</si>
  <si>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</si>
  <si>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</si>
  <si>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</si>
  <si>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</si>
  <si>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</si>
  <si>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</si>
  <si>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</si>
  <si>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</si>
  <si>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</si>
  <si>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</si>
  <si>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</si>
  <si>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</si>
  <si>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</si>
  <si>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</si>
  <si>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</si>
  <si>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</si>
  <si>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</si>
  <si>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</si>
  <si>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</si>
  <si>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</si>
  <si>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</si>
  <si>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</si>
  <si>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</si>
  <si>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</si>
  <si>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</si>
  <si>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</si>
  <si>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</si>
  <si>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</si>
  <si>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</si>
  <si>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</si>
  <si>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</si>
  <si>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</si>
  <si>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</si>
  <si>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</si>
  <si>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</si>
  <si>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</si>
  <si>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</si>
  <si>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</si>
  <si>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</si>
  <si>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</si>
  <si>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</si>
  <si>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</si>
  <si>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</si>
  <si>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</si>
  <si>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</si>
  <si>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</si>
  <si>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</si>
  <si>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</si>
  <si>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</si>
  <si>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</si>
  <si>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</si>
  <si>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</si>
  <si>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</si>
  <si>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</si>
  <si>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</si>
  <si>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</si>
  <si>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</si>
  <si>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</si>
  <si>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</si>
  <si>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</si>
  <si>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</si>
  <si>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</si>
  <si>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</si>
  <si>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</si>
  <si>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</si>
  <si>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</si>
  <si>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</si>
  <si>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</si>
  <si>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</si>
  <si>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</si>
  <si>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</si>
  <si>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</si>
  <si>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</si>
  <si>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</si>
  <si>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</si>
  <si>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</si>
  <si>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</si>
  <si>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</si>
  <si>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</si>
  <si>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</si>
  <si>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</si>
  <si>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</si>
  <si>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</si>
  <si>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</si>
  <si>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</si>
  <si>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</si>
  <si>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</si>
  <si>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</si>
  <si>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</si>
  <si>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</si>
  <si>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</si>
  <si>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</si>
  <si>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</si>
  <si>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</si>
  <si>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</si>
  <si>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</si>
  <si>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</si>
  <si>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</si>
  <si>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</si>
  <si>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</si>
  <si>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</si>
  <si>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</si>
  <si>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</si>
  <si>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</si>
  <si>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</si>
  <si>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</si>
  <si>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</si>
  <si>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</si>
  <si>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</si>
  <si>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</si>
  <si>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</si>
  <si>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</si>
  <si>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</si>
  <si>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</si>
  <si>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</si>
  <si>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</si>
  <si>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</si>
  <si>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</si>
  <si>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</si>
  <si>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</si>
  <si>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</si>
  <si>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</si>
  <si>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</si>
  <si>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</si>
  <si>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</si>
  <si>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</si>
  <si>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</si>
  <si>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</si>
  <si>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</si>
  <si>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</si>
  <si>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</si>
  <si>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</si>
  <si>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</si>
  <si>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</si>
  <si>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</si>
  <si>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</si>
  <si>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</si>
  <si>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</si>
  <si>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</si>
  <si>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</si>
  <si>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</si>
  <si>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</si>
  <si>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</si>
  <si>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</si>
  <si>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</si>
  <si>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</si>
  <si>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</si>
  <si>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</si>
  <si>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</si>
  <si>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</si>
  <si>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</si>
  <si>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</si>
  <si>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</si>
  <si>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</si>
  <si>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</si>
  <si>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</si>
  <si>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</si>
  <si>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</si>
  <si>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</si>
  <si>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</si>
  <si>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</si>
  <si>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</si>
  <si>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</si>
  <si>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</si>
  <si>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</si>
  <si>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</si>
  <si>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</si>
  <si>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</si>
  <si>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</si>
  <si>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</si>
  <si>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</si>
  <si>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</si>
  <si>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</si>
  <si>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</si>
  <si>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</si>
  <si>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</si>
  <si>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</si>
  <si>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</si>
  <si>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</si>
  <si>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</si>
  <si>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</si>
  <si>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</si>
  <si>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</si>
  <si>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</si>
  <si>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</si>
  <si>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</si>
  <si>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</si>
  <si>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</si>
  <si>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</si>
  <si>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</si>
  <si>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</si>
  <si>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</si>
  <si>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</si>
  <si>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</si>
  <si>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</si>
  <si>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</si>
  <si>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</si>
  <si>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</si>
  <si>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</si>
  <si>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</si>
  <si>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</si>
  <si>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</si>
  <si>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</si>
  <si>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</si>
  <si>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</si>
  <si>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</si>
  <si>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</si>
  <si>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</si>
  <si>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</si>
  <si>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</si>
  <si>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</si>
  <si>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</si>
  <si>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</si>
  <si>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</si>
  <si>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</si>
  <si>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</si>
  <si>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</si>
  <si>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</si>
  <si>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</si>
  <si>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</si>
  <si>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</si>
  <si>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</si>
  <si>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</si>
  <si>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</si>
  <si>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</si>
  <si>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</si>
  <si>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</si>
  <si>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</si>
  <si>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</si>
  <si>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</si>
  <si>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</si>
  <si>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</si>
  <si>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</si>
  <si>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</si>
  <si>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</si>
  <si>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</si>
  <si>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</si>
  <si>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</si>
  <si>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</si>
  <si>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</si>
  <si>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</si>
  <si>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</si>
  <si>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</si>
  <si>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</si>
  <si>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</si>
  <si>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</si>
  <si>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</si>
  <si>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</si>
  <si>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</si>
  <si>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</si>
  <si>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</si>
  <si>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</si>
  <si>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</si>
  <si>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</si>
  <si>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</si>
  <si>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</si>
  <si>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</si>
  <si>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</si>
  <si>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</si>
  <si>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</si>
  <si>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</si>
  <si>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</si>
  <si>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</si>
  <si>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</si>
  <si>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</si>
  <si>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</si>
  <si>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</si>
  <si>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</si>
  <si>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</si>
  <si>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</si>
  <si>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</si>
  <si>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</si>
  <si>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</si>
  <si>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</si>
  <si>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</si>
  <si>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</si>
  <si>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</si>
  <si>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</si>
  <si>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</si>
  <si>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</si>
  <si>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</si>
  <si>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</si>
  <si>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</si>
  <si>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</si>
  <si>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</si>
  <si>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</si>
  <si>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</si>
  <si>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</si>
  <si>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</si>
  <si>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</si>
  <si>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</si>
  <si>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</si>
  <si>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</si>
  <si>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</si>
  <si>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</si>
  <si>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</si>
  <si>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</si>
  <si>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</si>
  <si>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</si>
  <si>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</si>
  <si>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</si>
  <si>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</si>
  <si>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</si>
  <si>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</si>
  <si>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</si>
  <si>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</si>
  <si>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</si>
  <si>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</si>
  <si>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</si>
  <si>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</si>
  <si>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</si>
  <si>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</si>
  <si>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</si>
  <si>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</si>
  <si>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</si>
  <si>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</si>
  <si>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</si>
  <si>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</si>
  <si>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</si>
  <si>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</si>
  <si>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</si>
  <si>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</si>
  <si>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</si>
  <si>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</si>
  <si>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</si>
  <si>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</si>
  <si>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</si>
  <si>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</si>
  <si>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</si>
  <si>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</si>
  <si>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</si>
  <si>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</si>
  <si>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</si>
  <si>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</si>
  <si>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</si>
  <si>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</si>
  <si>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</si>
  <si>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</si>
  <si>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</si>
  <si>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</si>
  <si>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</si>
  <si>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</si>
  <si>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</si>
  <si>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</si>
  <si>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</si>
  <si>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</si>
  <si>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</si>
  <si>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</si>
  <si>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</si>
  <si>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</si>
  <si>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</si>
  <si>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</si>
  <si>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</si>
  <si>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</si>
  <si>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</si>
  <si>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</si>
  <si>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</si>
  <si>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</si>
  <si>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</si>
  <si>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</si>
  <si>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</si>
  <si>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</si>
  <si>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</si>
  <si>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</si>
  <si>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</si>
  <si>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</si>
  <si>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</si>
  <si>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</si>
  <si>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</si>
  <si>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</si>
  <si>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</si>
  <si>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</si>
  <si>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</si>
  <si>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</si>
  <si>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</si>
  <si>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</si>
  <si>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</si>
  <si>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</si>
  <si>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</si>
  <si>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</si>
  <si>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</si>
  <si>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</si>
  <si>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</si>
  <si>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</si>
  <si>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</si>
  <si>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</si>
  <si>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</si>
  <si>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</si>
  <si>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</si>
  <si>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</si>
  <si>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</si>
  <si>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</si>
  <si>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</si>
  <si>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</si>
  <si>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</si>
  <si>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</si>
  <si>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</si>
  <si>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</si>
  <si>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</si>
  <si>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</si>
  <si>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</si>
  <si>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</si>
  <si>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</si>
  <si>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</si>
  <si>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</si>
  <si>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</si>
  <si>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</si>
  <si>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</si>
  <si>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</si>
  <si>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</si>
  <si>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</si>
  <si>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</si>
  <si>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</si>
  <si>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</si>
  <si>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</si>
  <si>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</si>
  <si>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</si>
  <si>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</si>
  <si>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</si>
  <si>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</si>
  <si>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</si>
  <si>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</si>
  <si>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</si>
  <si>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</si>
  <si>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</si>
  <si>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</si>
  <si>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</si>
  <si>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</si>
  <si>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</si>
  <si>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</si>
  <si>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</si>
  <si>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</si>
  <si>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</si>
  <si>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</si>
  <si>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</si>
  <si>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</si>
  <si>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</si>
  <si>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</si>
  <si>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</si>
  <si>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</si>
  <si>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</si>
  <si>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</si>
  <si>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</si>
  <si>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</si>
  <si>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</si>
  <si>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</si>
  <si>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</si>
  <si>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</si>
  <si>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</si>
  <si>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</si>
  <si>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</si>
  <si>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</si>
  <si>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</si>
  <si>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</si>
  <si>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</si>
  <si>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</si>
  <si>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</si>
  <si>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</si>
  <si>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</si>
  <si>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</si>
  <si>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</si>
  <si>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</si>
  <si>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</si>
  <si>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</si>
  <si>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</si>
  <si>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</si>
  <si>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</si>
  <si>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</si>
  <si>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</si>
  <si>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</si>
  <si>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</si>
  <si>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</si>
  <si>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</si>
  <si>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</si>
  <si>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</si>
  <si>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</si>
  <si>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</si>
  <si>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</si>
  <si>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</si>
  <si>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</si>
  <si>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</si>
  <si>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</si>
  <si>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</si>
  <si>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</si>
  <si>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</si>
  <si>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</si>
  <si>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</si>
  <si>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</si>
  <si>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</si>
  <si>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</si>
  <si>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</si>
  <si>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</si>
  <si>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</si>
  <si>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</si>
  <si>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</si>
  <si>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</si>
  <si>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</si>
  <si>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</si>
  <si>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</si>
  <si>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</si>
  <si>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</si>
  <si>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</si>
  <si>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</si>
  <si>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</si>
  <si>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</si>
  <si>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</si>
  <si>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</si>
  <si>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</si>
  <si>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</si>
  <si>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</si>
  <si>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</si>
  <si>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</si>
  <si>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</si>
  <si>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</si>
  <si>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</si>
  <si>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</si>
  <si>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</si>
  <si>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</si>
  <si>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</si>
  <si>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</si>
  <si>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</si>
  <si>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</si>
  <si>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</si>
  <si>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</si>
  <si>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</si>
  <si>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</si>
  <si>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</si>
  <si>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</si>
  <si>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</si>
  <si>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</si>
  <si>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</si>
  <si>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</si>
  <si>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</si>
  <si>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</si>
  <si>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</si>
  <si>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</si>
  <si>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</si>
  <si>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</si>
  <si>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</si>
  <si>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</si>
  <si>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</si>
  <si>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</si>
  <si>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</si>
  <si>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</si>
  <si>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</si>
  <si>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</si>
  <si>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</si>
  <si>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</si>
  <si>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</si>
  <si>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</si>
  <si>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</si>
  <si>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</si>
  <si>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</si>
  <si>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</si>
  <si>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</si>
  <si>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</si>
  <si>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</si>
  <si>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</si>
  <si>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</si>
  <si>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</si>
  <si>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</si>
  <si>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</si>
  <si>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</si>
  <si>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</si>
  <si>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</si>
  <si>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</si>
  <si>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</si>
  <si>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</si>
  <si>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</si>
  <si>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</si>
  <si>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</si>
  <si>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</si>
  <si>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</si>
  <si>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</si>
  <si>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</si>
  <si>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</si>
  <si>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</si>
  <si>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</si>
  <si>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</si>
  <si>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</si>
  <si>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</si>
  <si>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</si>
  <si>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</si>
  <si>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</si>
  <si>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</si>
  <si>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</si>
  <si>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</si>
  <si>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</si>
  <si>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</si>
  <si>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</si>
  <si>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</si>
  <si>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</si>
  <si>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</si>
  <si>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</si>
  <si>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</si>
  <si>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</si>
  <si>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</si>
  <si>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</si>
  <si>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</si>
  <si>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</si>
  <si>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</si>
  <si>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</si>
  <si>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</si>
  <si>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</si>
  <si>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</si>
  <si>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</si>
  <si>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</si>
  <si>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</si>
  <si>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</si>
  <si>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</si>
  <si>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</si>
  <si>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</si>
  <si>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</si>
  <si>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</si>
  <si>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</si>
  <si>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</si>
  <si>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</si>
  <si>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</si>
  <si>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</si>
  <si>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</si>
  <si>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</si>
  <si>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</si>
  <si>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</si>
  <si>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</si>
  <si>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</si>
  <si>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</si>
  <si>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</si>
  <si>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</si>
  <si>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</si>
  <si>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</si>
  <si>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</si>
  <si>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</si>
  <si>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</si>
  <si>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</si>
  <si>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</si>
  <si>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</si>
  <si>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</si>
  <si>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</si>
  <si>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</si>
  <si>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</si>
  <si>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</si>
  <si>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</si>
  <si>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</si>
  <si>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</si>
  <si>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</si>
  <si>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</si>
  <si>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</si>
  <si>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</si>
  <si>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</si>
  <si>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</si>
  <si>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</si>
  <si>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</si>
  <si>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</si>
  <si>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</si>
  <si>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</si>
  <si>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</si>
  <si>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</si>
  <si>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</si>
  <si>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</si>
  <si>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</si>
  <si>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</si>
  <si>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</si>
  <si>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</si>
  <si>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</si>
  <si>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</si>
  <si>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</si>
  <si>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</si>
  <si>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</si>
  <si>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</si>
  <si>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</si>
  <si>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</si>
  <si>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</si>
  <si>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</si>
  <si>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</si>
  <si>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</si>
  <si>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</si>
  <si>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</si>
  <si>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</si>
  <si>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</si>
  <si>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</si>
  <si>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</si>
  <si>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</si>
  <si>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</si>
  <si>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</si>
  <si>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</si>
  <si>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</si>
  <si>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</si>
  <si>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</si>
  <si>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</si>
  <si>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</si>
  <si>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</si>
  <si>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</si>
  <si>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</si>
  <si>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</si>
  <si>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</si>
  <si>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</si>
  <si>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</si>
  <si>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</si>
  <si>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</si>
  <si>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</si>
  <si>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</si>
  <si>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</si>
  <si>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</si>
  <si>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</si>
  <si>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</si>
  <si>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</si>
  <si>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</si>
  <si>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</si>
  <si>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</si>
  <si>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</si>
  <si>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</si>
  <si>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</si>
  <si>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</si>
  <si>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</si>
  <si>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</si>
  <si>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</si>
  <si>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</si>
  <si>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</si>
  <si>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</si>
  <si>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</si>
  <si>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</si>
  <si>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</si>
  <si>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</si>
  <si>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</si>
  <si>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</si>
  <si>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</si>
  <si>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</si>
  <si>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</si>
  <si>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</si>
  <si>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</si>
  <si>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</si>
  <si>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</si>
  <si>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</si>
  <si>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</si>
  <si>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</si>
  <si>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</si>
  <si>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</si>
  <si>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</si>
  <si>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</si>
  <si>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</si>
  <si>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</si>
  <si>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</si>
  <si>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</si>
  <si>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</si>
  <si>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</si>
  <si>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</si>
  <si>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</si>
  <si>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</si>
  <si>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</si>
  <si>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</si>
  <si>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</si>
  <si>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</si>
  <si>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</si>
  <si>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</si>
  <si>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</si>
  <si>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</si>
  <si>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</si>
  <si>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</si>
  <si>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</si>
  <si>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</si>
  <si>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</si>
  <si>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</si>
  <si>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</si>
  <si>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</si>
  <si>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</si>
  <si>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</si>
  <si>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</si>
  <si>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</si>
  <si>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</si>
  <si>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</si>
  <si>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</si>
  <si>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</si>
  <si>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</si>
  <si>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</si>
  <si>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</si>
  <si>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</si>
  <si>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</si>
  <si>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</si>
  <si>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</si>
  <si>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</si>
  <si>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</si>
  <si>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</si>
  <si>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</si>
  <si>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</si>
  <si>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</si>
  <si>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</si>
  <si>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</si>
  <si>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</si>
  <si>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</si>
  <si>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</si>
  <si>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</si>
  <si>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</si>
  <si>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</si>
  <si>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</si>
  <si>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</si>
  <si>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</si>
  <si>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</si>
  <si>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</si>
  <si>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</si>
  <si>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</si>
  <si>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</si>
  <si>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</si>
  <si>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</si>
  <si>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</si>
  <si>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</si>
  <si>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</si>
  <si>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</si>
  <si>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</si>
  <si>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</si>
  <si>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</si>
  <si>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</si>
  <si>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</si>
  <si>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</si>
  <si>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</si>
  <si>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</si>
  <si>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</si>
  <si>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</si>
  <si>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</si>
  <si>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</si>
  <si>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</si>
  <si>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</si>
  <si>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</si>
  <si>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</si>
  <si>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</si>
  <si>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</si>
  <si>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</si>
  <si>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</si>
  <si>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</si>
  <si>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</si>
  <si>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</si>
  <si>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</si>
  <si>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</si>
  <si>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</si>
  <si>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</si>
  <si>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</si>
  <si>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</si>
  <si>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</si>
  <si>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</si>
  <si>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</si>
  <si>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</si>
  <si>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</si>
  <si>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</si>
  <si>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</si>
  <si>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</si>
  <si>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</si>
  <si>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</si>
  <si>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</si>
  <si>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</si>
  <si>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</si>
  <si>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</si>
  <si>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</si>
  <si>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</si>
  <si>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</si>
  <si>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</si>
  <si>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</si>
  <si>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</si>
  <si>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</si>
  <si>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</si>
  <si>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</si>
  <si>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</si>
  <si>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</si>
  <si>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</si>
  <si>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</si>
  <si>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</si>
  <si>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</si>
  <si>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</si>
  <si>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</si>
  <si>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</si>
  <si>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</si>
  <si>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</si>
  <si>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</si>
  <si>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</si>
  <si>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</si>
  <si>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</si>
  <si>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</si>
  <si>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</si>
  <si>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</si>
  <si>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</si>
  <si>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</si>
  <si>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</si>
  <si>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</si>
  <si>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</si>
  <si>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</si>
  <si>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</si>
  <si>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</si>
  <si>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</si>
  <si>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</si>
  <si>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</si>
  <si>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</si>
  <si>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</si>
  <si>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</si>
  <si>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</si>
  <si>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</si>
  <si>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</si>
  <si>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</si>
  <si>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</si>
  <si>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</si>
  <si>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</si>
  <si>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</si>
  <si>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</si>
  <si>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</si>
  <si>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</si>
  <si>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</si>
  <si>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</si>
  <si>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</si>
  <si>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</si>
  <si>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</si>
  <si>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</si>
  <si>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</si>
  <si>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</si>
  <si>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</si>
  <si>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</si>
  <si>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</si>
  <si>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</si>
  <si>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</si>
  <si>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</si>
  <si>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</si>
  <si>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</si>
  <si>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</si>
  <si>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</si>
  <si>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</si>
  <si>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</si>
  <si>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</si>
  <si>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</si>
  <si>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</si>
  <si>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</si>
  <si>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</si>
  <si>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</si>
  <si>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</si>
  <si>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</si>
  <si>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</si>
  <si>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</si>
  <si>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</si>
  <si>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</si>
  <si>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</si>
  <si>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</si>
  <si>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</si>
  <si>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</si>
  <si>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</si>
  <si>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</si>
  <si>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</si>
  <si>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</si>
  <si>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</si>
  <si>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</si>
  <si>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</si>
  <si>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</si>
  <si>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</si>
  <si>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</si>
  <si>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</si>
  <si>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</si>
  <si>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</si>
  <si>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</si>
  <si>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</si>
  <si>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</si>
  <si>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</si>
  <si>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</si>
  <si>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</si>
  <si>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</si>
  <si>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</si>
  <si>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</si>
  <si>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</si>
  <si>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</si>
  <si>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</si>
  <si>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</si>
  <si>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</si>
  <si>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</si>
  <si>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</si>
  <si>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</si>
  <si>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</si>
  <si>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</si>
  <si>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</si>
  <si>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</si>
  <si>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</si>
  <si>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</si>
  <si>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</si>
  <si>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</si>
  <si>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</si>
  <si>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</si>
  <si>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</si>
  <si>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</si>
  <si>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</si>
  <si>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</si>
  <si>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</si>
  <si>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</si>
  <si>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</si>
  <si>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</si>
  <si>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</si>
  <si>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</si>
  <si>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</si>
  <si>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</si>
  <si>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</si>
  <si>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</si>
  <si>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</si>
  <si>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</si>
  <si>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</si>
  <si>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</si>
  <si>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</si>
  <si>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</si>
  <si>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</si>
  <si>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</si>
  <si>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</si>
  <si>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</si>
  <si>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</si>
  <si>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</si>
  <si>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</si>
  <si>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</si>
  <si>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</si>
  <si>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</si>
  <si>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</si>
  <si>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</si>
  <si>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</si>
  <si>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</si>
  <si>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</si>
  <si>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</si>
  <si>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</si>
  <si>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</si>
  <si>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</si>
  <si>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</si>
  <si>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</si>
  <si>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</si>
  <si>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</si>
  <si>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</si>
  <si>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</si>
  <si>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</si>
  <si>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</si>
  <si>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</si>
  <si>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</si>
  <si>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</si>
  <si>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</si>
  <si>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</si>
  <si>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</si>
  <si>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</si>
  <si>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</si>
  <si>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</si>
  <si>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</si>
  <si>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</si>
  <si>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</si>
  <si>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</si>
  <si>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</si>
  <si>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</si>
  <si>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</si>
  <si>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</si>
  <si>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</si>
  <si>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</si>
  <si>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</si>
  <si>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</si>
  <si>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</si>
  <si>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</si>
  <si>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</si>
  <si>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</si>
  <si>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</si>
  <si>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</si>
  <si>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</si>
  <si>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</si>
  <si>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</si>
  <si>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</si>
  <si>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</si>
  <si>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</si>
  <si>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</si>
  <si>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</si>
  <si>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</si>
  <si>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</si>
  <si>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</si>
  <si>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</si>
  <si>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</si>
  <si>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</si>
  <si>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</si>
  <si>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</si>
  <si>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</si>
  <si>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</si>
  <si>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</si>
  <si>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</si>
  <si>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</si>
  <si>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</si>
  <si>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</si>
  <si>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</si>
  <si>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</si>
  <si>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</si>
  <si>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</si>
  <si>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</si>
  <si>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</si>
  <si>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</si>
  <si>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</si>
  <si>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</si>
  <si>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</si>
  <si>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</si>
  <si>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</si>
  <si>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</si>
  <si>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</si>
  <si>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</si>
  <si>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</si>
  <si>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</si>
  <si>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</si>
  <si>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</si>
  <si>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</si>
  <si>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</si>
  <si>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</si>
  <si>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</si>
  <si>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</si>
  <si>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</si>
  <si>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</si>
  <si>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</si>
  <si>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</si>
  <si>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</si>
  <si>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</si>
  <si>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</si>
  <si>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</si>
  <si>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</si>
  <si>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</si>
  <si>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</si>
  <si>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</si>
  <si>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</si>
  <si>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</si>
  <si>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</si>
  <si>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</si>
  <si>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</si>
  <si>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</si>
  <si>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</si>
  <si>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</si>
  <si>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</si>
  <si>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</si>
  <si>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</si>
  <si>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</si>
  <si>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</si>
  <si>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</si>
  <si>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</si>
  <si>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</si>
  <si>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</si>
  <si>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</si>
  <si>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</si>
  <si>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</si>
  <si>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</si>
  <si>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</si>
  <si>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</si>
  <si>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</si>
  <si>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</si>
  <si>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</si>
  <si>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</si>
  <si>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</si>
  <si>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</si>
  <si>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</si>
  <si>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</si>
  <si>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</si>
  <si>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</si>
  <si>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</si>
  <si>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</si>
  <si>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</si>
  <si>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</si>
  <si>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</si>
  <si>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</si>
  <si>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</si>
  <si>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</si>
  <si>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</si>
  <si>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</si>
  <si>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</si>
  <si>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</si>
  <si>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</si>
  <si>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</si>
  <si>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</si>
  <si>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</si>
  <si>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</si>
  <si>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</si>
  <si>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</si>
  <si>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</si>
  <si>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</si>
  <si>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</si>
  <si>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</si>
  <si>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</si>
  <si>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</si>
  <si>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</si>
  <si>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</si>
  <si>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</si>
  <si>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</si>
  <si>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</si>
  <si>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</si>
  <si>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</si>
  <si>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</si>
  <si>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</si>
  <si>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</si>
  <si>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</si>
  <si>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</si>
  <si>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</si>
  <si>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</si>
  <si>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</si>
  <si>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</si>
  <si>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</si>
  <si>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</si>
  <si>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</si>
  <si>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</si>
  <si>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</si>
  <si>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</si>
  <si>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</si>
  <si>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</si>
  <si>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</si>
  <si>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</si>
  <si>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</si>
  <si>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</si>
  <si>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</si>
  <si>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</si>
  <si>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</si>
  <si>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</si>
  <si>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</si>
  <si>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</si>
  <si>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</si>
  <si>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</si>
  <si>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</si>
  <si>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</si>
  <si>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</si>
  <si>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</si>
  <si>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</si>
  <si>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</si>
  <si>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</si>
  <si>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</si>
  <si>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</si>
  <si>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</si>
  <si>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</si>
  <si>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</si>
  <si>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</si>
  <si>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</si>
  <si>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</si>
  <si>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</si>
  <si>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</si>
  <si>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</si>
  <si>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</si>
  <si>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</si>
  <si>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</si>
  <si>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</si>
  <si>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</si>
  <si>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</si>
  <si>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</si>
  <si>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</si>
  <si>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</si>
  <si>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</si>
  <si>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</si>
  <si>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</si>
  <si>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</si>
  <si>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</si>
  <si>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</si>
  <si>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</si>
  <si>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</si>
  <si>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</si>
  <si>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</si>
  <si>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</si>
  <si>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</si>
  <si>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</si>
  <si>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</si>
  <si>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</si>
  <si>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</si>
  <si>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</si>
  <si>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</si>
  <si>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</si>
  <si>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</si>
  <si>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</si>
  <si>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</si>
  <si>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</si>
  <si>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</si>
  <si>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</si>
  <si>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</si>
  <si>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</si>
  <si>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</si>
  <si>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</si>
  <si>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</si>
  <si>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</si>
  <si>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</si>
  <si>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</si>
  <si>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</si>
  <si>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</si>
  <si>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</si>
  <si>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</si>
  <si>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</si>
  <si>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</si>
  <si>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</si>
  <si>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</si>
  <si>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</si>
  <si>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</si>
  <si>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</si>
  <si>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</si>
  <si>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</si>
  <si>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</si>
  <si>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</si>
  <si>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</si>
  <si>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</si>
  <si>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</si>
  <si>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</si>
  <si>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</si>
  <si>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</si>
  <si>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</si>
  <si>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</si>
  <si>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</si>
  <si>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</si>
  <si>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</si>
  <si>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</si>
  <si>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</si>
  <si>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</si>
  <si>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</si>
  <si>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</si>
  <si>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苏州新骏力房地产开发有限公司</t>
  </si>
  <si>
    <t>2020-07-02</t>
  </si>
  <si>
    <t>城镇住宅用地</t>
  </si>
  <si>
    <t>挂牌</t>
  </si>
  <si>
    <t>大于或等于1.3并且小于或等于1.5</t>
  </si>
  <si>
    <t>住宅用地</t>
  </si>
  <si>
    <t>泰州市</t>
  </si>
  <si>
    <t>海陵区青年南路东侧、永泰路南侧</t>
  </si>
  <si>
    <t>泰州市弘居房地产开发有限公司</t>
  </si>
  <si>
    <t>2020-07-16</t>
  </si>
  <si>
    <t>大于或等于1.6并且小于或等于1.8</t>
  </si>
  <si>
    <t>泰州医药高新区太湖路南侧、东风快速路西侧</t>
  </si>
  <si>
    <t>盐城碧桂园房地产开发有限公司</t>
  </si>
  <si>
    <t>2020-08-06</t>
  </si>
  <si>
    <t>商住/城镇住宅用地</t>
  </si>
  <si>
    <t>1.4≤容积率≤1.6</t>
  </si>
  <si>
    <t>综合用地(含住宅)</t>
  </si>
  <si>
    <t>海陵区运河西路南侧、鼓楼路西侧</t>
  </si>
  <si>
    <t>1.5≤容积率≤1.7</t>
  </si>
  <si>
    <t>海陵区海阳东路南侧、东风路东侧</t>
  </si>
  <si>
    <t>泰兴市祥帆置业有限公司</t>
  </si>
  <si>
    <t>2020-09-03</t>
  </si>
  <si>
    <t>大于或等于1.6并且小于或等于2</t>
  </si>
  <si>
    <t>泰州医药高新区泰州大道东侧、海军大道北侧</t>
  </si>
  <si>
    <t>上海珺晟置业有限公司</t>
  </si>
  <si>
    <t>2020-09-17</t>
  </si>
  <si>
    <t>大于或等于1.415并且小于或等于1.769</t>
  </si>
  <si>
    <t>海陵区青年路西侧、梅兰路南侧</t>
  </si>
  <si>
    <t>江苏海湖地产有限公司、泰州市文化旅游发展集团有限公司</t>
  </si>
  <si>
    <t>2020-10-15</t>
  </si>
  <si>
    <t>城镇住宅-普通商品住房用地</t>
  </si>
  <si>
    <t>大于或等于1.532并且小于或等于1.893</t>
  </si>
  <si>
    <t>泰州医药高新区海军大道南侧、鼓楼南路东侧</t>
  </si>
  <si>
    <t>泰州市缤纷森林置业有限公司</t>
  </si>
  <si>
    <t>2020-10-22</t>
  </si>
  <si>
    <t>大于或等于2.6并且小于或等于3</t>
  </si>
  <si>
    <t>海陵区春兰路西侧、迎春东路北侧约140米</t>
  </si>
  <si>
    <t>泰州市弘安房地产开发有限公司</t>
  </si>
  <si>
    <t>大于或等于1.156并且小于或等于1.461</t>
  </si>
  <si>
    <t>海陵区济川东路北侧、纪庙路东侧</t>
  </si>
  <si>
    <t>泰州市弘坤房地产开发有限公司、泰州市天能城乡建设发展有限公司、泰州市姜堰漆湖景区旅游发展有限公司、泰州市古城建设投资有限公司</t>
  </si>
  <si>
    <t>2020-11-05</t>
  </si>
  <si>
    <t>大于或等于1.35并且小于或等于1.75</t>
  </si>
  <si>
    <t>海陵区森园路南侧、春申路西侧</t>
  </si>
  <si>
    <t>南通嘉熙置业有限公司</t>
  </si>
  <si>
    <t>2020-11-06</t>
  </si>
  <si>
    <t>大于或等于1.55并且小于或等于1.938</t>
  </si>
  <si>
    <t>泰州医药高新区海军大道南侧、东周港路西侧</t>
  </si>
  <si>
    <t>泰州华信药业投资有限公司</t>
  </si>
  <si>
    <t>2020-11-19</t>
  </si>
  <si>
    <t>大于或等于1.555并且小于或等于1.944</t>
  </si>
  <si>
    <t>泰州医药高新区春晖路东侧、药城大道北侧</t>
  </si>
  <si>
    <t>宁波宁兴房地产开发集团有限公司、泰州城投发展置业有限公司、南京崇茂置业有限公司</t>
  </si>
  <si>
    <t>2020-11-26</t>
  </si>
  <si>
    <t>商住、零售商业用地</t>
  </si>
  <si>
    <t>≥1.2630,≤1.5870</t>
  </si>
  <si>
    <t>泰州医药高新区海陵南路东侧、周山河路北侧</t>
  </si>
  <si>
    <t>素州市海陵房产开发公司</t>
  </si>
  <si>
    <t>2020-11-27</t>
  </si>
  <si>
    <t>商住、城镇住宅-普通商品住房</t>
  </si>
  <si>
    <t>≥1.70,≤2.10</t>
  </si>
  <si>
    <t>海陵区运河路南侧、老东河路西侧</t>
  </si>
  <si>
    <t>住宅、城镇住宅-普通商品住房</t>
  </si>
  <si>
    <t>≥1.50,≤1.90</t>
  </si>
  <si>
    <t>海陵区东进路南侧、老东河路西侧</t>
  </si>
  <si>
    <t>泰州市弘泽房地产开发有限公司</t>
  </si>
  <si>
    <t>2021-03-11</t>
  </si>
  <si>
    <t>城镇住宅-普通商品住房</t>
  </si>
  <si>
    <t>≥1.01,≤1.11</t>
  </si>
  <si>
    <t>海陵区青年北路东侧、十胜街北侧</t>
  </si>
  <si>
    <t>江苏海湖地产有限公司</t>
  </si>
  <si>
    <t>2021-04-30</t>
  </si>
  <si>
    <t>2021-04-29</t>
  </si>
  <si>
    <t>≥1.001,≤1.086</t>
  </si>
  <si>
    <t>海陵区兴泰公路东侧、碧桂园观棠苑北侧</t>
  </si>
  <si>
    <t>南通港荣置业有限公司</t>
  </si>
  <si>
    <t>≥1.104,≤1.493</t>
  </si>
  <si>
    <t>海陵区青年路西侧、人民南路北侧</t>
  </si>
  <si>
    <t>盐城海锐置业有限公司</t>
  </si>
  <si>
    <t>2021-05-13</t>
  </si>
  <si>
    <t>≥1.8,≤2.2</t>
  </si>
  <si>
    <t>海陵区京泰路西侧、森园路北侧</t>
  </si>
  <si>
    <t>泰州市中漆泰城置业有限公司</t>
  </si>
  <si>
    <t>2021-06-17</t>
  </si>
  <si>
    <t>≥1.35,≤1.75</t>
  </si>
  <si>
    <t>海陵区运河东路北侧、春申路西侧</t>
  </si>
  <si>
    <t>扬州中海宏洋置业有限公司、泰州市古城建设投资有限公司、泰州市鑫通置业有限公司</t>
  </si>
  <si>
    <t>2021-06-29</t>
  </si>
  <si>
    <t>泰州经济开发区江州南路西侧、凤凰西路南侧</t>
  </si>
  <si>
    <t>江苏美好置地有限公司</t>
  </si>
  <si>
    <t>海陵区规划纵六路西侧、大冯河北侧</t>
  </si>
  <si>
    <t>泰州市中海润泰置业有限公司</t>
  </si>
  <si>
    <t>2021-07-15</t>
  </si>
  <si>
    <t>住宅用地、商业用地</t>
  </si>
  <si>
    <t>＞1.45,≤1.85</t>
  </si>
  <si>
    <t>海陵区海阳东路北侧、鼓楼路东侧</t>
  </si>
  <si>
    <t>泰州市交通产业集团有限公司</t>
  </si>
  <si>
    <t>2021-09-02</t>
  </si>
  <si>
    <t>≥1.001,≤1.4</t>
  </si>
  <si>
    <t>泰州医药高新区凤凰东路南侧、凤凰河西侧约80米</t>
  </si>
  <si>
    <t>江苏通泰置业发展有限公司</t>
  </si>
  <si>
    <t>2021-11-25</t>
  </si>
  <si>
    <t>≥1.6,≤2</t>
  </si>
  <si>
    <t>海陵区森园路北侧、伟光路东侧</t>
  </si>
  <si>
    <t>泰州华康投资有限公司</t>
  </si>
  <si>
    <t>2021-12-21</t>
  </si>
  <si>
    <t>≥1.4,≤1.8</t>
  </si>
  <si>
    <t>泰州医药高新区鼓楼路东侧约110米、解家舍路南侧约180米</t>
  </si>
  <si>
    <t>泰州鑫境界房地产开发有限公司</t>
  </si>
  <si>
    <t>2021-12-23</t>
  </si>
  <si>
    <t>≥1.346,≤1.73</t>
  </si>
  <si>
    <t>海陵区兴工路北侧、231东环快速路西侧</t>
  </si>
  <si>
    <t>中江国际建设(泰州)有限公司</t>
  </si>
  <si>
    <t>≥1.423,≤1.823</t>
  </si>
  <si>
    <t>泰州医药高新区祥龙路北侧、吴陵南路东侧</t>
  </si>
  <si>
    <t>泰州市鹏欣房地产开发有限公司、泰州市古城建设投资有限公司</t>
  </si>
  <si>
    <t>2021-12-29</t>
  </si>
  <si>
    <t>海陵区海阳西路北侧、青年北路西侧</t>
  </si>
  <si>
    <t>泰州市海创置业有限公司</t>
  </si>
  <si>
    <t>2022-04-28</t>
  </si>
  <si>
    <t>海陵区五一路北侧、范家花园西侧约60米</t>
  </si>
  <si>
    <t>泰州市华城置业有限公司</t>
  </si>
  <si>
    <t>2022-06-30</t>
  </si>
  <si>
    <t>≥1.307,≤1.538</t>
  </si>
  <si>
    <t>泰州医药高新区鼓楼南路东侧、海军大道北侧</t>
  </si>
  <si>
    <t>泰州市宏基房地产开发有限公司</t>
  </si>
  <si>
    <t>2022-08-04</t>
  </si>
  <si>
    <t>≥2,≤2.4</t>
  </si>
  <si>
    <t>海陵区森园路南侧、江州北路东侧</t>
  </si>
  <si>
    <t>深业鹏基(集团)有限公司</t>
  </si>
  <si>
    <t>2022-10-20</t>
  </si>
  <si>
    <t>≥1.35,≤1.711</t>
  </si>
  <si>
    <t>泰州医药高新区引凤南路东侧、海河路北侧</t>
  </si>
  <si>
    <t>泰州高新区康居建设开发有限公司</t>
  </si>
  <si>
    <t>2022-10-27</t>
  </si>
  <si>
    <t>≥1.397,≤1.797</t>
  </si>
  <si>
    <t>泰州医药高新区东风快速路西侧、药城大道北侧</t>
  </si>
  <si>
    <t>泰州鑫城建设工程有限公司</t>
  </si>
  <si>
    <t>2022-11-03</t>
  </si>
  <si>
    <t>≥1.2,≤1.6</t>
  </si>
  <si>
    <t>泰州经济开发区吴陵南路东侧、梅兰西路北侧</t>
  </si>
  <si>
    <t>江苏润和置业有限公司</t>
  </si>
  <si>
    <t>2022-12-01</t>
  </si>
  <si>
    <t>≥1.01,≤1.35</t>
  </si>
  <si>
    <t>海陵区海阳路北侧、鼓楼路西侧</t>
  </si>
  <si>
    <t>江苏华联东方置业有限公司</t>
  </si>
  <si>
    <t>2022-12-08</t>
  </si>
  <si>
    <t>≥1.256,≤1.615</t>
  </si>
  <si>
    <t>海陵区迎春路北侧、春晖路西侧</t>
  </si>
  <si>
    <t>泰州市文旅置业有限公司、泰州高教投资发展有限公司</t>
  </si>
  <si>
    <t>海陵区梅兰东路北侧、兴泰南路西侧</t>
  </si>
  <si>
    <t>盐城海锐置业有限公司、江苏泰湖地产集团有限公司</t>
  </si>
  <si>
    <t>2022-12-09</t>
  </si>
  <si>
    <t>海陵区翻身河南侧、环城东路西侧</t>
  </si>
  <si>
    <t>≥1.544,≤1.884</t>
  </si>
  <si>
    <t>海陵区规划泰祥路东侧、永定路北侧</t>
  </si>
  <si>
    <t>泰州市海翰房产开发有限公司</t>
  </si>
  <si>
    <t>2022-12-15</t>
  </si>
  <si>
    <t>海陵区规划稻河路西侧、规划职中路南侧</t>
  </si>
  <si>
    <t>≥1.01,≤1.41</t>
  </si>
  <si>
    <t>海陵区澛汀河东侧、规划职中路北侧</t>
  </si>
  <si>
    <t>泰州市海瑞博置业有限公司</t>
  </si>
  <si>
    <t>≥1.234,≤1.366</t>
  </si>
  <si>
    <t>海陵区江州南路西侧、景庄河南侧</t>
  </si>
  <si>
    <t>≥1.5,≤1.6</t>
  </si>
  <si>
    <t>海陵区江州南路西侧、迎春西路南侧</t>
  </si>
  <si>
    <t>≥1.5,≤1.9</t>
  </si>
  <si>
    <t>海陵区森园路南侧、规划稻河路西侧</t>
  </si>
  <si>
    <t>泰州东部新城资产管理有限公司</t>
  </si>
  <si>
    <t>2022-12-16</t>
  </si>
  <si>
    <t>海陵区规四路南侧、规六路东侧</t>
  </si>
  <si>
    <t>≥1.523,≤1.904</t>
  </si>
  <si>
    <t>海陵区东环快速路东侧、纬二路南侧</t>
  </si>
  <si>
    <t>≥1.01,≤1.2</t>
  </si>
  <si>
    <t>海陵区海姜大道南侧、晨光大道西侧</t>
  </si>
  <si>
    <t>受让单位</t>
  </si>
  <si>
    <t>溢价率</t>
  </si>
  <si>
    <t>成交楼面价(元/㎡)</t>
  </si>
  <si>
    <t>成交每亩价(万元/亩)</t>
  </si>
  <si>
    <t>成交价(万元)</t>
  </si>
  <si>
    <t>起始价(万元)</t>
  </si>
  <si>
    <t>成交日期</t>
  </si>
  <si>
    <t>截止日期</t>
  </si>
  <si>
    <t>集中供地</t>
  </si>
  <si>
    <t>详细规划</t>
  </si>
  <si>
    <t>出让方式</t>
  </si>
  <si>
    <t>容积率</t>
  </si>
  <si>
    <t>规划建筑面积(㎡)</t>
  </si>
  <si>
    <t>建设用地面积(㎡)</t>
  </si>
  <si>
    <t>用地性质</t>
  </si>
  <si>
    <t>城市</t>
  </si>
  <si>
    <t>地块名称</t>
  </si>
  <si>
    <t>正常</t>
  </si>
  <si>
    <t>住宅</t>
  </si>
  <si>
    <t>住宅</t>
    <phoneticPr fontId="31" type="noConversion"/>
  </si>
  <si>
    <t>较规则</t>
  </si>
  <si>
    <t>较规则</t>
    <phoneticPr fontId="31" type="noConversion"/>
  </si>
  <si>
    <t>较适宜</t>
  </si>
  <si>
    <t>较适宜</t>
    <phoneticPr fontId="31" type="noConversion"/>
  </si>
  <si>
    <t>六通</t>
  </si>
  <si>
    <t>六通</t>
    <phoneticPr fontId="31" type="noConversion"/>
  </si>
  <si>
    <t>较好</t>
  </si>
  <si>
    <t>较好</t>
    <phoneticPr fontId="31" type="noConversion"/>
  </si>
  <si>
    <t>汇鸿景云花园</t>
    <phoneticPr fontId="3" type="noConversion"/>
  </si>
  <si>
    <t>小高层</t>
  </si>
  <si>
    <t>高层</t>
  </si>
  <si>
    <t>138-222</t>
    <phoneticPr fontId="25" type="noConversion"/>
  </si>
  <si>
    <t>绿城桂语听兰轩</t>
    <phoneticPr fontId="3" type="noConversion"/>
  </si>
  <si>
    <t>钢混</t>
    <phoneticPr fontId="25" type="noConversion"/>
  </si>
  <si>
    <t>高档</t>
    <phoneticPr fontId="25" type="noConversion"/>
  </si>
  <si>
    <t>精装修</t>
  </si>
  <si>
    <t>精装修</t>
    <phoneticPr fontId="25" type="noConversion"/>
  </si>
  <si>
    <t>专业</t>
    <phoneticPr fontId="25" type="noConversion"/>
  </si>
  <si>
    <t>六通</t>
    <phoneticPr fontId="25" type="noConversion"/>
  </si>
  <si>
    <t>平层</t>
    <phoneticPr fontId="25" type="noConversion"/>
  </si>
  <si>
    <t>普通装修</t>
    <phoneticPr fontId="25" type="noConversion"/>
  </si>
  <si>
    <t>简单装修</t>
    <phoneticPr fontId="25" type="noConversion"/>
  </si>
  <si>
    <t>毛坯</t>
  </si>
  <si>
    <t>毛坯</t>
    <phoneticPr fontId="25" type="noConversion"/>
  </si>
  <si>
    <t>130-180</t>
    <phoneticPr fontId="25" type="noConversion"/>
  </si>
  <si>
    <t>查询不到价格</t>
  </si>
  <si>
    <t>住宅-小高层</t>
  </si>
  <si>
    <t>璞园-一期-S4号楼-201</t>
  </si>
  <si>
    <t>璞园-一期-S4号楼-104</t>
  </si>
  <si>
    <t>璞园-一期-S4号楼-103</t>
  </si>
  <si>
    <t>璞园-一期-S4号楼-102</t>
  </si>
  <si>
    <t>璞园-一期-S4号楼-101</t>
  </si>
  <si>
    <t>璞园-一期-14号楼-901</t>
  </si>
  <si>
    <t>璞园-一期-14号楼-702</t>
  </si>
  <si>
    <t>璞园-一期-14号楼-502</t>
  </si>
  <si>
    <t>璞园-一期-14号楼-1101</t>
  </si>
  <si>
    <t>璞园-一期-14号楼-103</t>
  </si>
  <si>
    <t>璞园-一期-14号楼-102</t>
  </si>
  <si>
    <t>璞园-一期-14号楼-101</t>
  </si>
  <si>
    <t>璞园-一期-13号楼-901</t>
  </si>
  <si>
    <t>璞园-一期-13号楼-604</t>
  </si>
  <si>
    <t>璞园-一期-13号楼-203</t>
  </si>
  <si>
    <t>璞园-一期-13号楼-1101</t>
  </si>
  <si>
    <t>璞园-一期-13号楼-103</t>
  </si>
  <si>
    <t>璞园-一期-13号楼-102</t>
  </si>
  <si>
    <t>住宅-多层</t>
  </si>
  <si>
    <t>璞园-一期-12号楼-103</t>
  </si>
  <si>
    <t>住宅-高层</t>
  </si>
  <si>
    <t>璞园-一期-11号楼-901</t>
  </si>
  <si>
    <t>璞园-一期-11号楼-803</t>
  </si>
  <si>
    <t>璞园-一期-11号楼-802</t>
  </si>
  <si>
    <t>璞园-一期-11号楼-801</t>
  </si>
  <si>
    <t>璞园-一期-11号楼-402</t>
  </si>
  <si>
    <t>璞园-一期-11号楼-1602</t>
  </si>
  <si>
    <t>璞园-一期-11号楼-1403</t>
  </si>
  <si>
    <t>璞园-一期-11号楼-1302</t>
  </si>
  <si>
    <t>璞园-一期-11号楼-1104</t>
  </si>
  <si>
    <t>璞园-一期-11号楼-1102</t>
  </si>
  <si>
    <t>璞园-一期-11号楼-1003</t>
  </si>
  <si>
    <t>璞园-一期-11号楼-1002</t>
  </si>
  <si>
    <t>璞园-一期-10号楼-504</t>
  </si>
  <si>
    <t>璞园-一期-10号楼-304</t>
  </si>
  <si>
    <t>璞园-一期-10号楼-103</t>
  </si>
  <si>
    <t>璞园-一期-8号楼-904</t>
  </si>
  <si>
    <t>璞园-一期-8号楼-804</t>
  </si>
  <si>
    <t>璞园-一期-8号楼-401</t>
  </si>
  <si>
    <t>璞园-一期-8号楼-302</t>
  </si>
  <si>
    <t>璞园-一期-8号楼-1704</t>
  </si>
  <si>
    <t>璞园-一期-8号楼-1701</t>
  </si>
  <si>
    <t>璞园-一期-8号楼-1503</t>
  </si>
  <si>
    <t>璞园-一期-8号楼-1404</t>
  </si>
  <si>
    <t>璞园-一期-8号楼-1301</t>
  </si>
  <si>
    <t>璞园-一期-8号楼-1001</t>
  </si>
  <si>
    <t>璞园-一期-7号楼-501</t>
  </si>
  <si>
    <t>璞园-一期-7号楼-303</t>
  </si>
  <si>
    <t>17000-20000</t>
    <phoneticPr fontId="140" type="noConversion"/>
  </si>
  <si>
    <t>璞园-一期-7号楼-301</t>
  </si>
  <si>
    <t>璞园-一期-3号楼-503</t>
  </si>
  <si>
    <t>璞园-一期-2号楼-506</t>
  </si>
  <si>
    <t>璞园-一期-2号楼-504</t>
  </si>
  <si>
    <t>6.2米</t>
    <phoneticPr fontId="140" type="noConversion"/>
  </si>
  <si>
    <t>3.1米</t>
    <phoneticPr fontId="140" type="noConversion"/>
  </si>
  <si>
    <t>璞园-一期-1号楼-103</t>
  </si>
  <si>
    <t>单价</t>
    <phoneticPr fontId="140" type="noConversion"/>
  </si>
  <si>
    <t>备注</t>
  </si>
  <si>
    <t>建筑面积</t>
  </si>
  <si>
    <r>
      <rPr>
        <b/>
        <sz val="12"/>
        <color theme="1"/>
        <rFont val="宋体"/>
        <family val="3"/>
        <charset val="134"/>
        <scheme val="minor"/>
      </rPr>
      <t>标准总价</t>
    </r>
    <r>
      <rPr>
        <b/>
        <sz val="10"/>
        <color theme="1"/>
        <rFont val="宋体"/>
        <family val="3"/>
        <charset val="134"/>
        <scheme val="minor"/>
      </rPr>
      <t>（元）</t>
    </r>
  </si>
  <si>
    <t>业态</t>
  </si>
  <si>
    <t>房号</t>
  </si>
  <si>
    <t>序号</t>
  </si>
  <si>
    <t>中海江山望</t>
    <phoneticPr fontId="3" type="noConversion"/>
  </si>
  <si>
    <t>面积信托提供，编的</t>
    <phoneticPr fontId="140" type="noConversion"/>
  </si>
  <si>
    <t>出让</t>
  </si>
  <si>
    <t>抵押</t>
  </si>
  <si>
    <t>房地产抵押价值</t>
  </si>
  <si>
    <t>其他：</t>
  </si>
  <si>
    <t>企业</t>
  </si>
  <si>
    <t>小高层</t>
    <phoneticPr fontId="3" type="noConversion"/>
  </si>
  <si>
    <t>高层</t>
    <phoneticPr fontId="3" type="noConversion"/>
  </si>
  <si>
    <t>是</t>
  </si>
  <si>
    <t>地上</t>
  </si>
  <si>
    <t>其余</t>
    <phoneticPr fontId="3" type="noConversion"/>
  </si>
  <si>
    <t>否</t>
  </si>
  <si>
    <r>
      <rPr>
        <sz val="10"/>
        <rFont val="宋体"/>
        <family val="3"/>
        <charset val="134"/>
      </rPr>
      <t>南京</t>
    </r>
  </si>
  <si>
    <t>http://www.taizhou.gov.cn/art/2019/9/10/art_58293_2.html</t>
    <phoneticPr fontId="3" type="noConversion"/>
  </si>
  <si>
    <t>未包含在土地购买价格中</t>
  </si>
  <si>
    <t>全部缴纳</t>
  </si>
  <si>
    <t>已包含在土地取得成本中</t>
  </si>
  <si>
    <t>住宅</t>
    <phoneticPr fontId="25" type="noConversion"/>
  </si>
  <si>
    <t>60-70（含）</t>
  </si>
  <si>
    <t>钢混</t>
  </si>
  <si>
    <t>高档</t>
  </si>
  <si>
    <t>专业</t>
  </si>
  <si>
    <t>平层</t>
  </si>
  <si>
    <t>103-143</t>
    <phoneticPr fontId="25" type="noConversion"/>
  </si>
  <si>
    <t>叠加</t>
    <phoneticPr fontId="25" type="noConversion"/>
  </si>
  <si>
    <t>洋房</t>
    <phoneticPr fontId="25" type="noConversion"/>
  </si>
  <si>
    <t>小高层</t>
    <phoneticPr fontId="25" type="noConversion"/>
  </si>
  <si>
    <t>高层</t>
    <phoneticPr fontId="140" type="noConversion"/>
  </si>
  <si>
    <t>叠墅</t>
  </si>
  <si>
    <t>叠墅</t>
    <phoneticPr fontId="25" type="noConversion"/>
  </si>
  <si>
    <t>平层</t>
    <phoneticPr fontId="140" type="noConversion"/>
  </si>
  <si>
    <t>金通玫瑰园</t>
    <phoneticPr fontId="3" type="noConversion"/>
  </si>
  <si>
    <t>中海江山望</t>
    <phoneticPr fontId="3" type="noConversion"/>
  </si>
  <si>
    <t>113-185</t>
    <phoneticPr fontId="25" type="noConversion"/>
  </si>
  <si>
    <t>在建</t>
  </si>
  <si>
    <t>成本法</t>
  </si>
  <si>
    <t>假设开发法</t>
  </si>
  <si>
    <t>利息：取LPR加浮动点数</t>
  </si>
  <si>
    <t>叠墅</t>
    <phoneticPr fontId="3" type="noConversion"/>
  </si>
  <si>
    <t>143-175</t>
    <phoneticPr fontId="25" type="noConversion"/>
  </si>
  <si>
    <t>140-146</t>
    <phoneticPr fontId="140"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</si>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</sst>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rgb="FFFF0000"/>
      <name val="宋体"/>
      <family val="3"/>
      <charset val="134"/>
      <scheme val="minor"/>
    </font>
    <font>
      <sz val="11"/>
      <color theme="9" tint="-0.249977111117893"/>
      <name val="宋体"/>
      <family val="3"/>
      <charset val="134"/>
      <scheme val="minor"/>
    </font>
    <font>
      <sz val="11"/>
      <color theme="4" tint="-0.249977111117893"/>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6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55" fillId="0" borderId="0" xfId="17" applyAlignment="1">
      <alignment horizontal="left" vertical="center"/>
    </xf>
    <xf numFmtId="0" fontId="118" fillId="0" borderId="0" xfId="17" applyFont="1" applyAlignment="1">
      <alignment horizontal="left" vertical="center"/>
    </xf>
    <xf numFmtId="0" fontId="97" fillId="0" borderId="9"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98" fillId="0" borderId="0" xfId="10">
      <alignment vertical="center"/>
    </xf>
    <xf numFmtId="0" fontId="98" fillId="0" borderId="0" xfId="10" applyAlignment="1">
      <alignment horizontal="center" vertical="center"/>
    </xf>
    <xf numFmtId="0" fontId="98" fillId="0" borderId="0" xfId="10" applyFont="1">
      <alignment vertical="center"/>
    </xf>
    <xf numFmtId="0" fontId="255" fillId="0" borderId="0" xfId="10" applyFont="1">
      <alignment vertical="center"/>
    </xf>
    <xf numFmtId="0" fontId="98" fillId="0" borderId="0" xfId="10" applyFont="1" applyAlignment="1">
      <alignment horizontal="center" vertical="center"/>
    </xf>
    <xf numFmtId="0" fontId="256" fillId="0" borderId="0" xfId="10" applyFont="1">
      <alignment vertical="center"/>
    </xf>
    <xf numFmtId="0" fontId="256" fillId="0" borderId="0" xfId="10" applyFont="1" applyAlignment="1">
      <alignment horizontal="center" vertical="center"/>
    </xf>
    <xf numFmtId="0" fontId="255" fillId="0" borderId="0" xfId="10" applyFont="1" applyAlignment="1">
      <alignment horizontal="center" vertical="center"/>
    </xf>
    <xf numFmtId="0" fontId="257" fillId="0" borderId="0" xfId="10" applyFont="1">
      <alignment vertical="center"/>
    </xf>
    <xf numFmtId="0" fontId="257" fillId="0" borderId="0" xfId="10" applyFont="1" applyAlignment="1">
      <alignment horizontal="center" vertical="center"/>
    </xf>
    <xf numFmtId="0" fontId="122" fillId="0" borderId="0" xfId="10" applyFont="1" applyAlignment="1">
      <alignment horizontal="center" vertical="center"/>
    </xf>
    <xf numFmtId="0" fontId="256" fillId="5" borderId="0" xfId="10" applyFont="1" applyFill="1">
      <alignment vertical="center"/>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79" fillId="0" borderId="1"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218" fillId="0" borderId="3"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49</xdr:row>
      <xdr:rowOff>73322</xdr:rowOff>
    </xdr:from>
    <xdr:to>
      <xdr:col>13</xdr:col>
      <xdr:colOff>740664</xdr:colOff>
      <xdr:row>88</xdr:row>
      <xdr:rowOff>160814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07647"/>
          <a:ext cx="13189839" cy="64025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342429</xdr:colOff>
      <xdr:row>15</xdr:row>
      <xdr:rowOff>152060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71429" cy="2723810"/>
        </a:xfrm>
        <a:prstGeom prst="rect">
          <a:avLst/>
        </a:prstGeom>
      </xdr:spPr>
    </xdr:pic>
    <xdr:clientData/>
  </xdr:twoCellAnchor>
  <xdr:twoCellAnchor editAs="oneCell">
    <xdr:from>
      <xdr:col>5</xdr:col>
      <xdr:colOff>266700</xdr:colOff>
      <xdr:row>0</xdr:row>
      <xdr:rowOff>0</xdr:rowOff>
    </xdr:from>
    <xdr:to>
      <xdr:col>10</xdr:col>
      <xdr:colOff>675796</xdr:colOff>
      <xdr:row>10</xdr:row>
      <xdr:rowOff>85500</xdr:rowOff>
    </xdr:to>
    <xdr:pic>
      <xdr:nvPicPr>
        <xdr:cNvPr id="3" name="图片 2"/>
        <xdr:cNvPicPr>
          <a:picLocks noChangeAspect="1"/>
        </xdr:cNvPicPr>
      </xdr:nvPicPr>
      <xdr:blipFill>
        <a:blip xmlns:r="http://schemas.openxmlformats.org/officeDocument/2006/relationships" r:embed="rId2"/>
        <a:stretch>
          <a:fillRect/>
        </a:stretch>
      </xdr:blipFill>
      <xdr:spPr>
        <a:xfrm>
          <a:off x="3695700" y="0"/>
          <a:ext cx="3838096" cy="1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73112/Desktop/&#29854;&#22253;.&#25151;&#38388;&#26126;&#32454;&#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房间明细表"/>
      <sheetName val="Sheet1"/>
      <sheetName val="Sheet2"/>
    </sheetNames>
    <sheetDataSet>
      <sheetData sheetId="0">
        <row r="7">
          <cell r="E7" t="str">
            <v>房号</v>
          </cell>
          <cell r="F7" t="str">
            <v>业态</v>
          </cell>
          <cell r="G7" t="str">
            <v>户型</v>
          </cell>
          <cell r="H7" t="str">
            <v>房间状态</v>
          </cell>
          <cell r="I7" t="str">
            <v>包销状态</v>
          </cell>
          <cell r="J7" t="str">
            <v>客户类型</v>
          </cell>
          <cell r="K7" t="str">
            <v>预售
建筑面积</v>
          </cell>
          <cell r="L7" t="str">
            <v>预售
套内面积</v>
          </cell>
          <cell r="M7" t="str">
            <v>实测
建筑面积</v>
          </cell>
          <cell r="N7" t="str">
            <v>实测
套内面积</v>
          </cell>
        </row>
        <row r="8">
          <cell r="E8" t="str">
            <v>璞园-一期-10号楼-101</v>
          </cell>
          <cell r="F8" t="str">
            <v>住宅-多层</v>
          </cell>
          <cell r="G8" t="str">
            <v>D</v>
          </cell>
          <cell r="H8" t="str">
            <v>签约</v>
          </cell>
          <cell r="J8" t="str">
            <v>一般客户</v>
          </cell>
          <cell r="K8">
            <v>143.28</v>
          </cell>
          <cell r="L8">
            <v>110.09</v>
          </cell>
          <cell r="M8">
            <v>0</v>
          </cell>
          <cell r="N8">
            <v>0</v>
          </cell>
        </row>
        <row r="9">
          <cell r="E9" t="str">
            <v>璞园-一期-10号楼-102</v>
          </cell>
          <cell r="F9" t="str">
            <v>住宅-多层</v>
          </cell>
          <cell r="G9" t="str">
            <v>D</v>
          </cell>
          <cell r="H9" t="str">
            <v>签约</v>
          </cell>
          <cell r="J9" t="str">
            <v>一般客户</v>
          </cell>
          <cell r="K9">
            <v>143.19999999999999</v>
          </cell>
          <cell r="L9">
            <v>110.02</v>
          </cell>
          <cell r="M9">
            <v>0</v>
          </cell>
          <cell r="N9">
            <v>0</v>
          </cell>
        </row>
        <row r="10">
          <cell r="E10" t="str">
            <v>璞园-一期-10号楼-103</v>
          </cell>
          <cell r="F10" t="str">
            <v>住宅-多层</v>
          </cell>
          <cell r="G10" t="str">
            <v>D</v>
          </cell>
          <cell r="H10" t="str">
            <v>签约</v>
          </cell>
          <cell r="J10" t="str">
            <v>一般客户</v>
          </cell>
          <cell r="K10">
            <v>143.19999999999999</v>
          </cell>
          <cell r="L10">
            <v>110.02</v>
          </cell>
          <cell r="M10">
            <v>0</v>
          </cell>
          <cell r="N10">
            <v>0</v>
          </cell>
        </row>
        <row r="11">
          <cell r="E11" t="str">
            <v>璞园-一期-10号楼-104</v>
          </cell>
          <cell r="F11" t="str">
            <v>住宅-多层</v>
          </cell>
          <cell r="G11" t="str">
            <v>D</v>
          </cell>
          <cell r="H11" t="str">
            <v>签约</v>
          </cell>
          <cell r="J11" t="str">
            <v>一般客户</v>
          </cell>
          <cell r="K11">
            <v>143.28</v>
          </cell>
          <cell r="L11">
            <v>110.09</v>
          </cell>
          <cell r="M11">
            <v>0</v>
          </cell>
          <cell r="N11">
            <v>0</v>
          </cell>
        </row>
        <row r="12">
          <cell r="E12" t="str">
            <v>璞园-一期-10号楼-301</v>
          </cell>
          <cell r="F12" t="str">
            <v>住宅-多层</v>
          </cell>
          <cell r="G12" t="str">
            <v>D</v>
          </cell>
          <cell r="H12" t="str">
            <v>签约</v>
          </cell>
          <cell r="J12" t="str">
            <v>一般客户</v>
          </cell>
          <cell r="K12">
            <v>146.83000000000001</v>
          </cell>
          <cell r="L12">
            <v>112.82</v>
          </cell>
          <cell r="M12">
            <v>0</v>
          </cell>
          <cell r="N12">
            <v>0</v>
          </cell>
        </row>
        <row r="13">
          <cell r="E13" t="str">
            <v>璞园-一期-10号楼-302</v>
          </cell>
          <cell r="F13" t="str">
            <v>住宅-多层</v>
          </cell>
          <cell r="G13" t="str">
            <v>D</v>
          </cell>
          <cell r="H13" t="str">
            <v>签约</v>
          </cell>
          <cell r="J13" t="str">
            <v>一般客户</v>
          </cell>
          <cell r="K13">
            <v>146.66</v>
          </cell>
          <cell r="L13">
            <v>112.69</v>
          </cell>
          <cell r="M13">
            <v>0</v>
          </cell>
          <cell r="N13">
            <v>0</v>
          </cell>
        </row>
        <row r="14">
          <cell r="E14" t="str">
            <v>璞园-一期-10号楼-303</v>
          </cell>
          <cell r="F14" t="str">
            <v>住宅-多层</v>
          </cell>
          <cell r="G14" t="str">
            <v>D</v>
          </cell>
          <cell r="H14" t="str">
            <v>签约</v>
          </cell>
          <cell r="J14" t="str">
            <v>一般客户</v>
          </cell>
          <cell r="K14">
            <v>146.66</v>
          </cell>
          <cell r="L14">
            <v>112.69</v>
          </cell>
          <cell r="M14">
            <v>0</v>
          </cell>
          <cell r="N14">
            <v>0</v>
          </cell>
        </row>
        <row r="15">
          <cell r="E15" t="str">
            <v>璞园-一期-10号楼-304</v>
          </cell>
          <cell r="F15" t="str">
            <v>住宅-多层</v>
          </cell>
          <cell r="G15" t="str">
            <v>D</v>
          </cell>
          <cell r="H15" t="str">
            <v>签约</v>
          </cell>
          <cell r="J15" t="str">
            <v>一般客户</v>
          </cell>
          <cell r="K15">
            <v>146.83000000000001</v>
          </cell>
          <cell r="L15">
            <v>112.82</v>
          </cell>
          <cell r="M15">
            <v>0</v>
          </cell>
          <cell r="N15">
            <v>0</v>
          </cell>
        </row>
        <row r="16">
          <cell r="E16" t="str">
            <v>璞园-一期-10号楼-501</v>
          </cell>
          <cell r="F16" t="str">
            <v>住宅-多层</v>
          </cell>
          <cell r="G16" t="str">
            <v>D</v>
          </cell>
          <cell r="H16" t="str">
            <v>签约</v>
          </cell>
          <cell r="J16" t="str">
            <v>一般客户</v>
          </cell>
          <cell r="K16">
            <v>140.6</v>
          </cell>
          <cell r="L16">
            <v>108.03</v>
          </cell>
          <cell r="M16">
            <v>0</v>
          </cell>
          <cell r="N16">
            <v>0</v>
          </cell>
        </row>
        <row r="17">
          <cell r="E17" t="str">
            <v>璞园-一期-10号楼-502</v>
          </cell>
          <cell r="F17" t="str">
            <v>住宅-多层</v>
          </cell>
          <cell r="G17" t="str">
            <v>D</v>
          </cell>
          <cell r="H17" t="str">
            <v>签约</v>
          </cell>
          <cell r="J17" t="str">
            <v>员工</v>
          </cell>
          <cell r="K17">
            <v>140.43</v>
          </cell>
          <cell r="L17">
            <v>107.91</v>
          </cell>
          <cell r="M17">
            <v>0</v>
          </cell>
          <cell r="N17">
            <v>0</v>
          </cell>
        </row>
        <row r="18">
          <cell r="E18" t="str">
            <v>璞园-一期-10号楼-503</v>
          </cell>
          <cell r="F18" t="str">
            <v>住宅-多层</v>
          </cell>
          <cell r="G18" t="str">
            <v>D</v>
          </cell>
          <cell r="H18" t="str">
            <v>签约</v>
          </cell>
          <cell r="J18" t="str">
            <v>员工</v>
          </cell>
          <cell r="K18">
            <v>140.43</v>
          </cell>
          <cell r="L18">
            <v>107.91</v>
          </cell>
          <cell r="M18">
            <v>0</v>
          </cell>
          <cell r="N18">
            <v>0</v>
          </cell>
        </row>
        <row r="19">
          <cell r="E19" t="str">
            <v>璞园-一期-10号楼-504</v>
          </cell>
          <cell r="F19" t="str">
            <v>住宅-多层</v>
          </cell>
          <cell r="G19" t="str">
            <v>D</v>
          </cell>
          <cell r="H19" t="str">
            <v>签约</v>
          </cell>
          <cell r="J19" t="str">
            <v>员工</v>
          </cell>
          <cell r="K19">
            <v>140.6</v>
          </cell>
          <cell r="L19">
            <v>108.03</v>
          </cell>
          <cell r="M19">
            <v>0</v>
          </cell>
          <cell r="N19">
            <v>0</v>
          </cell>
        </row>
        <row r="20">
          <cell r="E20" t="str">
            <v>璞园-一期-10号楼-储藏室01</v>
          </cell>
          <cell r="F20" t="str">
            <v>住宅-多层</v>
          </cell>
          <cell r="G20" t="str">
            <v>储藏室</v>
          </cell>
          <cell r="H20" t="str">
            <v>签约</v>
          </cell>
          <cell r="J20" t="str">
            <v>一般客户</v>
          </cell>
          <cell r="K20">
            <v>89.98</v>
          </cell>
          <cell r="L20">
            <v>61.73</v>
          </cell>
          <cell r="M20">
            <v>0</v>
          </cell>
          <cell r="N20">
            <v>0</v>
          </cell>
        </row>
        <row r="21">
          <cell r="E21" t="str">
            <v>璞园-一期-10号楼-储藏室02</v>
          </cell>
          <cell r="F21" t="str">
            <v>住宅-多层</v>
          </cell>
          <cell r="G21" t="str">
            <v>储藏室</v>
          </cell>
          <cell r="H21" t="str">
            <v>签约</v>
          </cell>
          <cell r="J21" t="str">
            <v>一般客户</v>
          </cell>
          <cell r="K21">
            <v>89.6</v>
          </cell>
          <cell r="L21">
            <v>61.47</v>
          </cell>
          <cell r="M21">
            <v>0</v>
          </cell>
          <cell r="N21">
            <v>0</v>
          </cell>
        </row>
        <row r="22">
          <cell r="E22" t="str">
            <v>璞园-一期-10号楼-储藏室03</v>
          </cell>
          <cell r="F22" t="str">
            <v>住宅-多层</v>
          </cell>
          <cell r="G22" t="str">
            <v>储藏室</v>
          </cell>
          <cell r="H22" t="str">
            <v>签约</v>
          </cell>
          <cell r="J22" t="str">
            <v>一般客户</v>
          </cell>
          <cell r="K22">
            <v>89.6</v>
          </cell>
          <cell r="L22">
            <v>61.47</v>
          </cell>
          <cell r="M22">
            <v>0</v>
          </cell>
          <cell r="N22">
            <v>0</v>
          </cell>
        </row>
        <row r="23">
          <cell r="E23" t="str">
            <v>璞园-一期-10号楼-储藏室04</v>
          </cell>
          <cell r="F23" t="str">
            <v>住宅-多层</v>
          </cell>
          <cell r="G23" t="str">
            <v>储藏室</v>
          </cell>
          <cell r="H23" t="str">
            <v>签约</v>
          </cell>
          <cell r="J23" t="str">
            <v>一般客户</v>
          </cell>
          <cell r="K23">
            <v>89.33</v>
          </cell>
          <cell r="L23">
            <v>61.28</v>
          </cell>
          <cell r="M23">
            <v>0</v>
          </cell>
          <cell r="N23">
            <v>0</v>
          </cell>
        </row>
        <row r="24">
          <cell r="E24" t="str">
            <v>璞园-一期-11号楼-1001</v>
          </cell>
          <cell r="F24" t="str">
            <v>住宅-高层</v>
          </cell>
          <cell r="G24" t="str">
            <v>B</v>
          </cell>
          <cell r="H24" t="str">
            <v>签约</v>
          </cell>
          <cell r="J24" t="str">
            <v>一般客户</v>
          </cell>
          <cell r="K24">
            <v>127.64</v>
          </cell>
          <cell r="L24">
            <v>97.79</v>
          </cell>
          <cell r="M24">
            <v>0</v>
          </cell>
          <cell r="N24">
            <v>0</v>
          </cell>
        </row>
        <row r="25">
          <cell r="E25" t="str">
            <v>璞园-一期-11号楼-1002</v>
          </cell>
          <cell r="F25" t="str">
            <v>住宅-高层</v>
          </cell>
          <cell r="G25" t="str">
            <v>B</v>
          </cell>
          <cell r="H25" t="str">
            <v>签约</v>
          </cell>
          <cell r="J25" t="str">
            <v>一般客户</v>
          </cell>
          <cell r="K25">
            <v>128.79</v>
          </cell>
          <cell r="L25">
            <v>98.67</v>
          </cell>
          <cell r="M25">
            <v>0</v>
          </cell>
          <cell r="N25">
            <v>0</v>
          </cell>
        </row>
        <row r="26">
          <cell r="E26" t="str">
            <v>璞园-一期-11号楼-1003</v>
          </cell>
          <cell r="F26" t="str">
            <v>住宅-高层</v>
          </cell>
          <cell r="G26" t="str">
            <v>B</v>
          </cell>
          <cell r="H26" t="str">
            <v>签约</v>
          </cell>
          <cell r="J26" t="str">
            <v>一般客户</v>
          </cell>
          <cell r="K26">
            <v>127.64</v>
          </cell>
          <cell r="L26">
            <v>97.79</v>
          </cell>
          <cell r="M26">
            <v>0</v>
          </cell>
          <cell r="N26">
            <v>0</v>
          </cell>
        </row>
        <row r="27">
          <cell r="E27" t="str">
            <v>璞园-一期-11号楼-1004</v>
          </cell>
          <cell r="F27" t="str">
            <v>住宅-高层</v>
          </cell>
          <cell r="G27" t="str">
            <v>B</v>
          </cell>
          <cell r="H27" t="str">
            <v>签约</v>
          </cell>
          <cell r="J27" t="str">
            <v>一般客户</v>
          </cell>
          <cell r="K27">
            <v>128.79</v>
          </cell>
          <cell r="L27">
            <v>98.67</v>
          </cell>
          <cell r="M27">
            <v>0</v>
          </cell>
          <cell r="N27">
            <v>0</v>
          </cell>
        </row>
        <row r="28">
          <cell r="E28" t="str">
            <v>璞园-一期-11号楼-101</v>
          </cell>
          <cell r="F28" t="str">
            <v>住宅-高层</v>
          </cell>
          <cell r="G28" t="str">
            <v>B非标</v>
          </cell>
          <cell r="H28" t="str">
            <v>待售</v>
          </cell>
          <cell r="K28">
            <v>109.15</v>
          </cell>
          <cell r="L28">
            <v>83.62</v>
          </cell>
          <cell r="M28">
            <v>0</v>
          </cell>
          <cell r="N28">
            <v>0</v>
          </cell>
        </row>
        <row r="29">
          <cell r="E29" t="str">
            <v>璞园-一期-11号楼-102</v>
          </cell>
          <cell r="F29" t="str">
            <v>住宅-高层</v>
          </cell>
          <cell r="G29" t="str">
            <v>B非标</v>
          </cell>
          <cell r="H29" t="str">
            <v>待售</v>
          </cell>
          <cell r="K29">
            <v>110.3</v>
          </cell>
          <cell r="L29">
            <v>84.5</v>
          </cell>
          <cell r="M29">
            <v>0</v>
          </cell>
          <cell r="N29">
            <v>0</v>
          </cell>
        </row>
        <row r="30">
          <cell r="E30" t="str">
            <v>璞园-一期-11号楼-103</v>
          </cell>
          <cell r="F30" t="str">
            <v>住宅-高层</v>
          </cell>
          <cell r="G30" t="str">
            <v>B非标</v>
          </cell>
          <cell r="H30" t="str">
            <v>待售</v>
          </cell>
          <cell r="K30">
            <v>109.15</v>
          </cell>
          <cell r="L30">
            <v>83.62</v>
          </cell>
          <cell r="M30">
            <v>0</v>
          </cell>
          <cell r="N30">
            <v>0</v>
          </cell>
        </row>
        <row r="31">
          <cell r="E31" t="str">
            <v>璞园-一期-11号楼-104</v>
          </cell>
          <cell r="F31" t="str">
            <v>住宅-高层</v>
          </cell>
          <cell r="G31" t="str">
            <v>B非标</v>
          </cell>
          <cell r="H31" t="str">
            <v>待售</v>
          </cell>
          <cell r="K31">
            <v>110.3</v>
          </cell>
          <cell r="L31">
            <v>84.5</v>
          </cell>
          <cell r="M31">
            <v>0</v>
          </cell>
          <cell r="N31">
            <v>0</v>
          </cell>
        </row>
        <row r="32">
          <cell r="E32" t="str">
            <v>璞园-一期-11号楼-1101</v>
          </cell>
          <cell r="F32" t="str">
            <v>住宅-高层</v>
          </cell>
          <cell r="G32" t="str">
            <v>B</v>
          </cell>
          <cell r="H32" t="str">
            <v>签约</v>
          </cell>
          <cell r="J32" t="str">
            <v>一般客户</v>
          </cell>
          <cell r="K32">
            <v>127.64</v>
          </cell>
          <cell r="L32">
            <v>97.79</v>
          </cell>
          <cell r="M32">
            <v>0</v>
          </cell>
          <cell r="N32">
            <v>0</v>
          </cell>
        </row>
        <row r="33">
          <cell r="E33" t="str">
            <v>璞园-一期-11号楼-1102</v>
          </cell>
          <cell r="F33" t="str">
            <v>住宅-高层</v>
          </cell>
          <cell r="G33" t="str">
            <v>B</v>
          </cell>
          <cell r="H33" t="str">
            <v>签约</v>
          </cell>
          <cell r="J33" t="str">
            <v>一般客户</v>
          </cell>
          <cell r="K33">
            <v>128.79</v>
          </cell>
          <cell r="L33">
            <v>98.67</v>
          </cell>
          <cell r="M33">
            <v>0</v>
          </cell>
          <cell r="N33">
            <v>0</v>
          </cell>
        </row>
        <row r="34">
          <cell r="E34" t="str">
            <v>璞园-一期-11号楼-1103</v>
          </cell>
          <cell r="F34" t="str">
            <v>住宅-高层</v>
          </cell>
          <cell r="G34" t="str">
            <v>B</v>
          </cell>
          <cell r="H34" t="str">
            <v>签约</v>
          </cell>
          <cell r="J34" t="str">
            <v>工抵房</v>
          </cell>
          <cell r="K34">
            <v>127.64</v>
          </cell>
          <cell r="L34">
            <v>97.79</v>
          </cell>
          <cell r="M34">
            <v>0</v>
          </cell>
          <cell r="N34">
            <v>0</v>
          </cell>
        </row>
        <row r="35">
          <cell r="E35" t="str">
            <v>璞园-一期-11号楼-1104</v>
          </cell>
          <cell r="F35" t="str">
            <v>住宅-高层</v>
          </cell>
          <cell r="G35" t="str">
            <v>B</v>
          </cell>
          <cell r="H35" t="str">
            <v>签约</v>
          </cell>
          <cell r="J35" t="str">
            <v>一般客户</v>
          </cell>
          <cell r="K35">
            <v>128.79</v>
          </cell>
          <cell r="L35">
            <v>98.67</v>
          </cell>
          <cell r="M35">
            <v>0</v>
          </cell>
          <cell r="N35">
            <v>0</v>
          </cell>
        </row>
        <row r="36">
          <cell r="E36" t="str">
            <v>璞园-一期-11号楼-1201</v>
          </cell>
          <cell r="F36" t="str">
            <v>住宅-高层</v>
          </cell>
          <cell r="G36" t="str">
            <v>B</v>
          </cell>
          <cell r="H36" t="str">
            <v>签约</v>
          </cell>
          <cell r="J36" t="str">
            <v>一般客户</v>
          </cell>
          <cell r="K36">
            <v>127.64</v>
          </cell>
          <cell r="L36">
            <v>97.79</v>
          </cell>
          <cell r="M36">
            <v>0</v>
          </cell>
          <cell r="N36">
            <v>0</v>
          </cell>
        </row>
        <row r="37">
          <cell r="E37" t="str">
            <v>璞园-一期-11号楼-1202</v>
          </cell>
          <cell r="F37" t="str">
            <v>住宅-高层</v>
          </cell>
          <cell r="G37" t="str">
            <v>B</v>
          </cell>
          <cell r="H37" t="str">
            <v>签约</v>
          </cell>
          <cell r="J37" t="str">
            <v>一般客户</v>
          </cell>
          <cell r="K37">
            <v>128.79</v>
          </cell>
          <cell r="L37">
            <v>98.67</v>
          </cell>
          <cell r="M37">
            <v>0</v>
          </cell>
          <cell r="N37">
            <v>0</v>
          </cell>
        </row>
        <row r="38">
          <cell r="E38" t="str">
            <v>璞园-一期-11号楼-1203</v>
          </cell>
          <cell r="F38" t="str">
            <v>住宅-高层</v>
          </cell>
          <cell r="G38" t="str">
            <v>B</v>
          </cell>
          <cell r="H38" t="str">
            <v>签约</v>
          </cell>
          <cell r="J38" t="str">
            <v>一般客户</v>
          </cell>
          <cell r="K38">
            <v>127.64</v>
          </cell>
          <cell r="L38">
            <v>97.79</v>
          </cell>
          <cell r="M38">
            <v>0</v>
          </cell>
          <cell r="N38">
            <v>0</v>
          </cell>
        </row>
        <row r="39">
          <cell r="E39" t="str">
            <v>璞园-一期-11号楼-1204</v>
          </cell>
          <cell r="F39" t="str">
            <v>住宅-高层</v>
          </cell>
          <cell r="G39" t="str">
            <v>B</v>
          </cell>
          <cell r="H39" t="str">
            <v>签约</v>
          </cell>
          <cell r="J39" t="str">
            <v>一般客户</v>
          </cell>
          <cell r="K39">
            <v>128.79</v>
          </cell>
          <cell r="L39">
            <v>98.67</v>
          </cell>
          <cell r="M39">
            <v>0</v>
          </cell>
          <cell r="N39">
            <v>0</v>
          </cell>
        </row>
        <row r="40">
          <cell r="E40" t="str">
            <v>璞园-一期-11号楼-1301</v>
          </cell>
          <cell r="F40" t="str">
            <v>住宅-高层</v>
          </cell>
          <cell r="G40" t="str">
            <v>B</v>
          </cell>
          <cell r="H40" t="str">
            <v>签约</v>
          </cell>
          <cell r="J40" t="str">
            <v>一般客户</v>
          </cell>
          <cell r="K40">
            <v>127.64</v>
          </cell>
          <cell r="L40">
            <v>97.79</v>
          </cell>
          <cell r="M40">
            <v>0</v>
          </cell>
          <cell r="N40">
            <v>0</v>
          </cell>
        </row>
        <row r="41">
          <cell r="E41" t="str">
            <v>璞园-一期-11号楼-1302</v>
          </cell>
          <cell r="F41" t="str">
            <v>住宅-高层</v>
          </cell>
          <cell r="G41" t="str">
            <v>B</v>
          </cell>
          <cell r="H41" t="str">
            <v>签约</v>
          </cell>
          <cell r="J41" t="str">
            <v>工抵房</v>
          </cell>
          <cell r="K41">
            <v>128.79</v>
          </cell>
          <cell r="L41">
            <v>98.67</v>
          </cell>
          <cell r="M41">
            <v>0</v>
          </cell>
          <cell r="N41">
            <v>0</v>
          </cell>
        </row>
        <row r="42">
          <cell r="E42" t="str">
            <v>璞园-一期-11号楼-1303</v>
          </cell>
          <cell r="F42" t="str">
            <v>住宅-高层</v>
          </cell>
          <cell r="G42" t="str">
            <v>B</v>
          </cell>
          <cell r="H42" t="str">
            <v>签约</v>
          </cell>
          <cell r="J42" t="str">
            <v>一般客户</v>
          </cell>
          <cell r="K42">
            <v>127.64</v>
          </cell>
          <cell r="L42">
            <v>97.79</v>
          </cell>
          <cell r="M42">
            <v>0</v>
          </cell>
          <cell r="N42">
            <v>0</v>
          </cell>
        </row>
        <row r="43">
          <cell r="E43" t="str">
            <v>璞园-一期-11号楼-1304</v>
          </cell>
          <cell r="F43" t="str">
            <v>住宅-高层</v>
          </cell>
          <cell r="G43" t="str">
            <v>B</v>
          </cell>
          <cell r="H43" t="str">
            <v>签约</v>
          </cell>
          <cell r="J43" t="str">
            <v>一般客户</v>
          </cell>
          <cell r="K43">
            <v>128.79</v>
          </cell>
          <cell r="L43">
            <v>98.67</v>
          </cell>
          <cell r="M43">
            <v>0</v>
          </cell>
          <cell r="N43">
            <v>0</v>
          </cell>
        </row>
        <row r="44">
          <cell r="E44" t="str">
            <v>璞园-一期-11号楼-1401</v>
          </cell>
          <cell r="F44" t="str">
            <v>住宅-高层</v>
          </cell>
          <cell r="G44" t="str">
            <v>B</v>
          </cell>
          <cell r="H44" t="str">
            <v>签约</v>
          </cell>
          <cell r="J44" t="str">
            <v>一般客户</v>
          </cell>
          <cell r="K44">
            <v>127.64</v>
          </cell>
          <cell r="L44">
            <v>97.79</v>
          </cell>
          <cell r="M44">
            <v>0</v>
          </cell>
          <cell r="N44">
            <v>0</v>
          </cell>
        </row>
        <row r="45">
          <cell r="E45" t="str">
            <v>璞园-一期-11号楼-1402</v>
          </cell>
          <cell r="F45" t="str">
            <v>住宅-高层</v>
          </cell>
          <cell r="G45" t="str">
            <v>B</v>
          </cell>
          <cell r="H45" t="str">
            <v>签约</v>
          </cell>
          <cell r="J45" t="str">
            <v>一般客户</v>
          </cell>
          <cell r="K45">
            <v>128.79</v>
          </cell>
          <cell r="L45">
            <v>98.67</v>
          </cell>
          <cell r="M45">
            <v>0</v>
          </cell>
          <cell r="N45">
            <v>0</v>
          </cell>
        </row>
        <row r="46">
          <cell r="E46" t="str">
            <v>璞园-一期-11号楼-1403</v>
          </cell>
          <cell r="F46" t="str">
            <v>住宅-高层</v>
          </cell>
          <cell r="G46" t="str">
            <v>B</v>
          </cell>
          <cell r="H46" t="str">
            <v>签约</v>
          </cell>
          <cell r="J46" t="str">
            <v>员工</v>
          </cell>
          <cell r="K46">
            <v>127.64</v>
          </cell>
          <cell r="L46">
            <v>97.79</v>
          </cell>
          <cell r="M46">
            <v>0</v>
          </cell>
          <cell r="N46">
            <v>0</v>
          </cell>
        </row>
        <row r="47">
          <cell r="E47" t="str">
            <v>璞园-一期-11号楼-1404</v>
          </cell>
          <cell r="F47" t="str">
            <v>住宅-高层</v>
          </cell>
          <cell r="G47" t="str">
            <v>B</v>
          </cell>
          <cell r="H47" t="str">
            <v>签约</v>
          </cell>
          <cell r="J47" t="str">
            <v>一般客户</v>
          </cell>
          <cell r="K47">
            <v>128.79</v>
          </cell>
          <cell r="L47">
            <v>98.67</v>
          </cell>
          <cell r="M47">
            <v>0</v>
          </cell>
          <cell r="N47">
            <v>0</v>
          </cell>
        </row>
        <row r="48">
          <cell r="E48" t="str">
            <v>璞园-一期-11号楼-1501</v>
          </cell>
          <cell r="F48" t="str">
            <v>住宅-高层</v>
          </cell>
          <cell r="G48" t="str">
            <v>B</v>
          </cell>
          <cell r="H48" t="str">
            <v>签约</v>
          </cell>
          <cell r="J48" t="str">
            <v>一般客户</v>
          </cell>
          <cell r="K48">
            <v>127.64</v>
          </cell>
          <cell r="L48">
            <v>97.79</v>
          </cell>
          <cell r="M48">
            <v>0</v>
          </cell>
          <cell r="N48">
            <v>0</v>
          </cell>
        </row>
        <row r="49">
          <cell r="E49" t="str">
            <v>璞园-一期-11号楼-1502</v>
          </cell>
          <cell r="F49" t="str">
            <v>住宅-高层</v>
          </cell>
          <cell r="G49" t="str">
            <v>B</v>
          </cell>
          <cell r="H49" t="str">
            <v>签约</v>
          </cell>
          <cell r="J49" t="str">
            <v>一般客户</v>
          </cell>
          <cell r="K49">
            <v>128.79</v>
          </cell>
          <cell r="L49">
            <v>98.67</v>
          </cell>
          <cell r="M49">
            <v>0</v>
          </cell>
          <cell r="N49">
            <v>0</v>
          </cell>
        </row>
        <row r="50">
          <cell r="E50" t="str">
            <v>璞园-一期-11号楼-1503</v>
          </cell>
          <cell r="F50" t="str">
            <v>住宅-高层</v>
          </cell>
          <cell r="G50" t="str">
            <v>B</v>
          </cell>
          <cell r="H50" t="str">
            <v>签约</v>
          </cell>
          <cell r="J50" t="str">
            <v>一般客户</v>
          </cell>
          <cell r="K50">
            <v>127.64</v>
          </cell>
          <cell r="L50">
            <v>97.79</v>
          </cell>
          <cell r="M50">
            <v>0</v>
          </cell>
          <cell r="N50">
            <v>0</v>
          </cell>
        </row>
        <row r="51">
          <cell r="E51" t="str">
            <v>璞园-一期-11号楼-1504</v>
          </cell>
          <cell r="F51" t="str">
            <v>住宅-高层</v>
          </cell>
          <cell r="G51" t="str">
            <v>B</v>
          </cell>
          <cell r="H51" t="str">
            <v>签约</v>
          </cell>
          <cell r="J51" t="str">
            <v>一般客户</v>
          </cell>
          <cell r="K51">
            <v>128.79</v>
          </cell>
          <cell r="L51">
            <v>98.67</v>
          </cell>
          <cell r="M51">
            <v>0</v>
          </cell>
          <cell r="N51">
            <v>0</v>
          </cell>
        </row>
        <row r="52">
          <cell r="E52" t="str">
            <v>璞园-一期-11号楼-1601</v>
          </cell>
          <cell r="F52" t="str">
            <v>住宅-高层</v>
          </cell>
          <cell r="G52" t="str">
            <v>B</v>
          </cell>
          <cell r="H52" t="str">
            <v>签约</v>
          </cell>
          <cell r="J52" t="str">
            <v>一般客户</v>
          </cell>
          <cell r="K52">
            <v>127.64</v>
          </cell>
          <cell r="L52">
            <v>97.79</v>
          </cell>
          <cell r="M52">
            <v>0</v>
          </cell>
          <cell r="N52">
            <v>0</v>
          </cell>
        </row>
        <row r="53">
          <cell r="E53" t="str">
            <v>璞园-一期-11号楼-1602</v>
          </cell>
          <cell r="F53" t="str">
            <v>住宅-高层</v>
          </cell>
          <cell r="G53" t="str">
            <v>B</v>
          </cell>
          <cell r="H53" t="str">
            <v>签约</v>
          </cell>
          <cell r="J53" t="str">
            <v>一般客户</v>
          </cell>
          <cell r="K53">
            <v>128.79</v>
          </cell>
          <cell r="L53">
            <v>98.67</v>
          </cell>
          <cell r="M53">
            <v>0</v>
          </cell>
          <cell r="N53">
            <v>0</v>
          </cell>
        </row>
        <row r="54">
          <cell r="E54" t="str">
            <v>璞园-一期-11号楼-1603</v>
          </cell>
          <cell r="F54" t="str">
            <v>住宅-高层</v>
          </cell>
          <cell r="G54" t="str">
            <v>B</v>
          </cell>
          <cell r="H54" t="str">
            <v>签约</v>
          </cell>
          <cell r="J54" t="str">
            <v>一般客户</v>
          </cell>
          <cell r="K54">
            <v>127.64</v>
          </cell>
          <cell r="L54">
            <v>97.79</v>
          </cell>
          <cell r="M54">
            <v>0</v>
          </cell>
          <cell r="N54">
            <v>0</v>
          </cell>
        </row>
        <row r="55">
          <cell r="E55" t="str">
            <v>璞园-一期-11号楼-1604</v>
          </cell>
          <cell r="F55" t="str">
            <v>住宅-高层</v>
          </cell>
          <cell r="G55" t="str">
            <v>B</v>
          </cell>
          <cell r="H55" t="str">
            <v>签约</v>
          </cell>
          <cell r="J55" t="str">
            <v>一般客户</v>
          </cell>
          <cell r="K55">
            <v>128.79</v>
          </cell>
          <cell r="L55">
            <v>98.67</v>
          </cell>
          <cell r="M55">
            <v>0</v>
          </cell>
          <cell r="N55">
            <v>0</v>
          </cell>
        </row>
        <row r="56">
          <cell r="E56" t="str">
            <v>璞园-一期-11号楼-1701</v>
          </cell>
          <cell r="F56" t="str">
            <v>住宅-高层</v>
          </cell>
          <cell r="G56" t="str">
            <v>B</v>
          </cell>
          <cell r="H56" t="str">
            <v>签约</v>
          </cell>
          <cell r="J56" t="str">
            <v>一般客户</v>
          </cell>
          <cell r="K56">
            <v>127.64</v>
          </cell>
          <cell r="L56">
            <v>97.79</v>
          </cell>
          <cell r="M56">
            <v>0</v>
          </cell>
          <cell r="N56">
            <v>0</v>
          </cell>
        </row>
        <row r="57">
          <cell r="E57" t="str">
            <v>璞园-一期-11号楼-1702</v>
          </cell>
          <cell r="F57" t="str">
            <v>住宅-高层</v>
          </cell>
          <cell r="G57" t="str">
            <v>B</v>
          </cell>
          <cell r="H57" t="str">
            <v>签约</v>
          </cell>
          <cell r="J57" t="str">
            <v>一般客户</v>
          </cell>
          <cell r="K57">
            <v>128.79</v>
          </cell>
          <cell r="L57">
            <v>98.67</v>
          </cell>
          <cell r="M57">
            <v>0</v>
          </cell>
          <cell r="N57">
            <v>0</v>
          </cell>
        </row>
        <row r="58">
          <cell r="E58" t="str">
            <v>璞园-一期-11号楼-1703</v>
          </cell>
          <cell r="F58" t="str">
            <v>住宅-高层</v>
          </cell>
          <cell r="G58" t="str">
            <v>B</v>
          </cell>
          <cell r="H58" t="str">
            <v>签约</v>
          </cell>
          <cell r="J58" t="str">
            <v>一般客户</v>
          </cell>
          <cell r="K58">
            <v>127.64</v>
          </cell>
          <cell r="L58">
            <v>97.79</v>
          </cell>
          <cell r="M58">
            <v>0</v>
          </cell>
          <cell r="N58">
            <v>0</v>
          </cell>
        </row>
        <row r="59">
          <cell r="E59" t="str">
            <v>璞园-一期-11号楼-1704</v>
          </cell>
          <cell r="F59" t="str">
            <v>住宅-高层</v>
          </cell>
          <cell r="G59" t="str">
            <v>B</v>
          </cell>
          <cell r="H59" t="str">
            <v>签约</v>
          </cell>
          <cell r="J59" t="str">
            <v>一般客户</v>
          </cell>
          <cell r="K59">
            <v>128.79</v>
          </cell>
          <cell r="L59">
            <v>98.67</v>
          </cell>
          <cell r="M59">
            <v>0</v>
          </cell>
          <cell r="N59">
            <v>0</v>
          </cell>
        </row>
        <row r="60">
          <cell r="E60" t="str">
            <v>璞园-一期-11号楼-1801</v>
          </cell>
          <cell r="F60" t="str">
            <v>住宅-高层</v>
          </cell>
          <cell r="G60" t="str">
            <v>B</v>
          </cell>
          <cell r="H60" t="str">
            <v>待售</v>
          </cell>
          <cell r="K60">
            <v>127.64</v>
          </cell>
          <cell r="L60">
            <v>97.79</v>
          </cell>
          <cell r="M60">
            <v>0</v>
          </cell>
          <cell r="N60">
            <v>0</v>
          </cell>
        </row>
        <row r="61">
          <cell r="E61" t="str">
            <v>璞园-一期-11号楼-1802</v>
          </cell>
          <cell r="F61" t="str">
            <v>住宅-高层</v>
          </cell>
          <cell r="G61" t="str">
            <v>B</v>
          </cell>
          <cell r="H61" t="str">
            <v>签约</v>
          </cell>
          <cell r="J61" t="str">
            <v>员工</v>
          </cell>
          <cell r="K61">
            <v>128.79</v>
          </cell>
          <cell r="L61">
            <v>98.67</v>
          </cell>
          <cell r="M61">
            <v>0</v>
          </cell>
          <cell r="N61">
            <v>0</v>
          </cell>
        </row>
        <row r="62">
          <cell r="E62" t="str">
            <v>璞园-一期-11号楼-1803</v>
          </cell>
          <cell r="F62" t="str">
            <v>住宅-高层</v>
          </cell>
          <cell r="G62" t="str">
            <v>B</v>
          </cell>
          <cell r="H62" t="str">
            <v>待售</v>
          </cell>
          <cell r="K62">
            <v>127.64</v>
          </cell>
          <cell r="L62">
            <v>97.79</v>
          </cell>
          <cell r="M62">
            <v>0</v>
          </cell>
          <cell r="N62">
            <v>0</v>
          </cell>
        </row>
        <row r="63">
          <cell r="E63" t="str">
            <v>璞园-一期-11号楼-1804</v>
          </cell>
          <cell r="F63" t="str">
            <v>住宅-高层</v>
          </cell>
          <cell r="G63" t="str">
            <v>B</v>
          </cell>
          <cell r="H63" t="str">
            <v>待售</v>
          </cell>
          <cell r="K63">
            <v>128.79</v>
          </cell>
          <cell r="L63">
            <v>98.67</v>
          </cell>
          <cell r="M63">
            <v>0</v>
          </cell>
          <cell r="N63">
            <v>0</v>
          </cell>
        </row>
        <row r="64">
          <cell r="E64" t="str">
            <v>璞园-一期-11号楼-201</v>
          </cell>
          <cell r="F64" t="str">
            <v>住宅-高层</v>
          </cell>
          <cell r="G64" t="str">
            <v>B</v>
          </cell>
          <cell r="H64" t="str">
            <v>待售</v>
          </cell>
          <cell r="K64">
            <v>127.64</v>
          </cell>
          <cell r="L64">
            <v>97.79</v>
          </cell>
          <cell r="M64">
            <v>0</v>
          </cell>
          <cell r="N64">
            <v>0</v>
          </cell>
        </row>
        <row r="65">
          <cell r="E65" t="str">
            <v>璞园-一期-11号楼-202</v>
          </cell>
          <cell r="F65" t="str">
            <v>住宅-高层</v>
          </cell>
          <cell r="G65" t="str">
            <v>B</v>
          </cell>
          <cell r="H65" t="str">
            <v>待售</v>
          </cell>
          <cell r="K65">
            <v>128.79</v>
          </cell>
          <cell r="L65">
            <v>98.67</v>
          </cell>
          <cell r="M65">
            <v>0</v>
          </cell>
          <cell r="N65">
            <v>0</v>
          </cell>
        </row>
        <row r="66">
          <cell r="E66" t="str">
            <v>璞园-一期-11号楼-203</v>
          </cell>
          <cell r="F66" t="str">
            <v>住宅-高层</v>
          </cell>
          <cell r="G66" t="str">
            <v>B</v>
          </cell>
          <cell r="H66" t="str">
            <v>待售</v>
          </cell>
          <cell r="K66">
            <v>127.64</v>
          </cell>
          <cell r="L66">
            <v>97.79</v>
          </cell>
          <cell r="M66">
            <v>0</v>
          </cell>
          <cell r="N66">
            <v>0</v>
          </cell>
        </row>
        <row r="67">
          <cell r="E67" t="str">
            <v>璞园-一期-11号楼-204</v>
          </cell>
          <cell r="F67" t="str">
            <v>住宅-高层</v>
          </cell>
          <cell r="G67" t="str">
            <v>B</v>
          </cell>
          <cell r="H67" t="str">
            <v>待售</v>
          </cell>
          <cell r="K67">
            <v>128.79</v>
          </cell>
          <cell r="L67">
            <v>98.67</v>
          </cell>
          <cell r="M67">
            <v>0</v>
          </cell>
          <cell r="N67">
            <v>0</v>
          </cell>
        </row>
        <row r="68">
          <cell r="E68" t="str">
            <v>璞园-一期-11号楼-301</v>
          </cell>
          <cell r="F68" t="str">
            <v>住宅-高层</v>
          </cell>
          <cell r="G68" t="str">
            <v>B</v>
          </cell>
          <cell r="H68" t="str">
            <v>签约</v>
          </cell>
          <cell r="J68" t="str">
            <v>员工</v>
          </cell>
          <cell r="K68">
            <v>127.64</v>
          </cell>
          <cell r="L68">
            <v>97.79</v>
          </cell>
          <cell r="M68">
            <v>0</v>
          </cell>
          <cell r="N68">
            <v>0</v>
          </cell>
        </row>
        <row r="69">
          <cell r="E69" t="str">
            <v>璞园-一期-11号楼-302</v>
          </cell>
          <cell r="F69" t="str">
            <v>住宅-高层</v>
          </cell>
          <cell r="G69" t="str">
            <v>B</v>
          </cell>
          <cell r="H69" t="str">
            <v>签约</v>
          </cell>
          <cell r="J69" t="str">
            <v>一般客户</v>
          </cell>
          <cell r="K69">
            <v>128.79</v>
          </cell>
          <cell r="L69">
            <v>98.67</v>
          </cell>
          <cell r="M69">
            <v>0</v>
          </cell>
          <cell r="N69">
            <v>0</v>
          </cell>
        </row>
        <row r="70">
          <cell r="E70" t="str">
            <v>璞园-一期-11号楼-303</v>
          </cell>
          <cell r="F70" t="str">
            <v>住宅-高层</v>
          </cell>
          <cell r="G70" t="str">
            <v>B</v>
          </cell>
          <cell r="H70" t="str">
            <v>待售</v>
          </cell>
          <cell r="K70">
            <v>127.64</v>
          </cell>
          <cell r="L70">
            <v>97.79</v>
          </cell>
          <cell r="M70">
            <v>0</v>
          </cell>
          <cell r="N70">
            <v>0</v>
          </cell>
        </row>
        <row r="71">
          <cell r="E71" t="str">
            <v>璞园-一期-11号楼-304</v>
          </cell>
          <cell r="F71" t="str">
            <v>住宅-高层</v>
          </cell>
          <cell r="G71" t="str">
            <v>B</v>
          </cell>
          <cell r="H71" t="str">
            <v>待售</v>
          </cell>
          <cell r="K71">
            <v>128.79</v>
          </cell>
          <cell r="L71">
            <v>98.67</v>
          </cell>
          <cell r="M71">
            <v>0</v>
          </cell>
          <cell r="N71">
            <v>0</v>
          </cell>
        </row>
        <row r="72">
          <cell r="E72" t="str">
            <v>璞园-一期-11号楼-401</v>
          </cell>
          <cell r="F72" t="str">
            <v>住宅-高层</v>
          </cell>
          <cell r="G72" t="str">
            <v>B</v>
          </cell>
          <cell r="H72" t="str">
            <v>签约</v>
          </cell>
          <cell r="J72" t="str">
            <v>工抵房</v>
          </cell>
          <cell r="K72">
            <v>127.64</v>
          </cell>
          <cell r="L72">
            <v>97.79</v>
          </cell>
          <cell r="M72">
            <v>0</v>
          </cell>
          <cell r="N72">
            <v>0</v>
          </cell>
        </row>
        <row r="73">
          <cell r="E73" t="str">
            <v>璞园-一期-11号楼-402</v>
          </cell>
          <cell r="F73" t="str">
            <v>住宅-高层</v>
          </cell>
          <cell r="G73" t="str">
            <v>B</v>
          </cell>
          <cell r="H73" t="str">
            <v>签约</v>
          </cell>
          <cell r="J73" t="str">
            <v>一般客户</v>
          </cell>
          <cell r="K73">
            <v>128.79</v>
          </cell>
          <cell r="L73">
            <v>98.67</v>
          </cell>
          <cell r="M73">
            <v>0</v>
          </cell>
          <cell r="N73">
            <v>0</v>
          </cell>
        </row>
        <row r="74">
          <cell r="E74" t="str">
            <v>璞园-一期-11号楼-403</v>
          </cell>
          <cell r="F74" t="str">
            <v>住宅-高层</v>
          </cell>
          <cell r="G74" t="str">
            <v>B</v>
          </cell>
          <cell r="H74" t="str">
            <v>认购</v>
          </cell>
          <cell r="J74" t="str">
            <v>一般客户</v>
          </cell>
          <cell r="K74">
            <v>127.64</v>
          </cell>
          <cell r="L74">
            <v>97.79</v>
          </cell>
          <cell r="M74">
            <v>0</v>
          </cell>
          <cell r="N74">
            <v>0</v>
          </cell>
        </row>
        <row r="75">
          <cell r="E75" t="str">
            <v>璞园-一期-11号楼-404</v>
          </cell>
          <cell r="F75" t="str">
            <v>住宅-高层</v>
          </cell>
          <cell r="G75" t="str">
            <v>B</v>
          </cell>
          <cell r="H75" t="str">
            <v>待售</v>
          </cell>
          <cell r="K75">
            <v>128.79</v>
          </cell>
          <cell r="L75">
            <v>98.67</v>
          </cell>
          <cell r="M75">
            <v>0</v>
          </cell>
          <cell r="N75">
            <v>0</v>
          </cell>
        </row>
        <row r="76">
          <cell r="E76" t="str">
            <v>璞园-一期-11号楼-501</v>
          </cell>
          <cell r="F76" t="str">
            <v>住宅-高层</v>
          </cell>
          <cell r="G76" t="str">
            <v>B</v>
          </cell>
          <cell r="H76" t="str">
            <v>签约</v>
          </cell>
          <cell r="J76" t="str">
            <v>一般客户</v>
          </cell>
          <cell r="K76">
            <v>127.64</v>
          </cell>
          <cell r="L76">
            <v>97.79</v>
          </cell>
          <cell r="M76">
            <v>0</v>
          </cell>
          <cell r="N76">
            <v>0</v>
          </cell>
        </row>
        <row r="77">
          <cell r="E77" t="str">
            <v>璞园-一期-11号楼-502</v>
          </cell>
          <cell r="F77" t="str">
            <v>住宅-高层</v>
          </cell>
          <cell r="G77" t="str">
            <v>B</v>
          </cell>
          <cell r="H77" t="str">
            <v>签约</v>
          </cell>
          <cell r="J77" t="str">
            <v>一般客户</v>
          </cell>
          <cell r="K77">
            <v>128.79</v>
          </cell>
          <cell r="L77">
            <v>98.67</v>
          </cell>
          <cell r="M77">
            <v>0</v>
          </cell>
          <cell r="N77">
            <v>0</v>
          </cell>
        </row>
        <row r="78">
          <cell r="E78" t="str">
            <v>璞园-一期-11号楼-503</v>
          </cell>
          <cell r="F78" t="str">
            <v>住宅-高层</v>
          </cell>
          <cell r="G78" t="str">
            <v>B</v>
          </cell>
          <cell r="H78" t="str">
            <v>签约</v>
          </cell>
          <cell r="J78" t="str">
            <v>一般客户</v>
          </cell>
          <cell r="K78">
            <v>127.64</v>
          </cell>
          <cell r="L78">
            <v>97.79</v>
          </cell>
          <cell r="M78">
            <v>0</v>
          </cell>
          <cell r="N78">
            <v>0</v>
          </cell>
        </row>
        <row r="79">
          <cell r="E79" t="str">
            <v>璞园-一期-11号楼-504</v>
          </cell>
          <cell r="F79" t="str">
            <v>住宅-高层</v>
          </cell>
          <cell r="G79" t="str">
            <v>B</v>
          </cell>
          <cell r="H79" t="str">
            <v>签约</v>
          </cell>
          <cell r="J79" t="str">
            <v>一般客户</v>
          </cell>
          <cell r="K79">
            <v>128.79</v>
          </cell>
          <cell r="L79">
            <v>98.67</v>
          </cell>
          <cell r="M79">
            <v>0</v>
          </cell>
          <cell r="N79">
            <v>0</v>
          </cell>
        </row>
        <row r="80">
          <cell r="E80" t="str">
            <v>璞园-一期-11号楼-601</v>
          </cell>
          <cell r="F80" t="str">
            <v>住宅-高层</v>
          </cell>
          <cell r="G80" t="str">
            <v>B</v>
          </cell>
          <cell r="H80" t="str">
            <v>签约</v>
          </cell>
          <cell r="J80" t="str">
            <v>一般客户</v>
          </cell>
          <cell r="K80">
            <v>127.64</v>
          </cell>
          <cell r="L80">
            <v>97.79</v>
          </cell>
          <cell r="M80">
            <v>0</v>
          </cell>
          <cell r="N80">
            <v>0</v>
          </cell>
        </row>
        <row r="81">
          <cell r="E81" t="str">
            <v>璞园-一期-11号楼-602</v>
          </cell>
          <cell r="F81" t="str">
            <v>住宅-高层</v>
          </cell>
          <cell r="G81" t="str">
            <v>B</v>
          </cell>
          <cell r="H81" t="str">
            <v>签约</v>
          </cell>
          <cell r="J81" t="str">
            <v>一般客户</v>
          </cell>
          <cell r="K81">
            <v>128.79</v>
          </cell>
          <cell r="L81">
            <v>98.67</v>
          </cell>
          <cell r="M81">
            <v>0</v>
          </cell>
          <cell r="N81">
            <v>0</v>
          </cell>
        </row>
        <row r="82">
          <cell r="E82" t="str">
            <v>璞园-一期-11号楼-603</v>
          </cell>
          <cell r="F82" t="str">
            <v>住宅-高层</v>
          </cell>
          <cell r="G82" t="str">
            <v>B</v>
          </cell>
          <cell r="H82" t="str">
            <v>签约</v>
          </cell>
          <cell r="J82" t="str">
            <v>一般客户</v>
          </cell>
          <cell r="K82">
            <v>127.64</v>
          </cell>
          <cell r="L82">
            <v>97.79</v>
          </cell>
          <cell r="M82">
            <v>0</v>
          </cell>
          <cell r="N82">
            <v>0</v>
          </cell>
        </row>
        <row r="83">
          <cell r="E83" t="str">
            <v>璞园-一期-11号楼-604</v>
          </cell>
          <cell r="F83" t="str">
            <v>住宅-高层</v>
          </cell>
          <cell r="G83" t="str">
            <v>B</v>
          </cell>
          <cell r="H83" t="str">
            <v>签约</v>
          </cell>
          <cell r="J83" t="str">
            <v>一般客户</v>
          </cell>
          <cell r="K83">
            <v>128.79</v>
          </cell>
          <cell r="L83">
            <v>98.67</v>
          </cell>
          <cell r="M83">
            <v>0</v>
          </cell>
          <cell r="N83">
            <v>0</v>
          </cell>
        </row>
        <row r="84">
          <cell r="E84" t="str">
            <v>璞园-一期-11号楼-701</v>
          </cell>
          <cell r="F84" t="str">
            <v>住宅-高层</v>
          </cell>
          <cell r="G84" t="str">
            <v>B</v>
          </cell>
          <cell r="H84" t="str">
            <v>待售</v>
          </cell>
          <cell r="K84">
            <v>127.64</v>
          </cell>
          <cell r="L84">
            <v>97.79</v>
          </cell>
          <cell r="M84">
            <v>0</v>
          </cell>
          <cell r="N84">
            <v>0</v>
          </cell>
        </row>
        <row r="85">
          <cell r="E85" t="str">
            <v>璞园-一期-11号楼-702</v>
          </cell>
          <cell r="F85" t="str">
            <v>住宅-高层</v>
          </cell>
          <cell r="G85" t="str">
            <v>B</v>
          </cell>
          <cell r="H85" t="str">
            <v>签约</v>
          </cell>
          <cell r="J85" t="str">
            <v>一般客户</v>
          </cell>
          <cell r="K85">
            <v>128.79</v>
          </cell>
          <cell r="L85">
            <v>98.67</v>
          </cell>
          <cell r="M85">
            <v>0</v>
          </cell>
          <cell r="N85">
            <v>0</v>
          </cell>
        </row>
        <row r="86">
          <cell r="E86" t="str">
            <v>璞园-一期-11号楼-703</v>
          </cell>
          <cell r="F86" t="str">
            <v>住宅-高层</v>
          </cell>
          <cell r="G86" t="str">
            <v>B</v>
          </cell>
          <cell r="H86" t="str">
            <v>签约</v>
          </cell>
          <cell r="J86" t="str">
            <v>一般客户</v>
          </cell>
          <cell r="K86">
            <v>127.64</v>
          </cell>
          <cell r="L86">
            <v>97.79</v>
          </cell>
          <cell r="M86">
            <v>0</v>
          </cell>
          <cell r="N86">
            <v>0</v>
          </cell>
        </row>
        <row r="87">
          <cell r="E87" t="str">
            <v>璞园-一期-11号楼-704</v>
          </cell>
          <cell r="F87" t="str">
            <v>住宅-高层</v>
          </cell>
          <cell r="G87" t="str">
            <v>B</v>
          </cell>
          <cell r="H87" t="str">
            <v>签约</v>
          </cell>
          <cell r="J87" t="str">
            <v>一般客户</v>
          </cell>
          <cell r="K87">
            <v>128.79</v>
          </cell>
          <cell r="L87">
            <v>98.67</v>
          </cell>
          <cell r="M87">
            <v>0</v>
          </cell>
          <cell r="N87">
            <v>0</v>
          </cell>
        </row>
        <row r="88">
          <cell r="E88" t="str">
            <v>璞园-一期-11号楼-801</v>
          </cell>
          <cell r="F88" t="str">
            <v>住宅-高层</v>
          </cell>
          <cell r="G88" t="str">
            <v>B</v>
          </cell>
          <cell r="H88" t="str">
            <v>签约</v>
          </cell>
          <cell r="J88" t="str">
            <v>一般客户</v>
          </cell>
          <cell r="K88">
            <v>127.64</v>
          </cell>
          <cell r="L88">
            <v>97.79</v>
          </cell>
          <cell r="M88">
            <v>0</v>
          </cell>
          <cell r="N88">
            <v>0</v>
          </cell>
        </row>
        <row r="89">
          <cell r="E89" t="str">
            <v>璞园-一期-11号楼-802</v>
          </cell>
          <cell r="F89" t="str">
            <v>住宅-高层</v>
          </cell>
          <cell r="G89" t="str">
            <v>B</v>
          </cell>
          <cell r="H89" t="str">
            <v>签约</v>
          </cell>
          <cell r="J89" t="str">
            <v>工抵房</v>
          </cell>
          <cell r="K89">
            <v>128.79</v>
          </cell>
          <cell r="L89">
            <v>98.67</v>
          </cell>
          <cell r="M89">
            <v>0</v>
          </cell>
          <cell r="N89">
            <v>0</v>
          </cell>
        </row>
        <row r="90">
          <cell r="E90" t="str">
            <v>璞园-一期-11号楼-803</v>
          </cell>
          <cell r="F90" t="str">
            <v>住宅-高层</v>
          </cell>
          <cell r="G90" t="str">
            <v>B</v>
          </cell>
          <cell r="H90" t="str">
            <v>签约</v>
          </cell>
          <cell r="J90" t="str">
            <v>一般客户</v>
          </cell>
          <cell r="K90">
            <v>127.64</v>
          </cell>
          <cell r="L90">
            <v>97.79</v>
          </cell>
          <cell r="M90">
            <v>0</v>
          </cell>
          <cell r="N90">
            <v>0</v>
          </cell>
        </row>
        <row r="91">
          <cell r="E91" t="str">
            <v>璞园-一期-11号楼-804</v>
          </cell>
          <cell r="F91" t="str">
            <v>住宅-高层</v>
          </cell>
          <cell r="G91" t="str">
            <v>B</v>
          </cell>
          <cell r="H91" t="str">
            <v>签约</v>
          </cell>
          <cell r="J91" t="str">
            <v>一般客户</v>
          </cell>
          <cell r="K91">
            <v>128.79</v>
          </cell>
          <cell r="L91">
            <v>98.67</v>
          </cell>
          <cell r="M91">
            <v>0</v>
          </cell>
          <cell r="N91">
            <v>0</v>
          </cell>
        </row>
        <row r="92">
          <cell r="E92" t="str">
            <v>璞园-一期-11号楼-901</v>
          </cell>
          <cell r="F92" t="str">
            <v>住宅-高层</v>
          </cell>
          <cell r="G92" t="str">
            <v>B</v>
          </cell>
          <cell r="H92" t="str">
            <v>签约</v>
          </cell>
          <cell r="J92" t="str">
            <v>一般客户</v>
          </cell>
          <cell r="K92">
            <v>127.64</v>
          </cell>
          <cell r="L92">
            <v>97.79</v>
          </cell>
          <cell r="M92">
            <v>0</v>
          </cell>
          <cell r="N92">
            <v>0</v>
          </cell>
        </row>
        <row r="93">
          <cell r="E93" t="str">
            <v>璞园-一期-11号楼-902</v>
          </cell>
          <cell r="F93" t="str">
            <v>住宅-高层</v>
          </cell>
          <cell r="G93" t="str">
            <v>B</v>
          </cell>
          <cell r="H93" t="str">
            <v>签约</v>
          </cell>
          <cell r="J93" t="str">
            <v>一般客户</v>
          </cell>
          <cell r="K93">
            <v>128.79</v>
          </cell>
          <cell r="L93">
            <v>98.67</v>
          </cell>
          <cell r="M93">
            <v>0</v>
          </cell>
          <cell r="N93">
            <v>0</v>
          </cell>
        </row>
        <row r="94">
          <cell r="E94" t="str">
            <v>璞园-一期-11号楼-903</v>
          </cell>
          <cell r="F94" t="str">
            <v>住宅-高层</v>
          </cell>
          <cell r="G94" t="str">
            <v>B</v>
          </cell>
          <cell r="H94" t="str">
            <v>签约</v>
          </cell>
          <cell r="J94" t="str">
            <v>一般客户</v>
          </cell>
          <cell r="K94">
            <v>127.64</v>
          </cell>
          <cell r="L94">
            <v>97.79</v>
          </cell>
          <cell r="M94">
            <v>0</v>
          </cell>
          <cell r="N94">
            <v>0</v>
          </cell>
        </row>
        <row r="95">
          <cell r="E95" t="str">
            <v>璞园-一期-11号楼-904</v>
          </cell>
          <cell r="F95" t="str">
            <v>住宅-高层</v>
          </cell>
          <cell r="G95" t="str">
            <v>B</v>
          </cell>
          <cell r="H95" t="str">
            <v>签约</v>
          </cell>
          <cell r="J95" t="str">
            <v>一般客户</v>
          </cell>
          <cell r="K95">
            <v>128.79</v>
          </cell>
          <cell r="L95">
            <v>98.67</v>
          </cell>
          <cell r="M95">
            <v>0</v>
          </cell>
          <cell r="N95">
            <v>0</v>
          </cell>
        </row>
        <row r="96">
          <cell r="E96" t="str">
            <v>璞园-一期-12号楼-101</v>
          </cell>
          <cell r="F96" t="str">
            <v>住宅-多层</v>
          </cell>
          <cell r="G96" t="str">
            <v>D</v>
          </cell>
          <cell r="H96" t="str">
            <v>签约</v>
          </cell>
          <cell r="J96" t="str">
            <v>一般客户</v>
          </cell>
          <cell r="K96">
            <v>143.28</v>
          </cell>
          <cell r="L96">
            <v>110.09</v>
          </cell>
          <cell r="M96">
            <v>0</v>
          </cell>
          <cell r="N96">
            <v>0</v>
          </cell>
        </row>
        <row r="97">
          <cell r="E97" t="str">
            <v>璞园-一期-12号楼-102</v>
          </cell>
          <cell r="F97" t="str">
            <v>住宅-多层</v>
          </cell>
          <cell r="G97" t="str">
            <v>D</v>
          </cell>
          <cell r="H97" t="str">
            <v>签约</v>
          </cell>
          <cell r="J97" t="str">
            <v>一般客户</v>
          </cell>
          <cell r="K97">
            <v>143.19999999999999</v>
          </cell>
          <cell r="L97">
            <v>110.02</v>
          </cell>
          <cell r="M97">
            <v>0</v>
          </cell>
          <cell r="N97">
            <v>0</v>
          </cell>
        </row>
        <row r="98">
          <cell r="E98" t="str">
            <v>璞园-一期-12号楼-103</v>
          </cell>
          <cell r="F98" t="str">
            <v>住宅-多层</v>
          </cell>
          <cell r="G98" t="str">
            <v>D</v>
          </cell>
          <cell r="H98" t="str">
            <v>签约</v>
          </cell>
          <cell r="J98" t="str">
            <v>一般客户</v>
          </cell>
          <cell r="K98">
            <v>143.19999999999999</v>
          </cell>
          <cell r="L98">
            <v>110.02</v>
          </cell>
          <cell r="M98">
            <v>0</v>
          </cell>
          <cell r="N98">
            <v>0</v>
          </cell>
        </row>
        <row r="99">
          <cell r="E99" t="str">
            <v>璞园-一期-12号楼-104</v>
          </cell>
          <cell r="F99" t="str">
            <v>住宅-多层</v>
          </cell>
          <cell r="G99" t="str">
            <v>D</v>
          </cell>
          <cell r="H99" t="str">
            <v>待售</v>
          </cell>
          <cell r="K99">
            <v>143.28</v>
          </cell>
          <cell r="L99">
            <v>110.09</v>
          </cell>
          <cell r="M99">
            <v>0</v>
          </cell>
          <cell r="N99">
            <v>0</v>
          </cell>
        </row>
        <row r="100">
          <cell r="E100" t="str">
            <v>璞园-一期-12号楼-301</v>
          </cell>
          <cell r="F100" t="str">
            <v>住宅-多层</v>
          </cell>
          <cell r="G100" t="str">
            <v>D</v>
          </cell>
          <cell r="H100" t="str">
            <v>签约</v>
          </cell>
          <cell r="J100" t="str">
            <v>一般客户</v>
          </cell>
          <cell r="K100">
            <v>146.83000000000001</v>
          </cell>
          <cell r="L100">
            <v>112.82</v>
          </cell>
          <cell r="M100">
            <v>0</v>
          </cell>
          <cell r="N100">
            <v>0</v>
          </cell>
        </row>
        <row r="101">
          <cell r="E101" t="str">
            <v>璞园-一期-12号楼-302</v>
          </cell>
          <cell r="F101" t="str">
            <v>住宅-多层</v>
          </cell>
          <cell r="G101" t="str">
            <v>D</v>
          </cell>
          <cell r="H101" t="str">
            <v>签约</v>
          </cell>
          <cell r="J101" t="str">
            <v>一般客户</v>
          </cell>
          <cell r="K101">
            <v>146.66</v>
          </cell>
          <cell r="L101">
            <v>112.69</v>
          </cell>
          <cell r="M101">
            <v>0</v>
          </cell>
          <cell r="N101">
            <v>0</v>
          </cell>
        </row>
        <row r="102">
          <cell r="E102" t="str">
            <v>璞园-一期-12号楼-303</v>
          </cell>
          <cell r="F102" t="str">
            <v>住宅-多层</v>
          </cell>
          <cell r="G102" t="str">
            <v>D</v>
          </cell>
          <cell r="H102" t="str">
            <v>签约</v>
          </cell>
          <cell r="J102" t="str">
            <v>一般客户</v>
          </cell>
          <cell r="K102">
            <v>146.66</v>
          </cell>
          <cell r="L102">
            <v>112.69</v>
          </cell>
          <cell r="M102">
            <v>0</v>
          </cell>
          <cell r="N102">
            <v>0</v>
          </cell>
        </row>
        <row r="103">
          <cell r="E103" t="str">
            <v>璞园-一期-12号楼-304</v>
          </cell>
          <cell r="F103" t="str">
            <v>住宅-多层</v>
          </cell>
          <cell r="G103" t="str">
            <v>D</v>
          </cell>
          <cell r="H103" t="str">
            <v>签约</v>
          </cell>
          <cell r="J103" t="str">
            <v>一般客户</v>
          </cell>
          <cell r="K103">
            <v>146.83000000000001</v>
          </cell>
          <cell r="L103">
            <v>112.82</v>
          </cell>
          <cell r="M103">
            <v>0</v>
          </cell>
          <cell r="N103">
            <v>0</v>
          </cell>
        </row>
        <row r="104">
          <cell r="E104" t="str">
            <v>璞园-一期-12号楼-501</v>
          </cell>
          <cell r="F104" t="str">
            <v>住宅-多层</v>
          </cell>
          <cell r="G104" t="str">
            <v>D</v>
          </cell>
          <cell r="H104" t="str">
            <v>签约</v>
          </cell>
          <cell r="J104" t="str">
            <v>一般客户</v>
          </cell>
          <cell r="K104">
            <v>140.6</v>
          </cell>
          <cell r="L104">
            <v>108.03</v>
          </cell>
          <cell r="M104">
            <v>0</v>
          </cell>
          <cell r="N104">
            <v>0</v>
          </cell>
        </row>
        <row r="105">
          <cell r="E105" t="str">
            <v>璞园-一期-12号楼-502</v>
          </cell>
          <cell r="F105" t="str">
            <v>住宅-多层</v>
          </cell>
          <cell r="G105" t="str">
            <v>D</v>
          </cell>
          <cell r="H105" t="str">
            <v>签约</v>
          </cell>
          <cell r="J105" t="str">
            <v>员工</v>
          </cell>
          <cell r="K105">
            <v>140.43</v>
          </cell>
          <cell r="L105">
            <v>107.91</v>
          </cell>
          <cell r="M105">
            <v>0</v>
          </cell>
          <cell r="N105">
            <v>0</v>
          </cell>
        </row>
        <row r="106">
          <cell r="E106" t="str">
            <v>璞园-一期-12号楼-503</v>
          </cell>
          <cell r="F106" t="str">
            <v>住宅-多层</v>
          </cell>
          <cell r="G106" t="str">
            <v>D</v>
          </cell>
          <cell r="H106" t="str">
            <v>签约</v>
          </cell>
          <cell r="J106" t="str">
            <v>员工</v>
          </cell>
          <cell r="K106">
            <v>140.43</v>
          </cell>
          <cell r="L106">
            <v>107.91</v>
          </cell>
          <cell r="M106">
            <v>0</v>
          </cell>
          <cell r="N106">
            <v>0</v>
          </cell>
        </row>
        <row r="107">
          <cell r="E107" t="str">
            <v>璞园-一期-12号楼-504</v>
          </cell>
          <cell r="F107" t="str">
            <v>住宅-多层</v>
          </cell>
          <cell r="G107" t="str">
            <v>D</v>
          </cell>
          <cell r="H107" t="str">
            <v>签约</v>
          </cell>
          <cell r="J107" t="str">
            <v>一般客户</v>
          </cell>
          <cell r="K107">
            <v>140.6</v>
          </cell>
          <cell r="L107">
            <v>108.03</v>
          </cell>
          <cell r="M107">
            <v>0</v>
          </cell>
          <cell r="N107">
            <v>0</v>
          </cell>
        </row>
        <row r="108">
          <cell r="E108" t="str">
            <v>璞园-一期-12号楼-储藏室01</v>
          </cell>
          <cell r="F108" t="str">
            <v>住宅-多层</v>
          </cell>
          <cell r="G108" t="str">
            <v>储藏室</v>
          </cell>
          <cell r="H108" t="str">
            <v>签约</v>
          </cell>
          <cell r="J108" t="str">
            <v>一般客户</v>
          </cell>
          <cell r="K108">
            <v>91.67</v>
          </cell>
          <cell r="L108">
            <v>62.07</v>
          </cell>
          <cell r="M108">
            <v>0</v>
          </cell>
          <cell r="N108">
            <v>0</v>
          </cell>
        </row>
        <row r="109">
          <cell r="E109" t="str">
            <v>璞园-一期-12号楼-储藏室02</v>
          </cell>
          <cell r="F109" t="str">
            <v>住宅-多层</v>
          </cell>
          <cell r="G109" t="str">
            <v>储藏室</v>
          </cell>
          <cell r="H109" t="str">
            <v>签约</v>
          </cell>
          <cell r="J109" t="str">
            <v>一般客户</v>
          </cell>
          <cell r="K109">
            <v>91.3</v>
          </cell>
          <cell r="L109">
            <v>61.83</v>
          </cell>
          <cell r="M109">
            <v>0</v>
          </cell>
          <cell r="N109">
            <v>0</v>
          </cell>
        </row>
        <row r="110">
          <cell r="E110" t="str">
            <v>璞园-一期-12号楼-储藏室03</v>
          </cell>
          <cell r="F110" t="str">
            <v>住宅-多层</v>
          </cell>
          <cell r="G110" t="str">
            <v>储藏室</v>
          </cell>
          <cell r="H110" t="str">
            <v>签约</v>
          </cell>
          <cell r="J110" t="str">
            <v>一般客户</v>
          </cell>
          <cell r="K110">
            <v>91.3</v>
          </cell>
          <cell r="L110">
            <v>61.83</v>
          </cell>
          <cell r="M110">
            <v>0</v>
          </cell>
          <cell r="N110">
            <v>0</v>
          </cell>
        </row>
        <row r="111">
          <cell r="E111" t="str">
            <v>璞园-一期-12号楼-储藏室04</v>
          </cell>
          <cell r="F111" t="str">
            <v>住宅-多层</v>
          </cell>
          <cell r="G111" t="str">
            <v>储藏室</v>
          </cell>
          <cell r="H111" t="str">
            <v>待售</v>
          </cell>
          <cell r="K111">
            <v>91.68</v>
          </cell>
          <cell r="L111">
            <v>62.08</v>
          </cell>
          <cell r="M111">
            <v>0</v>
          </cell>
          <cell r="N111">
            <v>0</v>
          </cell>
        </row>
        <row r="112">
          <cell r="E112" t="str">
            <v>璞园-一期-13号楼-1001</v>
          </cell>
          <cell r="F112" t="str">
            <v>住宅-小高层</v>
          </cell>
          <cell r="G112" t="str">
            <v>A</v>
          </cell>
          <cell r="H112" t="str">
            <v>签约</v>
          </cell>
          <cell r="J112" t="str">
            <v>一般客户</v>
          </cell>
          <cell r="K112">
            <v>109.75</v>
          </cell>
          <cell r="L112">
            <v>87.52</v>
          </cell>
          <cell r="M112">
            <v>0</v>
          </cell>
          <cell r="N112">
            <v>0</v>
          </cell>
        </row>
        <row r="113">
          <cell r="E113" t="str">
            <v>璞园-一期-13号楼-1002</v>
          </cell>
          <cell r="F113" t="str">
            <v>住宅-小高层</v>
          </cell>
          <cell r="G113" t="str">
            <v>A</v>
          </cell>
          <cell r="H113" t="str">
            <v>签约</v>
          </cell>
          <cell r="J113" t="str">
            <v>一般客户</v>
          </cell>
          <cell r="K113">
            <v>109.75</v>
          </cell>
          <cell r="L113">
            <v>87.52</v>
          </cell>
          <cell r="M113">
            <v>0</v>
          </cell>
          <cell r="N113">
            <v>0</v>
          </cell>
        </row>
        <row r="114">
          <cell r="E114" t="str">
            <v>璞园-一期-13号楼-1003</v>
          </cell>
          <cell r="F114" t="str">
            <v>住宅-小高层</v>
          </cell>
          <cell r="G114" t="str">
            <v>A</v>
          </cell>
          <cell r="H114" t="str">
            <v>签约</v>
          </cell>
          <cell r="J114" t="str">
            <v>一般客户</v>
          </cell>
          <cell r="K114">
            <v>109.75</v>
          </cell>
          <cell r="L114">
            <v>87.52</v>
          </cell>
          <cell r="M114">
            <v>0</v>
          </cell>
          <cell r="N114">
            <v>0</v>
          </cell>
        </row>
        <row r="115">
          <cell r="E115" t="str">
            <v>璞园-一期-13号楼-1004</v>
          </cell>
          <cell r="F115" t="str">
            <v>住宅-小高层</v>
          </cell>
          <cell r="G115" t="str">
            <v>A</v>
          </cell>
          <cell r="H115" t="str">
            <v>签约</v>
          </cell>
          <cell r="J115" t="str">
            <v>一般客户</v>
          </cell>
          <cell r="K115">
            <v>109.75</v>
          </cell>
          <cell r="L115">
            <v>87.52</v>
          </cell>
          <cell r="M115">
            <v>0</v>
          </cell>
          <cell r="N115">
            <v>0</v>
          </cell>
        </row>
        <row r="116">
          <cell r="E116" t="str">
            <v>璞园-一期-13号楼-101</v>
          </cell>
          <cell r="F116" t="str">
            <v>住宅-小高层</v>
          </cell>
          <cell r="G116" t="str">
            <v>A非标</v>
          </cell>
          <cell r="H116" t="str">
            <v>签约</v>
          </cell>
          <cell r="J116" t="str">
            <v>一般客户</v>
          </cell>
          <cell r="K116">
            <v>92.23</v>
          </cell>
          <cell r="L116">
            <v>73.55</v>
          </cell>
          <cell r="M116">
            <v>0</v>
          </cell>
          <cell r="N116">
            <v>0</v>
          </cell>
        </row>
        <row r="117">
          <cell r="E117" t="str">
            <v>璞园-一期-13号楼-1101</v>
          </cell>
          <cell r="F117" t="str">
            <v>住宅-小高层</v>
          </cell>
          <cell r="G117" t="str">
            <v>A</v>
          </cell>
          <cell r="H117" t="str">
            <v>签约</v>
          </cell>
          <cell r="J117" t="str">
            <v>一般客户</v>
          </cell>
          <cell r="K117">
            <v>109.75</v>
          </cell>
          <cell r="L117">
            <v>87.52</v>
          </cell>
          <cell r="M117">
            <v>0</v>
          </cell>
          <cell r="N117">
            <v>0</v>
          </cell>
        </row>
        <row r="118">
          <cell r="E118" t="str">
            <v>璞园-一期-13号楼-1102</v>
          </cell>
          <cell r="F118" t="str">
            <v>住宅-小高层</v>
          </cell>
          <cell r="G118" t="str">
            <v>A</v>
          </cell>
          <cell r="H118" t="str">
            <v>签约</v>
          </cell>
          <cell r="J118" t="str">
            <v>一般客户</v>
          </cell>
          <cell r="K118">
            <v>109.75</v>
          </cell>
          <cell r="L118">
            <v>87.52</v>
          </cell>
          <cell r="M118">
            <v>0</v>
          </cell>
          <cell r="N118">
            <v>0</v>
          </cell>
        </row>
        <row r="119">
          <cell r="E119" t="str">
            <v>璞园-一期-13号楼-1103</v>
          </cell>
          <cell r="F119" t="str">
            <v>住宅-小高层</v>
          </cell>
          <cell r="G119" t="str">
            <v>A</v>
          </cell>
          <cell r="H119" t="str">
            <v>签约</v>
          </cell>
          <cell r="J119" t="str">
            <v>员工</v>
          </cell>
          <cell r="K119">
            <v>109.75</v>
          </cell>
          <cell r="L119">
            <v>87.52</v>
          </cell>
          <cell r="M119">
            <v>0</v>
          </cell>
          <cell r="N119">
            <v>0</v>
          </cell>
        </row>
        <row r="120">
          <cell r="E120" t="str">
            <v>璞园-一期-13号楼-1104</v>
          </cell>
          <cell r="F120" t="str">
            <v>住宅-小高层</v>
          </cell>
          <cell r="G120" t="str">
            <v>A</v>
          </cell>
          <cell r="H120" t="str">
            <v>签约</v>
          </cell>
          <cell r="J120" t="str">
            <v>一般客户</v>
          </cell>
          <cell r="K120">
            <v>109.75</v>
          </cell>
          <cell r="L120">
            <v>87.52</v>
          </cell>
          <cell r="M120">
            <v>0</v>
          </cell>
          <cell r="N120">
            <v>0</v>
          </cell>
        </row>
        <row r="121">
          <cell r="E121" t="str">
            <v>璞园-一期-13号楼-201</v>
          </cell>
          <cell r="F121" t="str">
            <v>住宅-小高层</v>
          </cell>
          <cell r="G121" t="str">
            <v>A</v>
          </cell>
          <cell r="H121" t="str">
            <v>签约</v>
          </cell>
          <cell r="J121" t="str">
            <v>一般客户</v>
          </cell>
          <cell r="K121">
            <v>109.75</v>
          </cell>
          <cell r="L121">
            <v>87.52</v>
          </cell>
          <cell r="M121">
            <v>0</v>
          </cell>
          <cell r="N121">
            <v>0</v>
          </cell>
        </row>
        <row r="122">
          <cell r="E122" t="str">
            <v>璞园-一期-13号楼-202</v>
          </cell>
          <cell r="F122" t="str">
            <v>住宅-小高层</v>
          </cell>
          <cell r="G122" t="str">
            <v>A</v>
          </cell>
          <cell r="H122" t="str">
            <v>签约</v>
          </cell>
          <cell r="J122" t="str">
            <v>一般客户</v>
          </cell>
          <cell r="K122">
            <v>109.75</v>
          </cell>
          <cell r="L122">
            <v>87.52</v>
          </cell>
          <cell r="M122">
            <v>0</v>
          </cell>
          <cell r="N122">
            <v>0</v>
          </cell>
        </row>
        <row r="123">
          <cell r="E123" t="str">
            <v>璞园-一期-13号楼-203</v>
          </cell>
          <cell r="F123" t="str">
            <v>住宅-小高层</v>
          </cell>
          <cell r="G123" t="str">
            <v>A</v>
          </cell>
          <cell r="H123" t="str">
            <v>签约</v>
          </cell>
          <cell r="J123" t="str">
            <v>一般客户</v>
          </cell>
          <cell r="K123">
            <v>109.75</v>
          </cell>
          <cell r="L123">
            <v>87.52</v>
          </cell>
          <cell r="M123">
            <v>0</v>
          </cell>
          <cell r="N123">
            <v>0</v>
          </cell>
        </row>
        <row r="124">
          <cell r="E124" t="str">
            <v>璞园-一期-13号楼-204</v>
          </cell>
          <cell r="F124" t="str">
            <v>住宅-小高层</v>
          </cell>
          <cell r="G124" t="str">
            <v>A</v>
          </cell>
          <cell r="H124" t="str">
            <v>签约</v>
          </cell>
          <cell r="J124" t="str">
            <v>一般客户</v>
          </cell>
          <cell r="K124">
            <v>109.75</v>
          </cell>
          <cell r="L124">
            <v>87.52</v>
          </cell>
          <cell r="M124">
            <v>0</v>
          </cell>
          <cell r="N124">
            <v>0</v>
          </cell>
        </row>
        <row r="125">
          <cell r="E125" t="str">
            <v>璞园-一期-13号楼-301</v>
          </cell>
          <cell r="F125" t="str">
            <v>住宅-小高层</v>
          </cell>
          <cell r="G125" t="str">
            <v>A</v>
          </cell>
          <cell r="H125" t="str">
            <v>签约</v>
          </cell>
          <cell r="J125" t="str">
            <v>一般客户</v>
          </cell>
          <cell r="K125">
            <v>109.75</v>
          </cell>
          <cell r="L125">
            <v>87.52</v>
          </cell>
          <cell r="M125">
            <v>0</v>
          </cell>
          <cell r="N125">
            <v>0</v>
          </cell>
        </row>
        <row r="126">
          <cell r="E126" t="str">
            <v>璞园-一期-13号楼-302</v>
          </cell>
          <cell r="F126" t="str">
            <v>住宅-小高层</v>
          </cell>
          <cell r="G126" t="str">
            <v>A</v>
          </cell>
          <cell r="H126" t="str">
            <v>签约</v>
          </cell>
          <cell r="J126" t="str">
            <v>员工</v>
          </cell>
          <cell r="K126">
            <v>109.75</v>
          </cell>
          <cell r="L126">
            <v>87.52</v>
          </cell>
          <cell r="M126">
            <v>0</v>
          </cell>
          <cell r="N126">
            <v>0</v>
          </cell>
        </row>
        <row r="127">
          <cell r="E127" t="str">
            <v>璞园-一期-13号楼-303</v>
          </cell>
          <cell r="F127" t="str">
            <v>住宅-小高层</v>
          </cell>
          <cell r="G127" t="str">
            <v>A</v>
          </cell>
          <cell r="H127" t="str">
            <v>签约</v>
          </cell>
          <cell r="J127" t="str">
            <v>一般客户</v>
          </cell>
          <cell r="K127">
            <v>109.75</v>
          </cell>
          <cell r="L127">
            <v>87.52</v>
          </cell>
          <cell r="M127">
            <v>0</v>
          </cell>
          <cell r="N127">
            <v>0</v>
          </cell>
        </row>
        <row r="128">
          <cell r="E128" t="str">
            <v>璞园-一期-13号楼-304</v>
          </cell>
          <cell r="F128" t="str">
            <v>住宅-小高层</v>
          </cell>
          <cell r="G128" t="str">
            <v>A</v>
          </cell>
          <cell r="H128" t="str">
            <v>签约</v>
          </cell>
          <cell r="J128" t="str">
            <v>一般客户</v>
          </cell>
          <cell r="K128">
            <v>109.75</v>
          </cell>
          <cell r="L128">
            <v>87.52</v>
          </cell>
          <cell r="M128">
            <v>0</v>
          </cell>
          <cell r="N128">
            <v>0</v>
          </cell>
        </row>
        <row r="129">
          <cell r="E129" t="str">
            <v>璞园-一期-13号楼-401</v>
          </cell>
          <cell r="F129" t="str">
            <v>住宅-小高层</v>
          </cell>
          <cell r="G129" t="str">
            <v>A</v>
          </cell>
          <cell r="H129" t="str">
            <v>签约</v>
          </cell>
          <cell r="J129" t="str">
            <v>员工</v>
          </cell>
          <cell r="K129">
            <v>109.75</v>
          </cell>
          <cell r="L129">
            <v>87.52</v>
          </cell>
          <cell r="M129">
            <v>0</v>
          </cell>
          <cell r="N129">
            <v>0</v>
          </cell>
        </row>
        <row r="130">
          <cell r="E130" t="str">
            <v>璞园-一期-13号楼-402</v>
          </cell>
          <cell r="F130" t="str">
            <v>住宅-小高层</v>
          </cell>
          <cell r="G130" t="str">
            <v>A</v>
          </cell>
          <cell r="H130" t="str">
            <v>签约</v>
          </cell>
          <cell r="J130" t="str">
            <v>一般客户</v>
          </cell>
          <cell r="K130">
            <v>109.75</v>
          </cell>
          <cell r="L130">
            <v>87.52</v>
          </cell>
          <cell r="M130">
            <v>0</v>
          </cell>
          <cell r="N130">
            <v>0</v>
          </cell>
        </row>
        <row r="131">
          <cell r="E131" t="str">
            <v>璞园-一期-13号楼-403</v>
          </cell>
          <cell r="F131" t="str">
            <v>住宅-小高层</v>
          </cell>
          <cell r="G131" t="str">
            <v>A</v>
          </cell>
          <cell r="H131" t="str">
            <v>签约</v>
          </cell>
          <cell r="J131" t="str">
            <v>一般客户</v>
          </cell>
          <cell r="K131">
            <v>109.75</v>
          </cell>
          <cell r="L131">
            <v>87.52</v>
          </cell>
          <cell r="M131">
            <v>0</v>
          </cell>
          <cell r="N131">
            <v>0</v>
          </cell>
        </row>
        <row r="132">
          <cell r="E132" t="str">
            <v>璞园-一期-13号楼-404</v>
          </cell>
          <cell r="F132" t="str">
            <v>住宅-小高层</v>
          </cell>
          <cell r="G132" t="str">
            <v>A</v>
          </cell>
          <cell r="H132" t="str">
            <v>签约</v>
          </cell>
          <cell r="J132" t="str">
            <v>一般客户</v>
          </cell>
          <cell r="K132">
            <v>109.75</v>
          </cell>
          <cell r="L132">
            <v>87.52</v>
          </cell>
          <cell r="M132">
            <v>0</v>
          </cell>
          <cell r="N132">
            <v>0</v>
          </cell>
        </row>
        <row r="133">
          <cell r="E133" t="str">
            <v>璞园-一期-13号楼-501</v>
          </cell>
          <cell r="F133" t="str">
            <v>住宅-小高层</v>
          </cell>
          <cell r="G133" t="str">
            <v>A</v>
          </cell>
          <cell r="H133" t="str">
            <v>签约</v>
          </cell>
          <cell r="J133" t="str">
            <v>一般客户</v>
          </cell>
          <cell r="K133">
            <v>109.75</v>
          </cell>
          <cell r="L133">
            <v>87.52</v>
          </cell>
          <cell r="M133">
            <v>0</v>
          </cell>
          <cell r="N133">
            <v>0</v>
          </cell>
        </row>
        <row r="134">
          <cell r="E134" t="str">
            <v>璞园-一期-13号楼-502</v>
          </cell>
          <cell r="F134" t="str">
            <v>住宅-小高层</v>
          </cell>
          <cell r="G134" t="str">
            <v>A</v>
          </cell>
          <cell r="H134" t="str">
            <v>签约</v>
          </cell>
          <cell r="J134" t="str">
            <v>一般客户</v>
          </cell>
          <cell r="K134">
            <v>109.75</v>
          </cell>
          <cell r="L134">
            <v>87.52</v>
          </cell>
          <cell r="M134">
            <v>0</v>
          </cell>
          <cell r="N134">
            <v>0</v>
          </cell>
        </row>
        <row r="135">
          <cell r="E135" t="str">
            <v>璞园-一期-13号楼-503</v>
          </cell>
          <cell r="F135" t="str">
            <v>住宅-小高层</v>
          </cell>
          <cell r="G135" t="str">
            <v>A</v>
          </cell>
          <cell r="H135" t="str">
            <v>签约</v>
          </cell>
          <cell r="J135" t="str">
            <v>一般客户</v>
          </cell>
          <cell r="K135">
            <v>109.75</v>
          </cell>
          <cell r="L135">
            <v>87.52</v>
          </cell>
          <cell r="M135">
            <v>0</v>
          </cell>
          <cell r="N135">
            <v>0</v>
          </cell>
        </row>
        <row r="136">
          <cell r="E136" t="str">
            <v>璞园-一期-13号楼-504</v>
          </cell>
          <cell r="F136" t="str">
            <v>住宅-小高层</v>
          </cell>
          <cell r="G136" t="str">
            <v>A</v>
          </cell>
          <cell r="H136" t="str">
            <v>签约</v>
          </cell>
          <cell r="J136" t="str">
            <v>一般客户</v>
          </cell>
          <cell r="K136">
            <v>109.75</v>
          </cell>
          <cell r="L136">
            <v>87.52</v>
          </cell>
          <cell r="M136">
            <v>0</v>
          </cell>
          <cell r="N136">
            <v>0</v>
          </cell>
        </row>
        <row r="137">
          <cell r="E137" t="str">
            <v>璞园-一期-13号楼-601</v>
          </cell>
          <cell r="F137" t="str">
            <v>住宅-小高层</v>
          </cell>
          <cell r="G137" t="str">
            <v>A</v>
          </cell>
          <cell r="H137" t="str">
            <v>签约</v>
          </cell>
          <cell r="J137" t="str">
            <v>一般客户</v>
          </cell>
          <cell r="K137">
            <v>109.75</v>
          </cell>
          <cell r="L137">
            <v>87.52</v>
          </cell>
          <cell r="M137">
            <v>0</v>
          </cell>
          <cell r="N137">
            <v>0</v>
          </cell>
        </row>
        <row r="138">
          <cell r="E138" t="str">
            <v>璞园-一期-13号楼-602</v>
          </cell>
          <cell r="F138" t="str">
            <v>住宅-小高层</v>
          </cell>
          <cell r="G138" t="str">
            <v>A</v>
          </cell>
          <cell r="H138" t="str">
            <v>签约</v>
          </cell>
          <cell r="J138" t="str">
            <v>一般客户</v>
          </cell>
          <cell r="K138">
            <v>109.75</v>
          </cell>
          <cell r="L138">
            <v>87.52</v>
          </cell>
          <cell r="M138">
            <v>0</v>
          </cell>
          <cell r="N138">
            <v>0</v>
          </cell>
        </row>
        <row r="139">
          <cell r="E139" t="str">
            <v>璞园-一期-13号楼-603</v>
          </cell>
          <cell r="F139" t="str">
            <v>住宅-小高层</v>
          </cell>
          <cell r="G139" t="str">
            <v>A</v>
          </cell>
          <cell r="H139" t="str">
            <v>签约</v>
          </cell>
          <cell r="J139" t="str">
            <v>员工</v>
          </cell>
          <cell r="K139">
            <v>109.75</v>
          </cell>
          <cell r="L139">
            <v>87.52</v>
          </cell>
          <cell r="M139">
            <v>0</v>
          </cell>
          <cell r="N139">
            <v>0</v>
          </cell>
        </row>
        <row r="140">
          <cell r="E140" t="str">
            <v>璞园-一期-13号楼-604</v>
          </cell>
          <cell r="F140" t="str">
            <v>住宅-小高层</v>
          </cell>
          <cell r="G140" t="str">
            <v>A</v>
          </cell>
          <cell r="H140" t="str">
            <v>签约</v>
          </cell>
          <cell r="J140" t="str">
            <v>一般客户</v>
          </cell>
          <cell r="K140">
            <v>109.75</v>
          </cell>
          <cell r="L140">
            <v>87.52</v>
          </cell>
          <cell r="M140">
            <v>0</v>
          </cell>
          <cell r="N140">
            <v>0</v>
          </cell>
        </row>
        <row r="141">
          <cell r="E141" t="str">
            <v>璞园-一期-13号楼-701</v>
          </cell>
          <cell r="F141" t="str">
            <v>住宅-小高层</v>
          </cell>
          <cell r="G141" t="str">
            <v>A</v>
          </cell>
          <cell r="H141" t="str">
            <v>签约</v>
          </cell>
          <cell r="J141" t="str">
            <v>一般客户</v>
          </cell>
          <cell r="K141">
            <v>109.75</v>
          </cell>
          <cell r="L141">
            <v>87.52</v>
          </cell>
          <cell r="M141">
            <v>0</v>
          </cell>
          <cell r="N141">
            <v>0</v>
          </cell>
        </row>
        <row r="142">
          <cell r="E142" t="str">
            <v>璞园-一期-13号楼-702</v>
          </cell>
          <cell r="F142" t="str">
            <v>住宅-小高层</v>
          </cell>
          <cell r="G142" t="str">
            <v>A</v>
          </cell>
          <cell r="H142" t="str">
            <v>签约</v>
          </cell>
          <cell r="J142" t="str">
            <v>一般客户</v>
          </cell>
          <cell r="K142">
            <v>109.75</v>
          </cell>
          <cell r="L142">
            <v>87.52</v>
          </cell>
          <cell r="M142">
            <v>0</v>
          </cell>
          <cell r="N142">
            <v>0</v>
          </cell>
        </row>
        <row r="143">
          <cell r="E143" t="str">
            <v>璞园-一期-13号楼-703</v>
          </cell>
          <cell r="F143" t="str">
            <v>住宅-小高层</v>
          </cell>
          <cell r="G143" t="str">
            <v>A</v>
          </cell>
          <cell r="H143" t="str">
            <v>签约</v>
          </cell>
          <cell r="J143" t="str">
            <v>一般客户</v>
          </cell>
          <cell r="K143">
            <v>109.75</v>
          </cell>
          <cell r="L143">
            <v>87.52</v>
          </cell>
          <cell r="M143">
            <v>0</v>
          </cell>
          <cell r="N143">
            <v>0</v>
          </cell>
        </row>
        <row r="144">
          <cell r="E144" t="str">
            <v>璞园-一期-13号楼-704</v>
          </cell>
          <cell r="F144" t="str">
            <v>住宅-小高层</v>
          </cell>
          <cell r="G144" t="str">
            <v>A</v>
          </cell>
          <cell r="H144" t="str">
            <v>签约</v>
          </cell>
          <cell r="J144" t="str">
            <v>一般客户</v>
          </cell>
          <cell r="K144">
            <v>109.75</v>
          </cell>
          <cell r="L144">
            <v>87.52</v>
          </cell>
          <cell r="M144">
            <v>0</v>
          </cell>
          <cell r="N144">
            <v>0</v>
          </cell>
        </row>
        <row r="145">
          <cell r="E145" t="str">
            <v>璞园-一期-13号楼-801</v>
          </cell>
          <cell r="F145" t="str">
            <v>住宅-小高层</v>
          </cell>
          <cell r="G145" t="str">
            <v>A</v>
          </cell>
          <cell r="H145" t="str">
            <v>签约</v>
          </cell>
          <cell r="J145" t="str">
            <v>一般客户</v>
          </cell>
          <cell r="K145">
            <v>109.75</v>
          </cell>
          <cell r="L145">
            <v>87.52</v>
          </cell>
          <cell r="M145">
            <v>0</v>
          </cell>
          <cell r="N145">
            <v>0</v>
          </cell>
        </row>
        <row r="146">
          <cell r="E146" t="str">
            <v>璞园-一期-13号楼-802</v>
          </cell>
          <cell r="F146" t="str">
            <v>住宅-小高层</v>
          </cell>
          <cell r="G146" t="str">
            <v>A</v>
          </cell>
          <cell r="H146" t="str">
            <v>签约</v>
          </cell>
          <cell r="J146" t="str">
            <v>一般客户</v>
          </cell>
          <cell r="K146">
            <v>109.75</v>
          </cell>
          <cell r="L146">
            <v>87.52</v>
          </cell>
          <cell r="M146">
            <v>0</v>
          </cell>
          <cell r="N146">
            <v>0</v>
          </cell>
        </row>
        <row r="147">
          <cell r="E147" t="str">
            <v>璞园-一期-13号楼-803</v>
          </cell>
          <cell r="F147" t="str">
            <v>住宅-小高层</v>
          </cell>
          <cell r="G147" t="str">
            <v>A</v>
          </cell>
          <cell r="H147" t="str">
            <v>签约</v>
          </cell>
          <cell r="J147" t="str">
            <v>一般客户</v>
          </cell>
          <cell r="K147">
            <v>109.75</v>
          </cell>
          <cell r="L147">
            <v>87.52</v>
          </cell>
          <cell r="M147">
            <v>0</v>
          </cell>
          <cell r="N147">
            <v>0</v>
          </cell>
        </row>
        <row r="148">
          <cell r="E148" t="str">
            <v>璞园-一期-13号楼-804</v>
          </cell>
          <cell r="F148" t="str">
            <v>住宅-小高层</v>
          </cell>
          <cell r="G148" t="str">
            <v>A</v>
          </cell>
          <cell r="H148" t="str">
            <v>签约</v>
          </cell>
          <cell r="J148" t="str">
            <v>一般客户</v>
          </cell>
          <cell r="K148">
            <v>109.75</v>
          </cell>
          <cell r="L148">
            <v>87.52</v>
          </cell>
          <cell r="M148">
            <v>0</v>
          </cell>
          <cell r="N148">
            <v>0</v>
          </cell>
        </row>
        <row r="149">
          <cell r="E149" t="str">
            <v>璞园-一期-13号楼-901</v>
          </cell>
          <cell r="F149" t="str">
            <v>住宅-小高层</v>
          </cell>
          <cell r="G149" t="str">
            <v>A</v>
          </cell>
          <cell r="H149" t="str">
            <v>签约</v>
          </cell>
          <cell r="J149" t="str">
            <v>一般客户</v>
          </cell>
          <cell r="K149">
            <v>109.75</v>
          </cell>
          <cell r="L149">
            <v>87.52</v>
          </cell>
          <cell r="M149">
            <v>0</v>
          </cell>
          <cell r="N149">
            <v>0</v>
          </cell>
        </row>
        <row r="150">
          <cell r="E150" t="str">
            <v>璞园-一期-13号楼-902</v>
          </cell>
          <cell r="F150" t="str">
            <v>住宅-小高层</v>
          </cell>
          <cell r="G150" t="str">
            <v>A</v>
          </cell>
          <cell r="H150" t="str">
            <v>签约</v>
          </cell>
          <cell r="J150" t="str">
            <v>一般客户</v>
          </cell>
          <cell r="K150">
            <v>109.75</v>
          </cell>
          <cell r="L150">
            <v>87.52</v>
          </cell>
          <cell r="M150">
            <v>0</v>
          </cell>
          <cell r="N150">
            <v>0</v>
          </cell>
        </row>
        <row r="151">
          <cell r="E151" t="str">
            <v>璞园-一期-13号楼-903</v>
          </cell>
          <cell r="F151" t="str">
            <v>住宅-小高层</v>
          </cell>
          <cell r="G151" t="str">
            <v>A</v>
          </cell>
          <cell r="H151" t="str">
            <v>签约</v>
          </cell>
          <cell r="J151" t="str">
            <v>一般客户</v>
          </cell>
          <cell r="K151">
            <v>109.75</v>
          </cell>
          <cell r="L151">
            <v>87.52</v>
          </cell>
          <cell r="M151">
            <v>0</v>
          </cell>
          <cell r="N151">
            <v>0</v>
          </cell>
        </row>
        <row r="152">
          <cell r="E152" t="str">
            <v>璞园-一期-13号楼-904</v>
          </cell>
          <cell r="F152" t="str">
            <v>住宅-小高层</v>
          </cell>
          <cell r="G152" t="str">
            <v>A</v>
          </cell>
          <cell r="H152" t="str">
            <v>签约</v>
          </cell>
          <cell r="J152" t="str">
            <v>一般客户</v>
          </cell>
          <cell r="K152">
            <v>109.75</v>
          </cell>
          <cell r="L152">
            <v>87.52</v>
          </cell>
          <cell r="M152">
            <v>0</v>
          </cell>
          <cell r="N152">
            <v>0</v>
          </cell>
        </row>
        <row r="153">
          <cell r="E153" t="str">
            <v>璞园-一期-14号楼-1001</v>
          </cell>
          <cell r="F153" t="str">
            <v>住宅-小高层</v>
          </cell>
          <cell r="G153" t="str">
            <v>A</v>
          </cell>
          <cell r="H153" t="str">
            <v>签约</v>
          </cell>
          <cell r="J153" t="str">
            <v>一般客户</v>
          </cell>
          <cell r="K153">
            <v>109.75</v>
          </cell>
          <cell r="L153">
            <v>87.52</v>
          </cell>
          <cell r="M153">
            <v>0</v>
          </cell>
          <cell r="N153">
            <v>0</v>
          </cell>
        </row>
        <row r="154">
          <cell r="E154" t="str">
            <v>璞园-一期-14号楼-1002</v>
          </cell>
          <cell r="F154" t="str">
            <v>住宅-小高层</v>
          </cell>
          <cell r="G154" t="str">
            <v>A</v>
          </cell>
          <cell r="H154" t="str">
            <v>签约</v>
          </cell>
          <cell r="J154" t="str">
            <v>一般客户</v>
          </cell>
          <cell r="K154">
            <v>109.75</v>
          </cell>
          <cell r="L154">
            <v>87.52</v>
          </cell>
          <cell r="M154">
            <v>0</v>
          </cell>
          <cell r="N154">
            <v>0</v>
          </cell>
        </row>
        <row r="155">
          <cell r="E155" t="str">
            <v>璞园-一期-14号楼-1003</v>
          </cell>
          <cell r="F155" t="str">
            <v>住宅-小高层</v>
          </cell>
          <cell r="G155" t="str">
            <v>A</v>
          </cell>
          <cell r="H155" t="str">
            <v>签约</v>
          </cell>
          <cell r="J155" t="str">
            <v>一般客户</v>
          </cell>
          <cell r="K155">
            <v>109.75</v>
          </cell>
          <cell r="L155">
            <v>87.52</v>
          </cell>
          <cell r="M155">
            <v>0</v>
          </cell>
          <cell r="N155">
            <v>0</v>
          </cell>
        </row>
        <row r="156">
          <cell r="E156" t="str">
            <v>璞园-一期-14号楼-1004</v>
          </cell>
          <cell r="F156" t="str">
            <v>住宅-小高层</v>
          </cell>
          <cell r="G156" t="str">
            <v>A</v>
          </cell>
          <cell r="H156" t="str">
            <v>签约</v>
          </cell>
          <cell r="J156" t="str">
            <v>一般客户</v>
          </cell>
          <cell r="K156">
            <v>109.75</v>
          </cell>
          <cell r="L156">
            <v>87.52</v>
          </cell>
          <cell r="M156">
            <v>0</v>
          </cell>
          <cell r="N156">
            <v>0</v>
          </cell>
        </row>
        <row r="157">
          <cell r="E157" t="str">
            <v>璞园-一期-14号楼-103</v>
          </cell>
          <cell r="F157" t="str">
            <v>住宅-小高层</v>
          </cell>
          <cell r="G157" t="str">
            <v>A非标</v>
          </cell>
          <cell r="H157" t="str">
            <v>签约</v>
          </cell>
          <cell r="J157" t="str">
            <v>一般客户</v>
          </cell>
          <cell r="K157">
            <v>92.23</v>
          </cell>
          <cell r="L157">
            <v>73.55</v>
          </cell>
          <cell r="M157">
            <v>0</v>
          </cell>
          <cell r="N157">
            <v>0</v>
          </cell>
        </row>
        <row r="158">
          <cell r="E158" t="str">
            <v>璞园-一期-14号楼-1101</v>
          </cell>
          <cell r="F158" t="str">
            <v>住宅-小高层</v>
          </cell>
          <cell r="G158" t="str">
            <v>A</v>
          </cell>
          <cell r="H158" t="str">
            <v>签约</v>
          </cell>
          <cell r="J158" t="str">
            <v>一般客户</v>
          </cell>
          <cell r="K158">
            <v>109.75</v>
          </cell>
          <cell r="L158">
            <v>87.52</v>
          </cell>
          <cell r="M158">
            <v>0</v>
          </cell>
          <cell r="N158">
            <v>0</v>
          </cell>
        </row>
        <row r="159">
          <cell r="E159" t="str">
            <v>璞园-一期-14号楼-1102</v>
          </cell>
          <cell r="F159" t="str">
            <v>住宅-小高层</v>
          </cell>
          <cell r="G159" t="str">
            <v>A</v>
          </cell>
          <cell r="H159" t="str">
            <v>签约</v>
          </cell>
          <cell r="J159" t="str">
            <v>一般客户</v>
          </cell>
          <cell r="K159">
            <v>109.75</v>
          </cell>
          <cell r="L159">
            <v>87.52</v>
          </cell>
          <cell r="M159">
            <v>0</v>
          </cell>
          <cell r="N159">
            <v>0</v>
          </cell>
        </row>
        <row r="160">
          <cell r="E160" t="str">
            <v>璞园-一期-14号楼-1103</v>
          </cell>
          <cell r="F160" t="str">
            <v>住宅-小高层</v>
          </cell>
          <cell r="G160" t="str">
            <v>A</v>
          </cell>
          <cell r="H160" t="str">
            <v>签约</v>
          </cell>
          <cell r="J160" t="str">
            <v>一般客户</v>
          </cell>
          <cell r="K160">
            <v>109.75</v>
          </cell>
          <cell r="L160">
            <v>87.52</v>
          </cell>
          <cell r="M160">
            <v>0</v>
          </cell>
          <cell r="N160">
            <v>0</v>
          </cell>
        </row>
        <row r="161">
          <cell r="E161" t="str">
            <v>璞园-一期-14号楼-1104</v>
          </cell>
          <cell r="F161" t="str">
            <v>住宅-小高层</v>
          </cell>
          <cell r="G161" t="str">
            <v>A</v>
          </cell>
          <cell r="H161" t="str">
            <v>签约</v>
          </cell>
          <cell r="J161" t="str">
            <v>一般客户</v>
          </cell>
          <cell r="K161">
            <v>109.75</v>
          </cell>
          <cell r="L161">
            <v>87.52</v>
          </cell>
          <cell r="M161">
            <v>0</v>
          </cell>
          <cell r="N161">
            <v>0</v>
          </cell>
        </row>
        <row r="162">
          <cell r="E162" t="str">
            <v>璞园-一期-14号楼-201</v>
          </cell>
          <cell r="F162" t="str">
            <v>住宅-小高层</v>
          </cell>
          <cell r="G162" t="str">
            <v>A</v>
          </cell>
          <cell r="H162" t="str">
            <v>签约</v>
          </cell>
          <cell r="J162" t="str">
            <v>员工</v>
          </cell>
          <cell r="K162">
            <v>109.75</v>
          </cell>
          <cell r="L162">
            <v>87.52</v>
          </cell>
          <cell r="M162">
            <v>0</v>
          </cell>
          <cell r="N162">
            <v>0</v>
          </cell>
        </row>
        <row r="163">
          <cell r="E163" t="str">
            <v>璞园-一期-14号楼-202</v>
          </cell>
          <cell r="F163" t="str">
            <v>住宅-小高层</v>
          </cell>
          <cell r="G163" t="str">
            <v>A</v>
          </cell>
          <cell r="H163" t="str">
            <v>签约</v>
          </cell>
          <cell r="J163" t="str">
            <v>一般客户</v>
          </cell>
          <cell r="K163">
            <v>109.75</v>
          </cell>
          <cell r="L163">
            <v>87.52</v>
          </cell>
          <cell r="M163">
            <v>0</v>
          </cell>
          <cell r="N163">
            <v>0</v>
          </cell>
        </row>
        <row r="164">
          <cell r="E164" t="str">
            <v>璞园-一期-14号楼-203</v>
          </cell>
          <cell r="F164" t="str">
            <v>住宅-小高层</v>
          </cell>
          <cell r="G164" t="str">
            <v>A</v>
          </cell>
          <cell r="H164" t="str">
            <v>签约</v>
          </cell>
          <cell r="J164" t="str">
            <v>员工</v>
          </cell>
          <cell r="K164">
            <v>109.75</v>
          </cell>
          <cell r="L164">
            <v>87.52</v>
          </cell>
          <cell r="M164">
            <v>0</v>
          </cell>
          <cell r="N164">
            <v>0</v>
          </cell>
        </row>
        <row r="165">
          <cell r="E165" t="str">
            <v>璞园-一期-14号楼-204</v>
          </cell>
          <cell r="F165" t="str">
            <v>住宅-小高层</v>
          </cell>
          <cell r="G165" t="str">
            <v>A</v>
          </cell>
          <cell r="H165" t="str">
            <v>签约</v>
          </cell>
          <cell r="J165" t="str">
            <v>员工</v>
          </cell>
          <cell r="K165">
            <v>109.75</v>
          </cell>
          <cell r="L165">
            <v>87.52</v>
          </cell>
          <cell r="M165">
            <v>0</v>
          </cell>
          <cell r="N165">
            <v>0</v>
          </cell>
        </row>
        <row r="166">
          <cell r="E166" t="str">
            <v>璞园-一期-14号楼-301</v>
          </cell>
          <cell r="F166" t="str">
            <v>住宅-小高层</v>
          </cell>
          <cell r="G166" t="str">
            <v>A</v>
          </cell>
          <cell r="H166" t="str">
            <v>签约</v>
          </cell>
          <cell r="J166" t="str">
            <v>一般客户</v>
          </cell>
          <cell r="K166">
            <v>109.75</v>
          </cell>
          <cell r="L166">
            <v>87.52</v>
          </cell>
          <cell r="M166">
            <v>0</v>
          </cell>
          <cell r="N166">
            <v>0</v>
          </cell>
        </row>
        <row r="167">
          <cell r="E167" t="str">
            <v>璞园-一期-14号楼-302</v>
          </cell>
          <cell r="F167" t="str">
            <v>住宅-小高层</v>
          </cell>
          <cell r="G167" t="str">
            <v>A</v>
          </cell>
          <cell r="H167" t="str">
            <v>签约</v>
          </cell>
          <cell r="J167" t="str">
            <v>一般客户</v>
          </cell>
          <cell r="K167">
            <v>109.75</v>
          </cell>
          <cell r="L167">
            <v>87.52</v>
          </cell>
          <cell r="M167">
            <v>0</v>
          </cell>
          <cell r="N167">
            <v>0</v>
          </cell>
        </row>
        <row r="168">
          <cell r="E168" t="str">
            <v>璞园-一期-14号楼-303</v>
          </cell>
          <cell r="F168" t="str">
            <v>住宅-小高层</v>
          </cell>
          <cell r="G168" t="str">
            <v>A</v>
          </cell>
          <cell r="H168" t="str">
            <v>签约</v>
          </cell>
          <cell r="J168" t="str">
            <v>一般客户</v>
          </cell>
          <cell r="K168">
            <v>109.75</v>
          </cell>
          <cell r="L168">
            <v>87.52</v>
          </cell>
          <cell r="M168">
            <v>0</v>
          </cell>
          <cell r="N168">
            <v>0</v>
          </cell>
        </row>
        <row r="169">
          <cell r="E169" t="str">
            <v>璞园-一期-14号楼-304</v>
          </cell>
          <cell r="F169" t="str">
            <v>住宅-小高层</v>
          </cell>
          <cell r="G169" t="str">
            <v>A</v>
          </cell>
          <cell r="H169" t="str">
            <v>签约</v>
          </cell>
          <cell r="J169" t="str">
            <v>一般客户</v>
          </cell>
          <cell r="K169">
            <v>109.75</v>
          </cell>
          <cell r="L169">
            <v>87.52</v>
          </cell>
          <cell r="M169">
            <v>0</v>
          </cell>
          <cell r="N169">
            <v>0</v>
          </cell>
        </row>
        <row r="170">
          <cell r="E170" t="str">
            <v>璞园-一期-14号楼-401</v>
          </cell>
          <cell r="F170" t="str">
            <v>住宅-小高层</v>
          </cell>
          <cell r="G170" t="str">
            <v>A</v>
          </cell>
          <cell r="H170" t="str">
            <v>签约</v>
          </cell>
          <cell r="J170" t="str">
            <v>一般客户</v>
          </cell>
          <cell r="K170">
            <v>109.75</v>
          </cell>
          <cell r="L170">
            <v>87.52</v>
          </cell>
          <cell r="M170">
            <v>0</v>
          </cell>
          <cell r="N170">
            <v>0</v>
          </cell>
        </row>
        <row r="171">
          <cell r="E171" t="str">
            <v>璞园-一期-14号楼-402</v>
          </cell>
          <cell r="F171" t="str">
            <v>住宅-小高层</v>
          </cell>
          <cell r="G171" t="str">
            <v>A</v>
          </cell>
          <cell r="H171" t="str">
            <v>签约</v>
          </cell>
          <cell r="J171" t="str">
            <v>一般客户</v>
          </cell>
          <cell r="K171">
            <v>109.75</v>
          </cell>
          <cell r="L171">
            <v>87.52</v>
          </cell>
          <cell r="M171">
            <v>0</v>
          </cell>
          <cell r="N171">
            <v>0</v>
          </cell>
        </row>
        <row r="172">
          <cell r="E172" t="str">
            <v>璞园-一期-14号楼-403</v>
          </cell>
          <cell r="F172" t="str">
            <v>住宅-小高层</v>
          </cell>
          <cell r="G172" t="str">
            <v>A</v>
          </cell>
          <cell r="H172" t="str">
            <v>签约</v>
          </cell>
          <cell r="J172" t="str">
            <v>一般客户</v>
          </cell>
          <cell r="K172">
            <v>109.75</v>
          </cell>
          <cell r="L172">
            <v>87.52</v>
          </cell>
          <cell r="M172">
            <v>0</v>
          </cell>
          <cell r="N172">
            <v>0</v>
          </cell>
        </row>
        <row r="173">
          <cell r="E173" t="str">
            <v>璞园-一期-14号楼-404</v>
          </cell>
          <cell r="F173" t="str">
            <v>住宅-小高层</v>
          </cell>
          <cell r="G173" t="str">
            <v>A</v>
          </cell>
          <cell r="H173" t="str">
            <v>签约</v>
          </cell>
          <cell r="J173" t="str">
            <v>一般客户</v>
          </cell>
          <cell r="K173">
            <v>109.75</v>
          </cell>
          <cell r="L173">
            <v>87.52</v>
          </cell>
          <cell r="M173">
            <v>0</v>
          </cell>
          <cell r="N173">
            <v>0</v>
          </cell>
        </row>
        <row r="174">
          <cell r="E174" t="str">
            <v>璞园-一期-14号楼-501</v>
          </cell>
          <cell r="F174" t="str">
            <v>住宅-小高层</v>
          </cell>
          <cell r="G174" t="str">
            <v>A</v>
          </cell>
          <cell r="H174" t="str">
            <v>签约</v>
          </cell>
          <cell r="J174" t="str">
            <v>一般客户</v>
          </cell>
          <cell r="K174">
            <v>109.75</v>
          </cell>
          <cell r="L174">
            <v>87.52</v>
          </cell>
          <cell r="M174">
            <v>0</v>
          </cell>
          <cell r="N174">
            <v>0</v>
          </cell>
        </row>
        <row r="175">
          <cell r="E175" t="str">
            <v>璞园-一期-14号楼-502</v>
          </cell>
          <cell r="F175" t="str">
            <v>住宅-小高层</v>
          </cell>
          <cell r="G175" t="str">
            <v>A</v>
          </cell>
          <cell r="H175" t="str">
            <v>签约</v>
          </cell>
          <cell r="J175" t="str">
            <v>一般客户</v>
          </cell>
          <cell r="K175">
            <v>109.75</v>
          </cell>
          <cell r="L175">
            <v>87.52</v>
          </cell>
          <cell r="M175">
            <v>0</v>
          </cell>
          <cell r="N175">
            <v>0</v>
          </cell>
        </row>
        <row r="176">
          <cell r="E176" t="str">
            <v>璞园-一期-14号楼-503</v>
          </cell>
          <cell r="F176" t="str">
            <v>住宅-小高层</v>
          </cell>
          <cell r="G176" t="str">
            <v>A</v>
          </cell>
          <cell r="H176" t="str">
            <v>签约</v>
          </cell>
          <cell r="J176" t="str">
            <v>一般客户</v>
          </cell>
          <cell r="K176">
            <v>109.75</v>
          </cell>
          <cell r="L176">
            <v>87.52</v>
          </cell>
          <cell r="M176">
            <v>0</v>
          </cell>
          <cell r="N176">
            <v>0</v>
          </cell>
        </row>
        <row r="177">
          <cell r="E177" t="str">
            <v>璞园-一期-14号楼-504</v>
          </cell>
          <cell r="F177" t="str">
            <v>住宅-小高层</v>
          </cell>
          <cell r="G177" t="str">
            <v>A</v>
          </cell>
          <cell r="H177" t="str">
            <v>签约</v>
          </cell>
          <cell r="J177" t="str">
            <v>一般客户</v>
          </cell>
          <cell r="K177">
            <v>109.75</v>
          </cell>
          <cell r="L177">
            <v>87.52</v>
          </cell>
          <cell r="M177">
            <v>0</v>
          </cell>
          <cell r="N177">
            <v>0</v>
          </cell>
        </row>
        <row r="178">
          <cell r="E178" t="str">
            <v>璞园-一期-14号楼-601</v>
          </cell>
          <cell r="F178" t="str">
            <v>住宅-小高层</v>
          </cell>
          <cell r="G178" t="str">
            <v>A</v>
          </cell>
          <cell r="H178" t="str">
            <v>签约</v>
          </cell>
          <cell r="J178" t="str">
            <v>工抵房</v>
          </cell>
          <cell r="K178">
            <v>109.75</v>
          </cell>
          <cell r="L178">
            <v>87.52</v>
          </cell>
          <cell r="M178">
            <v>0</v>
          </cell>
          <cell r="N178">
            <v>0</v>
          </cell>
        </row>
        <row r="179">
          <cell r="E179" t="str">
            <v>璞园-一期-14号楼-602</v>
          </cell>
          <cell r="F179" t="str">
            <v>住宅-小高层</v>
          </cell>
          <cell r="G179" t="str">
            <v>A</v>
          </cell>
          <cell r="H179" t="str">
            <v>签约</v>
          </cell>
          <cell r="J179" t="str">
            <v>员工</v>
          </cell>
          <cell r="K179">
            <v>109.75</v>
          </cell>
          <cell r="L179">
            <v>87.52</v>
          </cell>
          <cell r="M179">
            <v>0</v>
          </cell>
          <cell r="N179">
            <v>0</v>
          </cell>
        </row>
        <row r="180">
          <cell r="E180" t="str">
            <v>璞园-一期-14号楼-603</v>
          </cell>
          <cell r="F180" t="str">
            <v>住宅-小高层</v>
          </cell>
          <cell r="G180" t="str">
            <v>A</v>
          </cell>
          <cell r="H180" t="str">
            <v>签约</v>
          </cell>
          <cell r="J180" t="str">
            <v>员工</v>
          </cell>
          <cell r="K180">
            <v>109.75</v>
          </cell>
          <cell r="L180">
            <v>87.52</v>
          </cell>
          <cell r="M180">
            <v>0</v>
          </cell>
          <cell r="N180">
            <v>0</v>
          </cell>
        </row>
        <row r="181">
          <cell r="E181" t="str">
            <v>璞园-一期-14号楼-604</v>
          </cell>
          <cell r="F181" t="str">
            <v>住宅-小高层</v>
          </cell>
          <cell r="G181" t="str">
            <v>A</v>
          </cell>
          <cell r="H181" t="str">
            <v>签约</v>
          </cell>
          <cell r="J181" t="str">
            <v>一般客户</v>
          </cell>
          <cell r="K181">
            <v>109.75</v>
          </cell>
          <cell r="L181">
            <v>87.52</v>
          </cell>
          <cell r="M181">
            <v>0</v>
          </cell>
          <cell r="N181">
            <v>0</v>
          </cell>
        </row>
        <row r="182">
          <cell r="E182" t="str">
            <v>璞园-一期-14号楼-701</v>
          </cell>
          <cell r="F182" t="str">
            <v>住宅-小高层</v>
          </cell>
          <cell r="G182" t="str">
            <v>A</v>
          </cell>
          <cell r="H182" t="str">
            <v>签约</v>
          </cell>
          <cell r="J182" t="str">
            <v>一般客户</v>
          </cell>
          <cell r="K182">
            <v>109.75</v>
          </cell>
          <cell r="L182">
            <v>87.52</v>
          </cell>
          <cell r="M182">
            <v>0</v>
          </cell>
          <cell r="N182">
            <v>0</v>
          </cell>
        </row>
        <row r="183">
          <cell r="E183" t="str">
            <v>璞园-一期-14号楼-702</v>
          </cell>
          <cell r="F183" t="str">
            <v>住宅-小高层</v>
          </cell>
          <cell r="G183" t="str">
            <v>A</v>
          </cell>
          <cell r="H183" t="str">
            <v>签约</v>
          </cell>
          <cell r="J183" t="str">
            <v>工抵房</v>
          </cell>
          <cell r="K183">
            <v>109.75</v>
          </cell>
          <cell r="L183">
            <v>87.52</v>
          </cell>
          <cell r="M183">
            <v>0</v>
          </cell>
          <cell r="N183">
            <v>0</v>
          </cell>
        </row>
        <row r="184">
          <cell r="E184" t="str">
            <v>璞园-一期-14号楼-703</v>
          </cell>
          <cell r="F184" t="str">
            <v>住宅-小高层</v>
          </cell>
          <cell r="G184" t="str">
            <v>A</v>
          </cell>
          <cell r="H184" t="str">
            <v>签约</v>
          </cell>
          <cell r="J184" t="str">
            <v>员工</v>
          </cell>
          <cell r="K184">
            <v>109.75</v>
          </cell>
          <cell r="L184">
            <v>87.52</v>
          </cell>
          <cell r="M184">
            <v>0</v>
          </cell>
          <cell r="N184">
            <v>0</v>
          </cell>
        </row>
        <row r="185">
          <cell r="E185" t="str">
            <v>璞园-一期-14号楼-704</v>
          </cell>
          <cell r="F185" t="str">
            <v>住宅-小高层</v>
          </cell>
          <cell r="G185" t="str">
            <v>A</v>
          </cell>
          <cell r="H185" t="str">
            <v>签约</v>
          </cell>
          <cell r="J185" t="str">
            <v>一般客户</v>
          </cell>
          <cell r="K185">
            <v>109.75</v>
          </cell>
          <cell r="L185">
            <v>87.52</v>
          </cell>
          <cell r="M185">
            <v>0</v>
          </cell>
          <cell r="N185">
            <v>0</v>
          </cell>
        </row>
        <row r="186">
          <cell r="E186" t="str">
            <v>璞园-一期-14号楼-801</v>
          </cell>
          <cell r="F186" t="str">
            <v>住宅-小高层</v>
          </cell>
          <cell r="G186" t="str">
            <v>A</v>
          </cell>
          <cell r="H186" t="str">
            <v>签约</v>
          </cell>
          <cell r="J186" t="str">
            <v>一般客户</v>
          </cell>
          <cell r="K186">
            <v>109.75</v>
          </cell>
          <cell r="L186">
            <v>87.52</v>
          </cell>
          <cell r="M186">
            <v>0</v>
          </cell>
          <cell r="N186">
            <v>0</v>
          </cell>
        </row>
        <row r="187">
          <cell r="E187" t="str">
            <v>璞园-一期-14号楼-802</v>
          </cell>
          <cell r="F187" t="str">
            <v>住宅-小高层</v>
          </cell>
          <cell r="G187" t="str">
            <v>A</v>
          </cell>
          <cell r="H187" t="str">
            <v>签约</v>
          </cell>
          <cell r="J187" t="str">
            <v>一般客户</v>
          </cell>
          <cell r="K187">
            <v>109.75</v>
          </cell>
          <cell r="L187">
            <v>87.52</v>
          </cell>
          <cell r="M187">
            <v>0</v>
          </cell>
          <cell r="N187">
            <v>0</v>
          </cell>
        </row>
        <row r="188">
          <cell r="E188" t="str">
            <v>璞园-一期-14号楼-803</v>
          </cell>
          <cell r="F188" t="str">
            <v>住宅-小高层</v>
          </cell>
          <cell r="G188" t="str">
            <v>A</v>
          </cell>
          <cell r="H188" t="str">
            <v>签约</v>
          </cell>
          <cell r="J188" t="str">
            <v>员工</v>
          </cell>
          <cell r="K188">
            <v>109.75</v>
          </cell>
          <cell r="L188">
            <v>87.52</v>
          </cell>
          <cell r="M188">
            <v>0</v>
          </cell>
          <cell r="N188">
            <v>0</v>
          </cell>
        </row>
        <row r="189">
          <cell r="E189" t="str">
            <v>璞园-一期-14号楼-804</v>
          </cell>
          <cell r="F189" t="str">
            <v>住宅-小高层</v>
          </cell>
          <cell r="G189" t="str">
            <v>A</v>
          </cell>
          <cell r="H189" t="str">
            <v>签约</v>
          </cell>
          <cell r="J189" t="str">
            <v>一般客户</v>
          </cell>
          <cell r="K189">
            <v>109.75</v>
          </cell>
          <cell r="L189">
            <v>87.52</v>
          </cell>
          <cell r="M189">
            <v>0</v>
          </cell>
          <cell r="N189">
            <v>0</v>
          </cell>
        </row>
        <row r="190">
          <cell r="E190" t="str">
            <v>璞园-一期-14号楼-901</v>
          </cell>
          <cell r="F190" t="str">
            <v>住宅-小高层</v>
          </cell>
          <cell r="G190" t="str">
            <v>A</v>
          </cell>
          <cell r="H190" t="str">
            <v>签约</v>
          </cell>
          <cell r="J190" t="str">
            <v>一般客户</v>
          </cell>
          <cell r="K190">
            <v>109.75</v>
          </cell>
          <cell r="L190">
            <v>87.52</v>
          </cell>
          <cell r="M190">
            <v>0</v>
          </cell>
          <cell r="N190">
            <v>0</v>
          </cell>
        </row>
        <row r="191">
          <cell r="E191" t="str">
            <v>璞园-一期-14号楼-902</v>
          </cell>
          <cell r="F191" t="str">
            <v>住宅-小高层</v>
          </cell>
          <cell r="G191" t="str">
            <v>A</v>
          </cell>
          <cell r="H191" t="str">
            <v>签约</v>
          </cell>
          <cell r="J191" t="str">
            <v>一般客户</v>
          </cell>
          <cell r="K191">
            <v>109.75</v>
          </cell>
          <cell r="L191">
            <v>87.52</v>
          </cell>
          <cell r="M191">
            <v>0</v>
          </cell>
          <cell r="N191">
            <v>0</v>
          </cell>
        </row>
        <row r="192">
          <cell r="E192" t="str">
            <v>璞园-一期-14号楼-903</v>
          </cell>
          <cell r="F192" t="str">
            <v>住宅-小高层</v>
          </cell>
          <cell r="G192" t="str">
            <v>A</v>
          </cell>
          <cell r="H192" t="str">
            <v>签约</v>
          </cell>
          <cell r="J192" t="str">
            <v>一般客户</v>
          </cell>
          <cell r="K192">
            <v>109.75</v>
          </cell>
          <cell r="L192">
            <v>87.52</v>
          </cell>
          <cell r="M192">
            <v>0</v>
          </cell>
          <cell r="N192">
            <v>0</v>
          </cell>
        </row>
        <row r="193">
          <cell r="E193" t="str">
            <v>璞园-一期-14号楼-904</v>
          </cell>
          <cell r="F193" t="str">
            <v>住宅-小高层</v>
          </cell>
          <cell r="G193" t="str">
            <v>A</v>
          </cell>
          <cell r="H193" t="str">
            <v>签约</v>
          </cell>
          <cell r="J193" t="str">
            <v>一般客户</v>
          </cell>
          <cell r="K193">
            <v>109.75</v>
          </cell>
          <cell r="L193">
            <v>87.52</v>
          </cell>
          <cell r="M193">
            <v>0</v>
          </cell>
          <cell r="N193">
            <v>0</v>
          </cell>
        </row>
        <row r="194">
          <cell r="E194" t="str">
            <v>璞园-一期-1号楼-101</v>
          </cell>
          <cell r="F194" t="str">
            <v>住宅-多层</v>
          </cell>
          <cell r="G194" t="str">
            <v>D</v>
          </cell>
          <cell r="H194" t="str">
            <v>待售</v>
          </cell>
          <cell r="K194">
            <v>142.99</v>
          </cell>
          <cell r="L194">
            <v>110.09</v>
          </cell>
          <cell r="M194">
            <v>0</v>
          </cell>
          <cell r="N194">
            <v>0</v>
          </cell>
        </row>
        <row r="195">
          <cell r="E195" t="str">
            <v>璞园-一期-1号楼-102</v>
          </cell>
          <cell r="F195" t="str">
            <v>住宅-多层</v>
          </cell>
          <cell r="G195" t="str">
            <v>D</v>
          </cell>
          <cell r="H195" t="str">
            <v>待售</v>
          </cell>
          <cell r="K195">
            <v>142.91</v>
          </cell>
          <cell r="L195">
            <v>110.02</v>
          </cell>
          <cell r="M195">
            <v>0</v>
          </cell>
          <cell r="N195">
            <v>0</v>
          </cell>
        </row>
        <row r="196">
          <cell r="E196" t="str">
            <v>璞园-一期-1号楼-103</v>
          </cell>
          <cell r="F196" t="str">
            <v>住宅-多层</v>
          </cell>
          <cell r="G196" t="str">
            <v>D</v>
          </cell>
          <cell r="H196" t="str">
            <v>签约</v>
          </cell>
          <cell r="J196" t="str">
            <v>员工</v>
          </cell>
          <cell r="K196">
            <v>142.91</v>
          </cell>
          <cell r="L196">
            <v>110.02</v>
          </cell>
          <cell r="M196">
            <v>0</v>
          </cell>
          <cell r="N196">
            <v>0</v>
          </cell>
        </row>
        <row r="197">
          <cell r="E197" t="str">
            <v>璞园-一期-1号楼-104</v>
          </cell>
          <cell r="F197" t="str">
            <v>住宅-多层</v>
          </cell>
          <cell r="G197" t="str">
            <v>D</v>
          </cell>
          <cell r="H197" t="str">
            <v>待售</v>
          </cell>
          <cell r="K197">
            <v>142.91</v>
          </cell>
          <cell r="L197">
            <v>110.02</v>
          </cell>
          <cell r="M197">
            <v>0</v>
          </cell>
          <cell r="N197">
            <v>0</v>
          </cell>
        </row>
        <row r="198">
          <cell r="E198" t="str">
            <v>璞园-一期-1号楼-105</v>
          </cell>
          <cell r="F198" t="str">
            <v>住宅-多层</v>
          </cell>
          <cell r="G198" t="str">
            <v>D</v>
          </cell>
          <cell r="H198" t="str">
            <v>待售</v>
          </cell>
          <cell r="K198">
            <v>142.91</v>
          </cell>
          <cell r="L198">
            <v>110.02</v>
          </cell>
          <cell r="M198">
            <v>0</v>
          </cell>
          <cell r="N198">
            <v>0</v>
          </cell>
        </row>
        <row r="199">
          <cell r="E199" t="str">
            <v>璞园-一期-1号楼-106</v>
          </cell>
          <cell r="F199" t="str">
            <v>住宅-多层</v>
          </cell>
          <cell r="G199" t="str">
            <v>D</v>
          </cell>
          <cell r="H199" t="str">
            <v>待售</v>
          </cell>
          <cell r="K199">
            <v>142.99</v>
          </cell>
          <cell r="L199">
            <v>110.09</v>
          </cell>
          <cell r="M199">
            <v>0</v>
          </cell>
          <cell r="N199">
            <v>0</v>
          </cell>
        </row>
        <row r="200">
          <cell r="E200" t="str">
            <v>璞园-一期-1号楼-301</v>
          </cell>
          <cell r="F200" t="str">
            <v>住宅-多层</v>
          </cell>
          <cell r="G200" t="str">
            <v>D</v>
          </cell>
          <cell r="H200" t="str">
            <v>待售</v>
          </cell>
          <cell r="K200">
            <v>146.53</v>
          </cell>
          <cell r="L200">
            <v>112.82</v>
          </cell>
          <cell r="M200">
            <v>0</v>
          </cell>
          <cell r="N200">
            <v>0</v>
          </cell>
        </row>
        <row r="201">
          <cell r="E201" t="str">
            <v>璞园-一期-1号楼-302</v>
          </cell>
          <cell r="F201" t="str">
            <v>住宅-多层</v>
          </cell>
          <cell r="G201" t="str">
            <v>D</v>
          </cell>
          <cell r="H201" t="str">
            <v>待售</v>
          </cell>
          <cell r="K201">
            <v>146.37</v>
          </cell>
          <cell r="L201">
            <v>112.69</v>
          </cell>
          <cell r="M201">
            <v>0</v>
          </cell>
          <cell r="N201">
            <v>0</v>
          </cell>
        </row>
        <row r="202">
          <cell r="E202" t="str">
            <v>璞园-一期-1号楼-303</v>
          </cell>
          <cell r="F202" t="str">
            <v>住宅-多层</v>
          </cell>
          <cell r="G202" t="str">
            <v>D</v>
          </cell>
          <cell r="H202" t="str">
            <v>待售</v>
          </cell>
          <cell r="K202">
            <v>146.37</v>
          </cell>
          <cell r="L202">
            <v>112.69</v>
          </cell>
          <cell r="M202">
            <v>0</v>
          </cell>
          <cell r="N202">
            <v>0</v>
          </cell>
        </row>
        <row r="203">
          <cell r="E203" t="str">
            <v>璞园-一期-1号楼-304</v>
          </cell>
          <cell r="F203" t="str">
            <v>住宅-多层</v>
          </cell>
          <cell r="G203" t="str">
            <v>D</v>
          </cell>
          <cell r="H203" t="str">
            <v>待售</v>
          </cell>
          <cell r="K203">
            <v>146.37</v>
          </cell>
          <cell r="L203">
            <v>112.69</v>
          </cell>
          <cell r="M203">
            <v>0</v>
          </cell>
          <cell r="N203">
            <v>0</v>
          </cell>
        </row>
        <row r="204">
          <cell r="E204" t="str">
            <v>璞园-一期-1号楼-305</v>
          </cell>
          <cell r="F204" t="str">
            <v>住宅-多层</v>
          </cell>
          <cell r="G204" t="str">
            <v>D</v>
          </cell>
          <cell r="H204" t="str">
            <v>签约</v>
          </cell>
          <cell r="J204" t="str">
            <v>工抵房</v>
          </cell>
          <cell r="K204">
            <v>146.37</v>
          </cell>
          <cell r="L204">
            <v>112.69</v>
          </cell>
          <cell r="M204">
            <v>0</v>
          </cell>
          <cell r="N204">
            <v>0</v>
          </cell>
        </row>
        <row r="205">
          <cell r="E205" t="str">
            <v>璞园-一期-1号楼-306</v>
          </cell>
          <cell r="F205" t="str">
            <v>住宅-多层</v>
          </cell>
          <cell r="G205" t="str">
            <v>D</v>
          </cell>
          <cell r="H205" t="str">
            <v>待售</v>
          </cell>
          <cell r="K205">
            <v>146.53</v>
          </cell>
          <cell r="L205">
            <v>112.82</v>
          </cell>
          <cell r="M205">
            <v>0</v>
          </cell>
          <cell r="N205">
            <v>0</v>
          </cell>
        </row>
        <row r="206">
          <cell r="E206" t="str">
            <v>璞园-一期-1号楼-501</v>
          </cell>
          <cell r="F206" t="str">
            <v>住宅-多层</v>
          </cell>
          <cell r="G206" t="str">
            <v>D</v>
          </cell>
          <cell r="H206" t="str">
            <v>待售</v>
          </cell>
          <cell r="K206">
            <v>140.32</v>
          </cell>
          <cell r="L206">
            <v>108.03</v>
          </cell>
          <cell r="M206">
            <v>0</v>
          </cell>
          <cell r="N206">
            <v>0</v>
          </cell>
        </row>
        <row r="207">
          <cell r="E207" t="str">
            <v>璞园-一期-1号楼-502</v>
          </cell>
          <cell r="F207" t="str">
            <v>住宅-多层</v>
          </cell>
          <cell r="G207" t="str">
            <v>D</v>
          </cell>
          <cell r="H207" t="str">
            <v>待售</v>
          </cell>
          <cell r="K207">
            <v>140.15</v>
          </cell>
          <cell r="L207">
            <v>107.91</v>
          </cell>
          <cell r="M207">
            <v>0</v>
          </cell>
          <cell r="N207">
            <v>0</v>
          </cell>
        </row>
        <row r="208">
          <cell r="E208" t="str">
            <v>璞园-一期-1号楼-503</v>
          </cell>
          <cell r="F208" t="str">
            <v>住宅-多层</v>
          </cell>
          <cell r="G208" t="str">
            <v>D</v>
          </cell>
          <cell r="H208" t="str">
            <v>签约</v>
          </cell>
          <cell r="J208" t="str">
            <v>工抵房</v>
          </cell>
          <cell r="K208">
            <v>140.15</v>
          </cell>
          <cell r="L208">
            <v>107.91</v>
          </cell>
          <cell r="M208">
            <v>0</v>
          </cell>
          <cell r="N208">
            <v>0</v>
          </cell>
        </row>
        <row r="209">
          <cell r="E209" t="str">
            <v>璞园-一期-1号楼-504</v>
          </cell>
          <cell r="F209" t="str">
            <v>住宅-多层</v>
          </cell>
          <cell r="G209" t="str">
            <v>D</v>
          </cell>
          <cell r="H209" t="str">
            <v>签约</v>
          </cell>
          <cell r="J209" t="str">
            <v>工抵房</v>
          </cell>
          <cell r="K209">
            <v>140.15</v>
          </cell>
          <cell r="L209">
            <v>107.91</v>
          </cell>
          <cell r="M209">
            <v>0</v>
          </cell>
          <cell r="N209">
            <v>0</v>
          </cell>
        </row>
        <row r="210">
          <cell r="E210" t="str">
            <v>璞园-一期-1号楼-505</v>
          </cell>
          <cell r="F210" t="str">
            <v>住宅-多层</v>
          </cell>
          <cell r="G210" t="str">
            <v>D</v>
          </cell>
          <cell r="H210" t="str">
            <v>签约</v>
          </cell>
          <cell r="J210" t="str">
            <v>工抵房</v>
          </cell>
          <cell r="K210">
            <v>140.15</v>
          </cell>
          <cell r="L210">
            <v>107.91</v>
          </cell>
          <cell r="M210">
            <v>0</v>
          </cell>
          <cell r="N210">
            <v>0</v>
          </cell>
        </row>
        <row r="211">
          <cell r="E211" t="str">
            <v>璞园-一期-1号楼-506</v>
          </cell>
          <cell r="F211" t="str">
            <v>住宅-多层</v>
          </cell>
          <cell r="G211" t="str">
            <v>D</v>
          </cell>
          <cell r="H211" t="str">
            <v>待售</v>
          </cell>
          <cell r="K211">
            <v>140.32</v>
          </cell>
          <cell r="L211">
            <v>108.03</v>
          </cell>
          <cell r="M211">
            <v>0</v>
          </cell>
          <cell r="N211">
            <v>0</v>
          </cell>
        </row>
        <row r="212">
          <cell r="E212" t="str">
            <v>璞园-一期-1号楼-储藏室01</v>
          </cell>
          <cell r="F212" t="str">
            <v>住宅-多层</v>
          </cell>
          <cell r="G212" t="str">
            <v>储藏室</v>
          </cell>
          <cell r="H212" t="str">
            <v>待售</v>
          </cell>
          <cell r="K212">
            <v>93.18</v>
          </cell>
          <cell r="L212">
            <v>62.02</v>
          </cell>
          <cell r="M212">
            <v>0</v>
          </cell>
          <cell r="N212">
            <v>0</v>
          </cell>
        </row>
        <row r="213">
          <cell r="E213" t="str">
            <v>璞园-一期-1号楼-储藏室02</v>
          </cell>
          <cell r="F213" t="str">
            <v>住宅-多层</v>
          </cell>
          <cell r="G213" t="str">
            <v>储藏室</v>
          </cell>
          <cell r="H213" t="str">
            <v>待售</v>
          </cell>
          <cell r="K213">
            <v>92.37</v>
          </cell>
          <cell r="L213">
            <v>61.47</v>
          </cell>
          <cell r="M213">
            <v>0</v>
          </cell>
          <cell r="N213">
            <v>0</v>
          </cell>
        </row>
        <row r="214">
          <cell r="E214" t="str">
            <v>璞园-一期-1号楼-储藏室03</v>
          </cell>
          <cell r="F214" t="str">
            <v>住宅-多层</v>
          </cell>
          <cell r="G214" t="str">
            <v>储藏室</v>
          </cell>
          <cell r="H214" t="str">
            <v>签约</v>
          </cell>
          <cell r="J214" t="str">
            <v>员工</v>
          </cell>
          <cell r="K214">
            <v>92.37</v>
          </cell>
          <cell r="L214">
            <v>61.47</v>
          </cell>
          <cell r="M214">
            <v>0</v>
          </cell>
          <cell r="N214">
            <v>0</v>
          </cell>
        </row>
        <row r="215">
          <cell r="E215" t="str">
            <v>璞园-一期-1号楼-储藏室04</v>
          </cell>
          <cell r="F215" t="str">
            <v>住宅-多层</v>
          </cell>
          <cell r="G215" t="str">
            <v>储藏室</v>
          </cell>
          <cell r="H215" t="str">
            <v>待售</v>
          </cell>
          <cell r="K215">
            <v>92.37</v>
          </cell>
          <cell r="L215">
            <v>61.47</v>
          </cell>
          <cell r="M215">
            <v>0</v>
          </cell>
          <cell r="N215">
            <v>0</v>
          </cell>
        </row>
        <row r="216">
          <cell r="E216" t="str">
            <v>璞园-一期-1号楼-储藏室05</v>
          </cell>
          <cell r="F216" t="str">
            <v>住宅-多层</v>
          </cell>
          <cell r="G216" t="str">
            <v>储藏室</v>
          </cell>
          <cell r="H216" t="str">
            <v>待售</v>
          </cell>
          <cell r="K216">
            <v>92.37</v>
          </cell>
          <cell r="L216">
            <v>61.47</v>
          </cell>
          <cell r="M216">
            <v>0</v>
          </cell>
          <cell r="N216">
            <v>0</v>
          </cell>
        </row>
        <row r="217">
          <cell r="E217" t="str">
            <v>璞园-一期-1号楼-储藏室06</v>
          </cell>
          <cell r="F217" t="str">
            <v>住宅-多层</v>
          </cell>
          <cell r="G217" t="str">
            <v>储藏室</v>
          </cell>
          <cell r="H217" t="str">
            <v>待售</v>
          </cell>
          <cell r="K217">
            <v>92.9</v>
          </cell>
          <cell r="L217">
            <v>61.83</v>
          </cell>
          <cell r="M217">
            <v>0</v>
          </cell>
          <cell r="N217">
            <v>0</v>
          </cell>
        </row>
        <row r="218">
          <cell r="E218" t="str">
            <v>璞园-一期-2号楼-101</v>
          </cell>
          <cell r="F218" t="str">
            <v>住宅-多层</v>
          </cell>
          <cell r="G218" t="str">
            <v>D</v>
          </cell>
          <cell r="H218" t="str">
            <v>待售</v>
          </cell>
          <cell r="K218">
            <v>142.99</v>
          </cell>
          <cell r="L218">
            <v>110.09</v>
          </cell>
          <cell r="M218">
            <v>0</v>
          </cell>
          <cell r="N218">
            <v>0</v>
          </cell>
        </row>
        <row r="219">
          <cell r="E219" t="str">
            <v>璞园-一期-2号楼-102</v>
          </cell>
          <cell r="F219" t="str">
            <v>住宅-多层</v>
          </cell>
          <cell r="G219" t="str">
            <v>D</v>
          </cell>
          <cell r="H219" t="str">
            <v>待售</v>
          </cell>
          <cell r="K219">
            <v>142.91</v>
          </cell>
          <cell r="L219">
            <v>110.02</v>
          </cell>
          <cell r="M219">
            <v>0</v>
          </cell>
          <cell r="N219">
            <v>0</v>
          </cell>
        </row>
        <row r="220">
          <cell r="E220" t="str">
            <v>璞园-一期-2号楼-103</v>
          </cell>
          <cell r="F220" t="str">
            <v>住宅-多层</v>
          </cell>
          <cell r="G220" t="str">
            <v>D</v>
          </cell>
          <cell r="H220" t="str">
            <v>待售</v>
          </cell>
          <cell r="K220">
            <v>142.91</v>
          </cell>
          <cell r="L220">
            <v>110.02</v>
          </cell>
          <cell r="M220">
            <v>0</v>
          </cell>
          <cell r="N220">
            <v>0</v>
          </cell>
        </row>
        <row r="221">
          <cell r="E221" t="str">
            <v>璞园-一期-2号楼-104</v>
          </cell>
          <cell r="F221" t="str">
            <v>住宅-多层</v>
          </cell>
          <cell r="G221" t="str">
            <v>D</v>
          </cell>
          <cell r="H221" t="str">
            <v>待售</v>
          </cell>
          <cell r="K221">
            <v>142.91</v>
          </cell>
          <cell r="L221">
            <v>110.02</v>
          </cell>
          <cell r="M221">
            <v>0</v>
          </cell>
          <cell r="N221">
            <v>0</v>
          </cell>
        </row>
        <row r="222">
          <cell r="E222" t="str">
            <v>璞园-一期-2号楼-105</v>
          </cell>
          <cell r="F222" t="str">
            <v>住宅-多层</v>
          </cell>
          <cell r="G222" t="str">
            <v>D</v>
          </cell>
          <cell r="H222" t="str">
            <v>待售</v>
          </cell>
          <cell r="K222">
            <v>142.91</v>
          </cell>
          <cell r="L222">
            <v>110.02</v>
          </cell>
          <cell r="M222">
            <v>0</v>
          </cell>
          <cell r="N222">
            <v>0</v>
          </cell>
        </row>
        <row r="223">
          <cell r="E223" t="str">
            <v>璞园-一期-2号楼-106</v>
          </cell>
          <cell r="F223" t="str">
            <v>住宅-多层</v>
          </cell>
          <cell r="G223" t="str">
            <v>D</v>
          </cell>
          <cell r="H223" t="str">
            <v>待售</v>
          </cell>
          <cell r="K223">
            <v>142.99</v>
          </cell>
          <cell r="L223">
            <v>110.09</v>
          </cell>
          <cell r="M223">
            <v>0</v>
          </cell>
          <cell r="N223">
            <v>0</v>
          </cell>
        </row>
        <row r="224">
          <cell r="E224" t="str">
            <v>璞园-一期-2号楼-301</v>
          </cell>
          <cell r="F224" t="str">
            <v>住宅-多层</v>
          </cell>
          <cell r="G224" t="str">
            <v>D</v>
          </cell>
          <cell r="H224" t="str">
            <v>待售</v>
          </cell>
          <cell r="K224">
            <v>146.53</v>
          </cell>
          <cell r="L224">
            <v>112.82</v>
          </cell>
          <cell r="M224">
            <v>0</v>
          </cell>
          <cell r="N224">
            <v>0</v>
          </cell>
        </row>
        <row r="225">
          <cell r="E225" t="str">
            <v>璞园-一期-2号楼-302</v>
          </cell>
          <cell r="F225" t="str">
            <v>住宅-多层</v>
          </cell>
          <cell r="G225" t="str">
            <v>D</v>
          </cell>
          <cell r="H225" t="str">
            <v>签约</v>
          </cell>
          <cell r="J225" t="str">
            <v>工抵房</v>
          </cell>
          <cell r="K225">
            <v>146.37</v>
          </cell>
          <cell r="L225">
            <v>112.69</v>
          </cell>
          <cell r="M225">
            <v>0</v>
          </cell>
          <cell r="N225">
            <v>0</v>
          </cell>
        </row>
        <row r="226">
          <cell r="E226" t="str">
            <v>璞园-一期-2号楼-303</v>
          </cell>
          <cell r="F226" t="str">
            <v>住宅-多层</v>
          </cell>
          <cell r="G226" t="str">
            <v>D</v>
          </cell>
          <cell r="H226" t="str">
            <v>待售</v>
          </cell>
          <cell r="K226">
            <v>146.37</v>
          </cell>
          <cell r="L226">
            <v>112.69</v>
          </cell>
          <cell r="M226">
            <v>0</v>
          </cell>
          <cell r="N226">
            <v>0</v>
          </cell>
        </row>
        <row r="227">
          <cell r="E227" t="str">
            <v>璞园-一期-2号楼-304</v>
          </cell>
          <cell r="F227" t="str">
            <v>住宅-多层</v>
          </cell>
          <cell r="G227" t="str">
            <v>D</v>
          </cell>
          <cell r="H227" t="str">
            <v>签约</v>
          </cell>
          <cell r="J227" t="str">
            <v>一般客户</v>
          </cell>
          <cell r="K227">
            <v>146.37</v>
          </cell>
          <cell r="L227">
            <v>112.69</v>
          </cell>
          <cell r="M227">
            <v>0</v>
          </cell>
          <cell r="N227">
            <v>0</v>
          </cell>
        </row>
        <row r="228">
          <cell r="E228" t="str">
            <v>璞园-一期-2号楼-305</v>
          </cell>
          <cell r="F228" t="str">
            <v>住宅-多层</v>
          </cell>
          <cell r="G228" t="str">
            <v>D</v>
          </cell>
          <cell r="H228" t="str">
            <v>待售</v>
          </cell>
          <cell r="K228">
            <v>146.37</v>
          </cell>
          <cell r="L228">
            <v>112.69</v>
          </cell>
          <cell r="M228">
            <v>0</v>
          </cell>
          <cell r="N228">
            <v>0</v>
          </cell>
        </row>
        <row r="229">
          <cell r="E229" t="str">
            <v>璞园-一期-2号楼-306</v>
          </cell>
          <cell r="F229" t="str">
            <v>住宅-多层</v>
          </cell>
          <cell r="G229" t="str">
            <v>D</v>
          </cell>
          <cell r="H229" t="str">
            <v>待售</v>
          </cell>
          <cell r="K229">
            <v>146.53</v>
          </cell>
          <cell r="L229">
            <v>112.82</v>
          </cell>
          <cell r="M229">
            <v>0</v>
          </cell>
          <cell r="N229">
            <v>0</v>
          </cell>
        </row>
        <row r="230">
          <cell r="E230" t="str">
            <v>璞园-一期-2号楼-501</v>
          </cell>
          <cell r="F230" t="str">
            <v>住宅-多层</v>
          </cell>
          <cell r="G230" t="str">
            <v>D</v>
          </cell>
          <cell r="H230" t="str">
            <v>待售</v>
          </cell>
          <cell r="K230">
            <v>140.32</v>
          </cell>
          <cell r="L230">
            <v>108.03</v>
          </cell>
          <cell r="M230">
            <v>0</v>
          </cell>
          <cell r="N230">
            <v>0</v>
          </cell>
        </row>
        <row r="231">
          <cell r="E231" t="str">
            <v>璞园-一期-2号楼-502</v>
          </cell>
          <cell r="F231" t="str">
            <v>住宅-多层</v>
          </cell>
          <cell r="G231" t="str">
            <v>D</v>
          </cell>
          <cell r="H231" t="str">
            <v>待售</v>
          </cell>
          <cell r="K231">
            <v>140.15</v>
          </cell>
          <cell r="L231">
            <v>107.91</v>
          </cell>
          <cell r="M231">
            <v>0</v>
          </cell>
          <cell r="N231">
            <v>0</v>
          </cell>
        </row>
        <row r="232">
          <cell r="E232" t="str">
            <v>璞园-一期-2号楼-503</v>
          </cell>
          <cell r="F232" t="str">
            <v>住宅-多层</v>
          </cell>
          <cell r="G232" t="str">
            <v>D</v>
          </cell>
          <cell r="H232" t="str">
            <v>签约</v>
          </cell>
          <cell r="J232" t="str">
            <v>工抵房</v>
          </cell>
          <cell r="K232">
            <v>140.15</v>
          </cell>
          <cell r="L232">
            <v>107.91</v>
          </cell>
          <cell r="M232">
            <v>0</v>
          </cell>
          <cell r="N232">
            <v>0</v>
          </cell>
        </row>
        <row r="233">
          <cell r="E233" t="str">
            <v>璞园-一期-2号楼-504</v>
          </cell>
          <cell r="F233" t="str">
            <v>住宅-多层</v>
          </cell>
          <cell r="G233" t="str">
            <v>D</v>
          </cell>
          <cell r="H233" t="str">
            <v>签约</v>
          </cell>
          <cell r="J233" t="str">
            <v>一般客户</v>
          </cell>
          <cell r="K233">
            <v>140.15</v>
          </cell>
          <cell r="L233">
            <v>107.91</v>
          </cell>
          <cell r="M233">
            <v>0</v>
          </cell>
          <cell r="N233">
            <v>0</v>
          </cell>
        </row>
        <row r="234">
          <cell r="E234" t="str">
            <v>璞园-一期-2号楼-505</v>
          </cell>
          <cell r="F234" t="str">
            <v>住宅-多层</v>
          </cell>
          <cell r="G234" t="str">
            <v>D</v>
          </cell>
          <cell r="H234" t="str">
            <v>待售</v>
          </cell>
          <cell r="K234">
            <v>140.15</v>
          </cell>
          <cell r="L234">
            <v>107.91</v>
          </cell>
          <cell r="M234">
            <v>0</v>
          </cell>
          <cell r="N234">
            <v>0</v>
          </cell>
        </row>
        <row r="235">
          <cell r="E235" t="str">
            <v>璞园-一期-2号楼-506</v>
          </cell>
          <cell r="F235" t="str">
            <v>住宅-多层</v>
          </cell>
          <cell r="G235" t="str">
            <v>D</v>
          </cell>
          <cell r="H235" t="str">
            <v>签约</v>
          </cell>
          <cell r="J235" t="str">
            <v>一般客户</v>
          </cell>
          <cell r="K235">
            <v>140.32</v>
          </cell>
          <cell r="L235">
            <v>108.03</v>
          </cell>
          <cell r="M235">
            <v>0</v>
          </cell>
          <cell r="N235">
            <v>0</v>
          </cell>
        </row>
        <row r="236">
          <cell r="E236" t="str">
            <v>璞园-一期-2号楼-储藏室01</v>
          </cell>
          <cell r="F236" t="str">
            <v>住宅-多层</v>
          </cell>
          <cell r="G236" t="str">
            <v>储藏室</v>
          </cell>
          <cell r="H236" t="str">
            <v>待售</v>
          </cell>
          <cell r="K236">
            <v>89.24</v>
          </cell>
          <cell r="L236">
            <v>61.98</v>
          </cell>
          <cell r="M236">
            <v>0</v>
          </cell>
          <cell r="N236">
            <v>0</v>
          </cell>
        </row>
        <row r="237">
          <cell r="E237" t="str">
            <v>璞园-一期-2号楼-储藏室02</v>
          </cell>
          <cell r="F237" t="str">
            <v>住宅-多层</v>
          </cell>
          <cell r="G237" t="str">
            <v>储藏室</v>
          </cell>
          <cell r="H237" t="str">
            <v>待售</v>
          </cell>
          <cell r="K237">
            <v>88.01</v>
          </cell>
          <cell r="L237">
            <v>61.13</v>
          </cell>
          <cell r="M237">
            <v>0</v>
          </cell>
          <cell r="N237">
            <v>0</v>
          </cell>
        </row>
        <row r="238">
          <cell r="E238" t="str">
            <v>璞园-一期-2号楼-储藏室03</v>
          </cell>
          <cell r="F238" t="str">
            <v>住宅-多层</v>
          </cell>
          <cell r="G238" t="str">
            <v>储藏室</v>
          </cell>
          <cell r="H238" t="str">
            <v>待售</v>
          </cell>
          <cell r="K238">
            <v>103.26</v>
          </cell>
          <cell r="L238">
            <v>71.72</v>
          </cell>
          <cell r="M238">
            <v>0</v>
          </cell>
          <cell r="N238">
            <v>0</v>
          </cell>
        </row>
        <row r="239">
          <cell r="E239" t="str">
            <v>璞园-一期-2号楼-储藏室04</v>
          </cell>
          <cell r="F239" t="str">
            <v>住宅-多层</v>
          </cell>
          <cell r="G239" t="str">
            <v>储藏室</v>
          </cell>
          <cell r="H239" t="str">
            <v>待售</v>
          </cell>
          <cell r="K239">
            <v>103.26</v>
          </cell>
          <cell r="L239">
            <v>71.72</v>
          </cell>
          <cell r="M239">
            <v>0</v>
          </cell>
          <cell r="N239">
            <v>0</v>
          </cell>
        </row>
        <row r="240">
          <cell r="E240" t="str">
            <v>璞园-一期-2号楼-储藏室05</v>
          </cell>
          <cell r="F240" t="str">
            <v>住宅-多层</v>
          </cell>
          <cell r="G240" t="str">
            <v>储藏室</v>
          </cell>
          <cell r="H240" t="str">
            <v>待售</v>
          </cell>
          <cell r="K240">
            <v>103.26</v>
          </cell>
          <cell r="L240">
            <v>71.72</v>
          </cell>
          <cell r="M240">
            <v>0</v>
          </cell>
          <cell r="N240">
            <v>0</v>
          </cell>
        </row>
        <row r="241">
          <cell r="E241" t="str">
            <v>璞园-一期-2号楼-储藏室06</v>
          </cell>
          <cell r="F241" t="str">
            <v>住宅-多层</v>
          </cell>
          <cell r="G241" t="str">
            <v>储藏室</v>
          </cell>
          <cell r="H241" t="str">
            <v>待售</v>
          </cell>
          <cell r="K241">
            <v>103.42</v>
          </cell>
          <cell r="L241">
            <v>71.83</v>
          </cell>
          <cell r="M241">
            <v>0</v>
          </cell>
          <cell r="N241">
            <v>0</v>
          </cell>
        </row>
        <row r="242">
          <cell r="E242" t="str">
            <v>璞园-一期-3号楼-101</v>
          </cell>
          <cell r="F242" t="str">
            <v>住宅-多层</v>
          </cell>
          <cell r="G242" t="str">
            <v>C</v>
          </cell>
          <cell r="H242" t="str">
            <v>签约</v>
          </cell>
          <cell r="J242" t="str">
            <v>一般客户</v>
          </cell>
          <cell r="K242">
            <v>142.22</v>
          </cell>
          <cell r="L242">
            <v>116.72</v>
          </cell>
          <cell r="M242">
            <v>0</v>
          </cell>
          <cell r="N242">
            <v>0</v>
          </cell>
        </row>
        <row r="243">
          <cell r="E243" t="str">
            <v>璞园-一期-3号楼-102</v>
          </cell>
          <cell r="F243" t="str">
            <v>住宅-多层</v>
          </cell>
          <cell r="G243" t="str">
            <v>C</v>
          </cell>
          <cell r="H243" t="str">
            <v>签约</v>
          </cell>
          <cell r="J243" t="str">
            <v>一般客户</v>
          </cell>
          <cell r="K243">
            <v>142.22</v>
          </cell>
          <cell r="L243">
            <v>116.72</v>
          </cell>
          <cell r="M243">
            <v>0</v>
          </cell>
          <cell r="N243">
            <v>0</v>
          </cell>
        </row>
        <row r="244">
          <cell r="E244" t="str">
            <v>璞园-一期-3号楼-103</v>
          </cell>
          <cell r="F244" t="str">
            <v>住宅-多层</v>
          </cell>
          <cell r="G244" t="str">
            <v>C</v>
          </cell>
          <cell r="H244" t="str">
            <v>签约</v>
          </cell>
          <cell r="J244" t="str">
            <v>一般客户</v>
          </cell>
          <cell r="K244">
            <v>142.22</v>
          </cell>
          <cell r="L244">
            <v>116.72</v>
          </cell>
          <cell r="M244">
            <v>0</v>
          </cell>
          <cell r="N244">
            <v>0</v>
          </cell>
        </row>
        <row r="245">
          <cell r="E245" t="str">
            <v>璞园-一期-3号楼-104</v>
          </cell>
          <cell r="F245" t="str">
            <v>住宅-多层</v>
          </cell>
          <cell r="G245" t="str">
            <v>C</v>
          </cell>
          <cell r="H245" t="str">
            <v>签约</v>
          </cell>
          <cell r="J245" t="str">
            <v>一般客户</v>
          </cell>
          <cell r="K245">
            <v>142.22</v>
          </cell>
          <cell r="L245">
            <v>116.72</v>
          </cell>
          <cell r="M245">
            <v>0</v>
          </cell>
          <cell r="N245">
            <v>0</v>
          </cell>
        </row>
        <row r="246">
          <cell r="E246" t="str">
            <v>璞园-一期-3号楼-301</v>
          </cell>
          <cell r="F246" t="str">
            <v>住宅-多层</v>
          </cell>
          <cell r="G246" t="str">
            <v>C</v>
          </cell>
          <cell r="H246" t="str">
            <v>签约</v>
          </cell>
          <cell r="J246" t="str">
            <v>一般客户</v>
          </cell>
          <cell r="K246">
            <v>145.61000000000001</v>
          </cell>
          <cell r="L246">
            <v>119.5</v>
          </cell>
          <cell r="M246">
            <v>0</v>
          </cell>
          <cell r="N246">
            <v>0</v>
          </cell>
        </row>
        <row r="247">
          <cell r="E247" t="str">
            <v>璞园-一期-3号楼-302</v>
          </cell>
          <cell r="F247" t="str">
            <v>住宅-多层</v>
          </cell>
          <cell r="G247" t="str">
            <v>C</v>
          </cell>
          <cell r="H247" t="str">
            <v>签约</v>
          </cell>
          <cell r="J247" t="str">
            <v>一般客户</v>
          </cell>
          <cell r="K247">
            <v>145.61000000000001</v>
          </cell>
          <cell r="L247">
            <v>119.5</v>
          </cell>
          <cell r="M247">
            <v>0</v>
          </cell>
          <cell r="N247">
            <v>0</v>
          </cell>
        </row>
        <row r="248">
          <cell r="E248" t="str">
            <v>璞园-一期-3号楼-303</v>
          </cell>
          <cell r="F248" t="str">
            <v>住宅-多层</v>
          </cell>
          <cell r="G248" t="str">
            <v>C</v>
          </cell>
          <cell r="H248" t="str">
            <v>签约</v>
          </cell>
          <cell r="J248" t="str">
            <v>一般客户</v>
          </cell>
          <cell r="K248">
            <v>145.61000000000001</v>
          </cell>
          <cell r="L248">
            <v>119.5</v>
          </cell>
          <cell r="M248">
            <v>0</v>
          </cell>
          <cell r="N248">
            <v>0</v>
          </cell>
        </row>
        <row r="249">
          <cell r="E249" t="str">
            <v>璞园-一期-3号楼-304</v>
          </cell>
          <cell r="F249" t="str">
            <v>住宅-多层</v>
          </cell>
          <cell r="G249" t="str">
            <v>C</v>
          </cell>
          <cell r="H249" t="str">
            <v>签约</v>
          </cell>
          <cell r="J249" t="str">
            <v>一般客户</v>
          </cell>
          <cell r="K249">
            <v>145.61000000000001</v>
          </cell>
          <cell r="L249">
            <v>119.5</v>
          </cell>
          <cell r="M249">
            <v>0</v>
          </cell>
          <cell r="N249">
            <v>0</v>
          </cell>
        </row>
        <row r="250">
          <cell r="E250" t="str">
            <v>璞园-一期-3号楼-501</v>
          </cell>
          <cell r="F250" t="str">
            <v>住宅-多层</v>
          </cell>
          <cell r="G250" t="str">
            <v>C</v>
          </cell>
          <cell r="H250" t="str">
            <v>签约</v>
          </cell>
          <cell r="J250" t="str">
            <v>一般客户</v>
          </cell>
          <cell r="K250">
            <v>145.61000000000001</v>
          </cell>
          <cell r="L250">
            <v>119.5</v>
          </cell>
          <cell r="M250">
            <v>0</v>
          </cell>
          <cell r="N250">
            <v>0</v>
          </cell>
        </row>
        <row r="251">
          <cell r="E251" t="str">
            <v>璞园-一期-3号楼-502</v>
          </cell>
          <cell r="F251" t="str">
            <v>住宅-多层</v>
          </cell>
          <cell r="G251" t="str">
            <v>C</v>
          </cell>
          <cell r="H251" t="str">
            <v>签约</v>
          </cell>
          <cell r="J251" t="str">
            <v>一般客户</v>
          </cell>
          <cell r="K251">
            <v>145.61000000000001</v>
          </cell>
          <cell r="L251">
            <v>119.5</v>
          </cell>
          <cell r="M251">
            <v>0</v>
          </cell>
          <cell r="N251">
            <v>0</v>
          </cell>
        </row>
        <row r="252">
          <cell r="E252" t="str">
            <v>璞园-一期-3号楼-503</v>
          </cell>
          <cell r="F252" t="str">
            <v>住宅-多层</v>
          </cell>
          <cell r="G252" t="str">
            <v>C</v>
          </cell>
          <cell r="H252" t="str">
            <v>签约</v>
          </cell>
          <cell r="J252" t="str">
            <v>一般客户</v>
          </cell>
          <cell r="K252">
            <v>145.61000000000001</v>
          </cell>
          <cell r="L252">
            <v>119.5</v>
          </cell>
          <cell r="M252">
            <v>0</v>
          </cell>
          <cell r="N252">
            <v>0</v>
          </cell>
        </row>
        <row r="253">
          <cell r="E253" t="str">
            <v>璞园-一期-3号楼-504</v>
          </cell>
          <cell r="F253" t="str">
            <v>住宅-多层</v>
          </cell>
          <cell r="G253" t="str">
            <v>C</v>
          </cell>
          <cell r="H253" t="str">
            <v>签约</v>
          </cell>
          <cell r="J253" t="str">
            <v>一般客户</v>
          </cell>
          <cell r="K253">
            <v>145.61000000000001</v>
          </cell>
          <cell r="L253">
            <v>119.5</v>
          </cell>
          <cell r="M253">
            <v>0</v>
          </cell>
          <cell r="N253">
            <v>0</v>
          </cell>
        </row>
        <row r="254">
          <cell r="E254" t="str">
            <v>璞园-一期-3号楼-储藏室01</v>
          </cell>
          <cell r="F254" t="str">
            <v>住宅-多层</v>
          </cell>
          <cell r="G254" t="str">
            <v>储藏室</v>
          </cell>
          <cell r="H254" t="str">
            <v>签约</v>
          </cell>
          <cell r="J254" t="str">
            <v>一般客户</v>
          </cell>
          <cell r="K254">
            <v>93.52</v>
          </cell>
          <cell r="L254">
            <v>73.47</v>
          </cell>
          <cell r="M254">
            <v>0</v>
          </cell>
          <cell r="N254">
            <v>0</v>
          </cell>
        </row>
        <row r="255">
          <cell r="E255" t="str">
            <v>璞园-一期-3号楼-储藏室02</v>
          </cell>
          <cell r="F255" t="str">
            <v>住宅-多层</v>
          </cell>
          <cell r="G255" t="str">
            <v>储藏室</v>
          </cell>
          <cell r="H255" t="str">
            <v>签约</v>
          </cell>
          <cell r="J255" t="str">
            <v>一般客户</v>
          </cell>
          <cell r="K255">
            <v>92.68</v>
          </cell>
          <cell r="L255">
            <v>72.8</v>
          </cell>
          <cell r="M255">
            <v>0</v>
          </cell>
          <cell r="N255">
            <v>0</v>
          </cell>
        </row>
        <row r="256">
          <cell r="E256" t="str">
            <v>璞园-一期-3号楼-储藏室03</v>
          </cell>
          <cell r="F256" t="str">
            <v>住宅-多层</v>
          </cell>
          <cell r="G256" t="str">
            <v>储藏室</v>
          </cell>
          <cell r="H256" t="str">
            <v>签约</v>
          </cell>
          <cell r="J256" t="str">
            <v>一般客户</v>
          </cell>
          <cell r="K256">
            <v>92.69</v>
          </cell>
          <cell r="L256">
            <v>72.81</v>
          </cell>
          <cell r="M256">
            <v>0</v>
          </cell>
          <cell r="N256">
            <v>0</v>
          </cell>
        </row>
        <row r="257">
          <cell r="E257" t="str">
            <v>璞园-一期-3号楼-储藏室04</v>
          </cell>
          <cell r="F257" t="str">
            <v>住宅-多层</v>
          </cell>
          <cell r="G257" t="str">
            <v>储藏室</v>
          </cell>
          <cell r="H257" t="str">
            <v>签约</v>
          </cell>
          <cell r="J257" t="str">
            <v>一般客户</v>
          </cell>
          <cell r="K257">
            <v>92.85</v>
          </cell>
          <cell r="L257">
            <v>72.94</v>
          </cell>
          <cell r="M257">
            <v>0</v>
          </cell>
          <cell r="N257">
            <v>0</v>
          </cell>
        </row>
        <row r="258">
          <cell r="E258" t="str">
            <v>璞园-一期-4号楼-101</v>
          </cell>
          <cell r="F258" t="str">
            <v>住宅-多层</v>
          </cell>
          <cell r="G258" t="str">
            <v>D</v>
          </cell>
          <cell r="H258" t="str">
            <v>待售</v>
          </cell>
          <cell r="K258">
            <v>142.69</v>
          </cell>
          <cell r="L258">
            <v>110.09</v>
          </cell>
          <cell r="M258">
            <v>0</v>
          </cell>
          <cell r="N258">
            <v>0</v>
          </cell>
        </row>
        <row r="259">
          <cell r="E259" t="str">
            <v>璞园-一期-4号楼-102</v>
          </cell>
          <cell r="F259" t="str">
            <v>住宅-多层</v>
          </cell>
          <cell r="G259" t="str">
            <v>D</v>
          </cell>
          <cell r="H259" t="str">
            <v>待售</v>
          </cell>
          <cell r="K259">
            <v>142.61000000000001</v>
          </cell>
          <cell r="L259">
            <v>110.02</v>
          </cell>
          <cell r="M259">
            <v>0</v>
          </cell>
          <cell r="N259">
            <v>0</v>
          </cell>
        </row>
        <row r="260">
          <cell r="E260" t="str">
            <v>璞园-一期-4号楼-103</v>
          </cell>
          <cell r="F260" t="str">
            <v>住宅-多层</v>
          </cell>
          <cell r="G260" t="str">
            <v>D</v>
          </cell>
          <cell r="H260" t="str">
            <v>待售</v>
          </cell>
          <cell r="K260">
            <v>142.61000000000001</v>
          </cell>
          <cell r="L260">
            <v>110.02</v>
          </cell>
          <cell r="M260">
            <v>0</v>
          </cell>
          <cell r="N260">
            <v>0</v>
          </cell>
        </row>
        <row r="261">
          <cell r="E261" t="str">
            <v>璞园-一期-4号楼-104</v>
          </cell>
          <cell r="F261" t="str">
            <v>住宅-多层</v>
          </cell>
          <cell r="G261" t="str">
            <v>D</v>
          </cell>
          <cell r="H261" t="str">
            <v>待售</v>
          </cell>
          <cell r="K261">
            <v>142.61000000000001</v>
          </cell>
          <cell r="L261">
            <v>110.02</v>
          </cell>
          <cell r="M261">
            <v>0</v>
          </cell>
          <cell r="N261">
            <v>0</v>
          </cell>
        </row>
        <row r="262">
          <cell r="E262" t="str">
            <v>璞园-一期-4号楼-105</v>
          </cell>
          <cell r="F262" t="str">
            <v>住宅-多层</v>
          </cell>
          <cell r="G262" t="str">
            <v>D</v>
          </cell>
          <cell r="H262" t="str">
            <v>待售</v>
          </cell>
          <cell r="K262">
            <v>142.61000000000001</v>
          </cell>
          <cell r="L262">
            <v>110.02</v>
          </cell>
          <cell r="M262">
            <v>0</v>
          </cell>
          <cell r="N262">
            <v>0</v>
          </cell>
        </row>
        <row r="263">
          <cell r="E263" t="str">
            <v>璞园-一期-4号楼-106</v>
          </cell>
          <cell r="F263" t="str">
            <v>住宅-多层</v>
          </cell>
          <cell r="G263" t="str">
            <v>D</v>
          </cell>
          <cell r="H263" t="str">
            <v>待售</v>
          </cell>
          <cell r="K263">
            <v>142.69</v>
          </cell>
          <cell r="L263">
            <v>110.09</v>
          </cell>
          <cell r="M263">
            <v>0</v>
          </cell>
          <cell r="N263">
            <v>0</v>
          </cell>
        </row>
        <row r="264">
          <cell r="E264" t="str">
            <v>璞园-一期-4号楼-301</v>
          </cell>
          <cell r="F264" t="str">
            <v>住宅-多层</v>
          </cell>
          <cell r="G264" t="str">
            <v>D</v>
          </cell>
          <cell r="H264" t="str">
            <v>待售</v>
          </cell>
          <cell r="K264">
            <v>146.22999999999999</v>
          </cell>
          <cell r="L264">
            <v>112.82</v>
          </cell>
          <cell r="M264">
            <v>0</v>
          </cell>
          <cell r="N264">
            <v>0</v>
          </cell>
        </row>
        <row r="265">
          <cell r="E265" t="str">
            <v>璞园-一期-4号楼-302</v>
          </cell>
          <cell r="F265" t="str">
            <v>住宅-多层</v>
          </cell>
          <cell r="G265" t="str">
            <v>D</v>
          </cell>
          <cell r="H265" t="str">
            <v>待售</v>
          </cell>
          <cell r="K265">
            <v>146.06</v>
          </cell>
          <cell r="L265">
            <v>112.69</v>
          </cell>
          <cell r="M265">
            <v>0</v>
          </cell>
          <cell r="N265">
            <v>0</v>
          </cell>
        </row>
        <row r="266">
          <cell r="E266" t="str">
            <v>璞园-一期-4号楼-303</v>
          </cell>
          <cell r="F266" t="str">
            <v>住宅-多层</v>
          </cell>
          <cell r="G266" t="str">
            <v>D</v>
          </cell>
          <cell r="H266" t="str">
            <v>待售</v>
          </cell>
          <cell r="K266">
            <v>146.06</v>
          </cell>
          <cell r="L266">
            <v>112.68</v>
          </cell>
          <cell r="M266">
            <v>0</v>
          </cell>
          <cell r="N266">
            <v>0</v>
          </cell>
        </row>
        <row r="267">
          <cell r="E267" t="str">
            <v>璞园-一期-4号楼-304</v>
          </cell>
          <cell r="F267" t="str">
            <v>住宅-多层</v>
          </cell>
          <cell r="G267" t="str">
            <v>D</v>
          </cell>
          <cell r="H267" t="str">
            <v>待售</v>
          </cell>
          <cell r="K267">
            <v>146.06</v>
          </cell>
          <cell r="L267">
            <v>112.69</v>
          </cell>
          <cell r="M267">
            <v>0</v>
          </cell>
          <cell r="N267">
            <v>0</v>
          </cell>
        </row>
        <row r="268">
          <cell r="E268" t="str">
            <v>璞园-一期-4号楼-305</v>
          </cell>
          <cell r="F268" t="str">
            <v>住宅-多层</v>
          </cell>
          <cell r="G268" t="str">
            <v>D</v>
          </cell>
          <cell r="H268" t="str">
            <v>待售</v>
          </cell>
          <cell r="K268">
            <v>146.06</v>
          </cell>
          <cell r="L268">
            <v>112.68</v>
          </cell>
          <cell r="M268">
            <v>0</v>
          </cell>
          <cell r="N268">
            <v>0</v>
          </cell>
        </row>
        <row r="269">
          <cell r="E269" t="str">
            <v>璞园-一期-4号楼-306</v>
          </cell>
          <cell r="F269" t="str">
            <v>住宅-多层</v>
          </cell>
          <cell r="G269" t="str">
            <v>D</v>
          </cell>
          <cell r="H269" t="str">
            <v>待售</v>
          </cell>
          <cell r="K269">
            <v>146.22999999999999</v>
          </cell>
          <cell r="L269">
            <v>112.82</v>
          </cell>
          <cell r="M269">
            <v>0</v>
          </cell>
          <cell r="N269">
            <v>0</v>
          </cell>
        </row>
        <row r="270">
          <cell r="E270" t="str">
            <v>璞园-一期-4号楼-501</v>
          </cell>
          <cell r="F270" t="str">
            <v>住宅-多层</v>
          </cell>
          <cell r="G270" t="str">
            <v>D</v>
          </cell>
          <cell r="H270" t="str">
            <v>待售</v>
          </cell>
          <cell r="K270">
            <v>146.22999999999999</v>
          </cell>
          <cell r="L270">
            <v>112.82</v>
          </cell>
          <cell r="M270">
            <v>0</v>
          </cell>
          <cell r="N270">
            <v>0</v>
          </cell>
        </row>
        <row r="271">
          <cell r="E271" t="str">
            <v>璞园-一期-4号楼-502</v>
          </cell>
          <cell r="F271" t="str">
            <v>住宅-多层</v>
          </cell>
          <cell r="G271" t="str">
            <v>D</v>
          </cell>
          <cell r="H271" t="str">
            <v>待售</v>
          </cell>
          <cell r="K271">
            <v>146.06</v>
          </cell>
          <cell r="L271">
            <v>112.69</v>
          </cell>
          <cell r="M271">
            <v>0</v>
          </cell>
          <cell r="N271">
            <v>0</v>
          </cell>
        </row>
        <row r="272">
          <cell r="E272" t="str">
            <v>璞园-一期-4号楼-503</v>
          </cell>
          <cell r="F272" t="str">
            <v>住宅-多层</v>
          </cell>
          <cell r="G272" t="str">
            <v>D</v>
          </cell>
          <cell r="H272" t="str">
            <v>待售</v>
          </cell>
          <cell r="K272">
            <v>146.06</v>
          </cell>
          <cell r="L272">
            <v>112.68</v>
          </cell>
          <cell r="M272">
            <v>0</v>
          </cell>
          <cell r="N272">
            <v>0</v>
          </cell>
        </row>
        <row r="273">
          <cell r="E273" t="str">
            <v>璞园-一期-4号楼-504</v>
          </cell>
          <cell r="F273" t="str">
            <v>住宅-多层</v>
          </cell>
          <cell r="G273" t="str">
            <v>D</v>
          </cell>
          <cell r="H273" t="str">
            <v>待售</v>
          </cell>
          <cell r="K273">
            <v>146.06</v>
          </cell>
          <cell r="L273">
            <v>112.69</v>
          </cell>
          <cell r="M273">
            <v>0</v>
          </cell>
          <cell r="N273">
            <v>0</v>
          </cell>
        </row>
        <row r="274">
          <cell r="E274" t="str">
            <v>璞园-一期-4号楼-505</v>
          </cell>
          <cell r="F274" t="str">
            <v>住宅-多层</v>
          </cell>
          <cell r="G274" t="str">
            <v>D</v>
          </cell>
          <cell r="H274" t="str">
            <v>待售</v>
          </cell>
          <cell r="K274">
            <v>146.06</v>
          </cell>
          <cell r="L274">
            <v>112.68</v>
          </cell>
          <cell r="M274">
            <v>0</v>
          </cell>
          <cell r="N274">
            <v>0</v>
          </cell>
        </row>
        <row r="275">
          <cell r="E275" t="str">
            <v>璞园-一期-4号楼-506</v>
          </cell>
          <cell r="F275" t="str">
            <v>住宅-多层</v>
          </cell>
          <cell r="G275" t="str">
            <v>D</v>
          </cell>
          <cell r="H275" t="str">
            <v>待售</v>
          </cell>
          <cell r="K275">
            <v>146.22999999999999</v>
          </cell>
          <cell r="L275">
            <v>112.82</v>
          </cell>
          <cell r="M275">
            <v>0</v>
          </cell>
          <cell r="N275">
            <v>0</v>
          </cell>
        </row>
        <row r="276">
          <cell r="E276" t="str">
            <v>璞园-一期-4号楼-701</v>
          </cell>
          <cell r="F276" t="str">
            <v>住宅-多层</v>
          </cell>
          <cell r="G276" t="str">
            <v>D</v>
          </cell>
          <cell r="H276" t="str">
            <v>待售</v>
          </cell>
          <cell r="K276">
            <v>140.03</v>
          </cell>
          <cell r="L276">
            <v>108.03</v>
          </cell>
          <cell r="M276">
            <v>0</v>
          </cell>
          <cell r="N276">
            <v>0</v>
          </cell>
        </row>
        <row r="277">
          <cell r="E277" t="str">
            <v>璞园-一期-4号楼-702</v>
          </cell>
          <cell r="F277" t="str">
            <v>住宅-多层</v>
          </cell>
          <cell r="G277" t="str">
            <v>D</v>
          </cell>
          <cell r="H277" t="str">
            <v>待售</v>
          </cell>
          <cell r="K277">
            <v>139.86000000000001</v>
          </cell>
          <cell r="L277">
            <v>107.91</v>
          </cell>
          <cell r="M277">
            <v>0</v>
          </cell>
          <cell r="N277">
            <v>0</v>
          </cell>
        </row>
        <row r="278">
          <cell r="E278" t="str">
            <v>璞园-一期-4号楼-703</v>
          </cell>
          <cell r="F278" t="str">
            <v>住宅-多层</v>
          </cell>
          <cell r="G278" t="str">
            <v>D</v>
          </cell>
          <cell r="H278" t="str">
            <v>待售</v>
          </cell>
          <cell r="K278">
            <v>139.86000000000001</v>
          </cell>
          <cell r="L278">
            <v>107.9</v>
          </cell>
          <cell r="M278">
            <v>0</v>
          </cell>
          <cell r="N278">
            <v>0</v>
          </cell>
        </row>
        <row r="279">
          <cell r="E279" t="str">
            <v>璞园-一期-4号楼-704</v>
          </cell>
          <cell r="F279" t="str">
            <v>住宅-多层</v>
          </cell>
          <cell r="G279" t="str">
            <v>D</v>
          </cell>
          <cell r="H279" t="str">
            <v>待售</v>
          </cell>
          <cell r="K279">
            <v>139.86000000000001</v>
          </cell>
          <cell r="L279">
            <v>107.91</v>
          </cell>
          <cell r="M279">
            <v>0</v>
          </cell>
          <cell r="N279">
            <v>0</v>
          </cell>
        </row>
        <row r="280">
          <cell r="E280" t="str">
            <v>璞园-一期-4号楼-705</v>
          </cell>
          <cell r="F280" t="str">
            <v>住宅-多层</v>
          </cell>
          <cell r="G280" t="str">
            <v>D</v>
          </cell>
          <cell r="H280" t="str">
            <v>待售</v>
          </cell>
          <cell r="K280">
            <v>139.86000000000001</v>
          </cell>
          <cell r="L280">
            <v>107.9</v>
          </cell>
          <cell r="M280">
            <v>0</v>
          </cell>
          <cell r="N280">
            <v>0</v>
          </cell>
        </row>
        <row r="281">
          <cell r="E281" t="str">
            <v>璞园-一期-4号楼-706</v>
          </cell>
          <cell r="F281" t="str">
            <v>住宅-多层</v>
          </cell>
          <cell r="G281" t="str">
            <v>D</v>
          </cell>
          <cell r="H281" t="str">
            <v>待售</v>
          </cell>
          <cell r="K281">
            <v>140.03</v>
          </cell>
          <cell r="L281">
            <v>108.03</v>
          </cell>
          <cell r="M281">
            <v>0</v>
          </cell>
          <cell r="N281">
            <v>0</v>
          </cell>
        </row>
        <row r="282">
          <cell r="E282" t="str">
            <v>璞园-一期-4号楼-储藏室01</v>
          </cell>
          <cell r="F282" t="str">
            <v>住宅-多层</v>
          </cell>
          <cell r="G282" t="str">
            <v>储藏室</v>
          </cell>
          <cell r="H282" t="str">
            <v>待售</v>
          </cell>
          <cell r="K282">
            <v>90.47</v>
          </cell>
          <cell r="L282">
            <v>61.24</v>
          </cell>
          <cell r="M282">
            <v>0</v>
          </cell>
          <cell r="N282">
            <v>0</v>
          </cell>
        </row>
        <row r="283">
          <cell r="E283" t="str">
            <v>璞园-一期-4号楼-储藏室02</v>
          </cell>
          <cell r="F283" t="str">
            <v>住宅-多层</v>
          </cell>
          <cell r="G283" t="str">
            <v>储藏室</v>
          </cell>
          <cell r="H283" t="str">
            <v>待售</v>
          </cell>
          <cell r="K283">
            <v>90.31</v>
          </cell>
          <cell r="L283">
            <v>61.13</v>
          </cell>
          <cell r="M283">
            <v>0</v>
          </cell>
          <cell r="N283">
            <v>0</v>
          </cell>
        </row>
        <row r="284">
          <cell r="E284" t="str">
            <v>璞园-一期-4号楼-储藏室03</v>
          </cell>
          <cell r="F284" t="str">
            <v>住宅-多层</v>
          </cell>
          <cell r="G284" t="str">
            <v>储藏室</v>
          </cell>
          <cell r="H284" t="str">
            <v>待售</v>
          </cell>
          <cell r="K284">
            <v>90.31</v>
          </cell>
          <cell r="L284">
            <v>61.13</v>
          </cell>
          <cell r="M284">
            <v>0</v>
          </cell>
          <cell r="N284">
            <v>0</v>
          </cell>
        </row>
        <row r="285">
          <cell r="E285" t="str">
            <v>璞园-一期-4号楼-储藏室04</v>
          </cell>
          <cell r="F285" t="str">
            <v>住宅-多层</v>
          </cell>
          <cell r="G285" t="str">
            <v>储藏室</v>
          </cell>
          <cell r="H285" t="str">
            <v>待售</v>
          </cell>
          <cell r="K285">
            <v>90.31</v>
          </cell>
          <cell r="L285">
            <v>61.13</v>
          </cell>
          <cell r="M285">
            <v>0</v>
          </cell>
          <cell r="N285">
            <v>0</v>
          </cell>
        </row>
        <row r="286">
          <cell r="E286" t="str">
            <v>璞园-一期-4号楼-储藏室05</v>
          </cell>
          <cell r="F286" t="str">
            <v>住宅-多层</v>
          </cell>
          <cell r="G286" t="str">
            <v>储藏室</v>
          </cell>
          <cell r="H286" t="str">
            <v>待售</v>
          </cell>
          <cell r="K286">
            <v>90.3</v>
          </cell>
          <cell r="L286">
            <v>61.12</v>
          </cell>
          <cell r="M286">
            <v>0</v>
          </cell>
          <cell r="N286">
            <v>0</v>
          </cell>
        </row>
        <row r="287">
          <cell r="E287" t="str">
            <v>璞园-一期-4号楼-储藏室06</v>
          </cell>
          <cell r="F287" t="str">
            <v>住宅-多层</v>
          </cell>
          <cell r="G287" t="str">
            <v>储藏室</v>
          </cell>
          <cell r="H287" t="str">
            <v>待售</v>
          </cell>
          <cell r="K287">
            <v>90.47</v>
          </cell>
          <cell r="L287">
            <v>61.23</v>
          </cell>
          <cell r="M287">
            <v>0</v>
          </cell>
          <cell r="N287">
            <v>0</v>
          </cell>
        </row>
        <row r="288">
          <cell r="E288" t="str">
            <v>璞园-一期-5号楼-101</v>
          </cell>
          <cell r="F288" t="str">
            <v>住宅-多层</v>
          </cell>
          <cell r="G288" t="str">
            <v>C</v>
          </cell>
          <cell r="H288" t="str">
            <v>签约</v>
          </cell>
          <cell r="J288" t="str">
            <v>一般客户</v>
          </cell>
          <cell r="K288">
            <v>142.22</v>
          </cell>
          <cell r="L288">
            <v>116.72</v>
          </cell>
          <cell r="M288">
            <v>0</v>
          </cell>
          <cell r="N288">
            <v>0</v>
          </cell>
        </row>
        <row r="289">
          <cell r="E289" t="str">
            <v>璞园-一期-5号楼-102</v>
          </cell>
          <cell r="F289" t="str">
            <v>住宅-多层</v>
          </cell>
          <cell r="G289" t="str">
            <v>C</v>
          </cell>
          <cell r="H289" t="str">
            <v>签约</v>
          </cell>
          <cell r="J289" t="str">
            <v>一般客户</v>
          </cell>
          <cell r="K289">
            <v>142.22</v>
          </cell>
          <cell r="L289">
            <v>116.72</v>
          </cell>
          <cell r="M289">
            <v>0</v>
          </cell>
          <cell r="N289">
            <v>0</v>
          </cell>
        </row>
        <row r="290">
          <cell r="E290" t="str">
            <v>璞园-一期-5号楼-103</v>
          </cell>
          <cell r="F290" t="str">
            <v>住宅-多层</v>
          </cell>
          <cell r="G290" t="str">
            <v>C</v>
          </cell>
          <cell r="H290" t="str">
            <v>签约</v>
          </cell>
          <cell r="J290" t="str">
            <v>一般客户</v>
          </cell>
          <cell r="K290">
            <v>142.22</v>
          </cell>
          <cell r="L290">
            <v>116.72</v>
          </cell>
          <cell r="M290">
            <v>0</v>
          </cell>
          <cell r="N290">
            <v>0</v>
          </cell>
        </row>
        <row r="291">
          <cell r="E291" t="str">
            <v>璞园-一期-5号楼-104</v>
          </cell>
          <cell r="F291" t="str">
            <v>住宅-多层</v>
          </cell>
          <cell r="G291" t="str">
            <v>C</v>
          </cell>
          <cell r="H291" t="str">
            <v>待售</v>
          </cell>
          <cell r="K291">
            <v>142.22</v>
          </cell>
          <cell r="L291">
            <v>116.72</v>
          </cell>
          <cell r="M291">
            <v>0</v>
          </cell>
          <cell r="N291">
            <v>0</v>
          </cell>
        </row>
        <row r="292">
          <cell r="E292" t="str">
            <v>璞园-一期-5号楼-301</v>
          </cell>
          <cell r="F292" t="str">
            <v>住宅-多层</v>
          </cell>
          <cell r="G292" t="str">
            <v>C</v>
          </cell>
          <cell r="H292" t="str">
            <v>签约</v>
          </cell>
          <cell r="J292" t="str">
            <v>一般客户</v>
          </cell>
          <cell r="K292">
            <v>145.61000000000001</v>
          </cell>
          <cell r="L292">
            <v>119.5</v>
          </cell>
          <cell r="M292">
            <v>0</v>
          </cell>
          <cell r="N292">
            <v>0</v>
          </cell>
        </row>
        <row r="293">
          <cell r="E293" t="str">
            <v>璞园-一期-5号楼-302</v>
          </cell>
          <cell r="F293" t="str">
            <v>住宅-多层</v>
          </cell>
          <cell r="G293" t="str">
            <v>C</v>
          </cell>
          <cell r="H293" t="str">
            <v>签约</v>
          </cell>
          <cell r="J293" t="str">
            <v>一般客户</v>
          </cell>
          <cell r="K293">
            <v>145.61000000000001</v>
          </cell>
          <cell r="L293">
            <v>119.5</v>
          </cell>
          <cell r="M293">
            <v>0</v>
          </cell>
          <cell r="N293">
            <v>0</v>
          </cell>
        </row>
        <row r="294">
          <cell r="E294" t="str">
            <v>璞园-一期-5号楼-303</v>
          </cell>
          <cell r="F294" t="str">
            <v>住宅-多层</v>
          </cell>
          <cell r="G294" t="str">
            <v>C</v>
          </cell>
          <cell r="H294" t="str">
            <v>签约</v>
          </cell>
          <cell r="J294" t="str">
            <v>一般客户</v>
          </cell>
          <cell r="K294">
            <v>145.61000000000001</v>
          </cell>
          <cell r="L294">
            <v>119.5</v>
          </cell>
          <cell r="M294">
            <v>0</v>
          </cell>
          <cell r="N294">
            <v>0</v>
          </cell>
        </row>
        <row r="295">
          <cell r="E295" t="str">
            <v>璞园-一期-5号楼-304</v>
          </cell>
          <cell r="F295" t="str">
            <v>住宅-多层</v>
          </cell>
          <cell r="G295" t="str">
            <v>C</v>
          </cell>
          <cell r="H295" t="str">
            <v>签约</v>
          </cell>
          <cell r="J295" t="str">
            <v>一般客户</v>
          </cell>
          <cell r="K295">
            <v>145.61000000000001</v>
          </cell>
          <cell r="L295">
            <v>119.5</v>
          </cell>
          <cell r="M295">
            <v>0</v>
          </cell>
          <cell r="N295">
            <v>0</v>
          </cell>
        </row>
        <row r="296">
          <cell r="E296" t="str">
            <v>璞园-一期-5号楼-501</v>
          </cell>
          <cell r="F296" t="str">
            <v>住宅-多层</v>
          </cell>
          <cell r="G296" t="str">
            <v>C</v>
          </cell>
          <cell r="H296" t="str">
            <v>待售</v>
          </cell>
          <cell r="K296">
            <v>145.61000000000001</v>
          </cell>
          <cell r="L296">
            <v>119.5</v>
          </cell>
          <cell r="M296">
            <v>0</v>
          </cell>
          <cell r="N296">
            <v>0</v>
          </cell>
        </row>
        <row r="297">
          <cell r="E297" t="str">
            <v>璞园-一期-5号楼-502</v>
          </cell>
          <cell r="F297" t="str">
            <v>住宅-多层</v>
          </cell>
          <cell r="G297" t="str">
            <v>C</v>
          </cell>
          <cell r="H297" t="str">
            <v>签约</v>
          </cell>
          <cell r="J297" t="str">
            <v>一般客户</v>
          </cell>
          <cell r="K297">
            <v>145.61000000000001</v>
          </cell>
          <cell r="L297">
            <v>119.5</v>
          </cell>
          <cell r="M297">
            <v>0</v>
          </cell>
          <cell r="N297">
            <v>0</v>
          </cell>
        </row>
        <row r="298">
          <cell r="E298" t="str">
            <v>璞园-一期-5号楼-503</v>
          </cell>
          <cell r="F298" t="str">
            <v>住宅-多层</v>
          </cell>
          <cell r="G298" t="str">
            <v>C</v>
          </cell>
          <cell r="H298" t="str">
            <v>签约</v>
          </cell>
          <cell r="J298" t="str">
            <v>一般客户</v>
          </cell>
          <cell r="K298">
            <v>145.61000000000001</v>
          </cell>
          <cell r="L298">
            <v>119.5</v>
          </cell>
          <cell r="M298">
            <v>0</v>
          </cell>
          <cell r="N298">
            <v>0</v>
          </cell>
        </row>
        <row r="299">
          <cell r="E299" t="str">
            <v>璞园-一期-5号楼-504</v>
          </cell>
          <cell r="F299" t="str">
            <v>住宅-多层</v>
          </cell>
          <cell r="G299" t="str">
            <v>C</v>
          </cell>
          <cell r="H299" t="str">
            <v>签约</v>
          </cell>
          <cell r="J299" t="str">
            <v>一般客户</v>
          </cell>
          <cell r="K299">
            <v>145.61000000000001</v>
          </cell>
          <cell r="L299">
            <v>119.5</v>
          </cell>
          <cell r="M299">
            <v>0</v>
          </cell>
          <cell r="N299">
            <v>0</v>
          </cell>
        </row>
        <row r="300">
          <cell r="E300" t="str">
            <v>璞园-一期-5号楼-储藏室01</v>
          </cell>
          <cell r="F300" t="str">
            <v>住宅-多层</v>
          </cell>
          <cell r="G300" t="str">
            <v>储藏室</v>
          </cell>
          <cell r="H300" t="str">
            <v>签约</v>
          </cell>
          <cell r="J300" t="str">
            <v>一般客户</v>
          </cell>
          <cell r="K300">
            <v>93.93</v>
          </cell>
          <cell r="L300">
            <v>73.47</v>
          </cell>
          <cell r="M300">
            <v>0</v>
          </cell>
          <cell r="N300">
            <v>0</v>
          </cell>
        </row>
        <row r="301">
          <cell r="E301" t="str">
            <v>璞园-一期-5号楼-储藏室02</v>
          </cell>
          <cell r="F301" t="str">
            <v>住宅-多层</v>
          </cell>
          <cell r="G301" t="str">
            <v>储藏室</v>
          </cell>
          <cell r="H301" t="str">
            <v>签约</v>
          </cell>
          <cell r="J301" t="str">
            <v>一般客户</v>
          </cell>
          <cell r="K301">
            <v>93.11</v>
          </cell>
          <cell r="L301">
            <v>72.819999999999993</v>
          </cell>
          <cell r="M301">
            <v>0</v>
          </cell>
          <cell r="N301">
            <v>0</v>
          </cell>
        </row>
        <row r="302">
          <cell r="E302" t="str">
            <v>璞园-一期-5号楼-储藏室03</v>
          </cell>
          <cell r="F302" t="str">
            <v>住宅-多层</v>
          </cell>
          <cell r="G302" t="str">
            <v>储藏室</v>
          </cell>
          <cell r="H302" t="str">
            <v>签约</v>
          </cell>
          <cell r="J302" t="str">
            <v>一般客户</v>
          </cell>
          <cell r="K302">
            <v>93.12</v>
          </cell>
          <cell r="L302">
            <v>72.83</v>
          </cell>
          <cell r="M302">
            <v>0</v>
          </cell>
          <cell r="N302">
            <v>0</v>
          </cell>
        </row>
        <row r="303">
          <cell r="E303" t="str">
            <v>璞园-一期-5号楼-储藏室04</v>
          </cell>
          <cell r="F303" t="str">
            <v>住宅-多层</v>
          </cell>
          <cell r="G303" t="str">
            <v>储藏室</v>
          </cell>
          <cell r="H303" t="str">
            <v>待售</v>
          </cell>
          <cell r="K303">
            <v>93.27</v>
          </cell>
          <cell r="L303">
            <v>72.95</v>
          </cell>
          <cell r="M303">
            <v>0</v>
          </cell>
          <cell r="N303">
            <v>0</v>
          </cell>
        </row>
        <row r="304">
          <cell r="E304" t="str">
            <v>璞园-一期-6号楼-101</v>
          </cell>
          <cell r="F304" t="str">
            <v>住宅-多层</v>
          </cell>
          <cell r="G304" t="str">
            <v>D</v>
          </cell>
          <cell r="H304" t="str">
            <v>签约</v>
          </cell>
          <cell r="J304" t="str">
            <v>一般客户</v>
          </cell>
          <cell r="K304">
            <v>142.69</v>
          </cell>
          <cell r="L304">
            <v>110.09</v>
          </cell>
          <cell r="M304">
            <v>0</v>
          </cell>
          <cell r="N304">
            <v>0</v>
          </cell>
        </row>
        <row r="305">
          <cell r="E305" t="str">
            <v>璞园-一期-6号楼-102</v>
          </cell>
          <cell r="F305" t="str">
            <v>住宅-多层</v>
          </cell>
          <cell r="G305" t="str">
            <v>D</v>
          </cell>
          <cell r="H305" t="str">
            <v>签约</v>
          </cell>
          <cell r="J305" t="str">
            <v>一般客户</v>
          </cell>
          <cell r="K305">
            <v>142.61000000000001</v>
          </cell>
          <cell r="L305">
            <v>110.02</v>
          </cell>
          <cell r="M305">
            <v>0</v>
          </cell>
          <cell r="N305">
            <v>0</v>
          </cell>
        </row>
        <row r="306">
          <cell r="E306" t="str">
            <v>璞园-一期-6号楼-103</v>
          </cell>
          <cell r="F306" t="str">
            <v>住宅-多层</v>
          </cell>
          <cell r="G306" t="str">
            <v>D</v>
          </cell>
          <cell r="H306" t="str">
            <v>待售</v>
          </cell>
          <cell r="K306">
            <v>142.61000000000001</v>
          </cell>
          <cell r="L306">
            <v>110.02</v>
          </cell>
          <cell r="M306">
            <v>0</v>
          </cell>
          <cell r="N306">
            <v>0</v>
          </cell>
        </row>
        <row r="307">
          <cell r="E307" t="str">
            <v>璞园-一期-6号楼-104</v>
          </cell>
          <cell r="F307" t="str">
            <v>住宅-多层</v>
          </cell>
          <cell r="G307" t="str">
            <v>D</v>
          </cell>
          <cell r="H307" t="str">
            <v>待售</v>
          </cell>
          <cell r="K307">
            <v>142.61000000000001</v>
          </cell>
          <cell r="L307">
            <v>110.02</v>
          </cell>
          <cell r="M307">
            <v>0</v>
          </cell>
          <cell r="N307">
            <v>0</v>
          </cell>
        </row>
        <row r="308">
          <cell r="E308" t="str">
            <v>璞园-一期-6号楼-105</v>
          </cell>
          <cell r="F308" t="str">
            <v>住宅-多层</v>
          </cell>
          <cell r="G308" t="str">
            <v>D</v>
          </cell>
          <cell r="H308" t="str">
            <v>待售</v>
          </cell>
          <cell r="K308">
            <v>142.61000000000001</v>
          </cell>
          <cell r="L308">
            <v>110.02</v>
          </cell>
          <cell r="M308">
            <v>0</v>
          </cell>
          <cell r="N308">
            <v>0</v>
          </cell>
        </row>
        <row r="309">
          <cell r="E309" t="str">
            <v>璞园-一期-6号楼-106</v>
          </cell>
          <cell r="F309" t="str">
            <v>住宅-多层</v>
          </cell>
          <cell r="G309" t="str">
            <v>D</v>
          </cell>
          <cell r="H309" t="str">
            <v>待售</v>
          </cell>
          <cell r="K309">
            <v>142.69</v>
          </cell>
          <cell r="L309">
            <v>110.09</v>
          </cell>
          <cell r="M309">
            <v>0</v>
          </cell>
          <cell r="N309">
            <v>0</v>
          </cell>
        </row>
        <row r="310">
          <cell r="E310" t="str">
            <v>璞园-一期-6号楼-301</v>
          </cell>
          <cell r="F310" t="str">
            <v>住宅-多层</v>
          </cell>
          <cell r="G310" t="str">
            <v>D</v>
          </cell>
          <cell r="H310" t="str">
            <v>签约</v>
          </cell>
          <cell r="J310" t="str">
            <v>工抵房</v>
          </cell>
          <cell r="K310">
            <v>146.22999999999999</v>
          </cell>
          <cell r="L310">
            <v>112.82</v>
          </cell>
          <cell r="M310">
            <v>0</v>
          </cell>
          <cell r="N310">
            <v>0</v>
          </cell>
        </row>
        <row r="311">
          <cell r="E311" t="str">
            <v>璞园-一期-6号楼-302</v>
          </cell>
          <cell r="F311" t="str">
            <v>住宅-多层</v>
          </cell>
          <cell r="G311" t="str">
            <v>D</v>
          </cell>
          <cell r="H311" t="str">
            <v>待售</v>
          </cell>
          <cell r="K311">
            <v>146.06</v>
          </cell>
          <cell r="L311">
            <v>112.69</v>
          </cell>
          <cell r="M311">
            <v>0</v>
          </cell>
          <cell r="N311">
            <v>0</v>
          </cell>
        </row>
        <row r="312">
          <cell r="E312" t="str">
            <v>璞园-一期-6号楼-303</v>
          </cell>
          <cell r="F312" t="str">
            <v>住宅-多层</v>
          </cell>
          <cell r="G312" t="str">
            <v>D</v>
          </cell>
          <cell r="H312" t="str">
            <v>待售</v>
          </cell>
          <cell r="K312">
            <v>146.06</v>
          </cell>
          <cell r="L312">
            <v>112.69</v>
          </cell>
          <cell r="M312">
            <v>0</v>
          </cell>
          <cell r="N312">
            <v>0</v>
          </cell>
        </row>
        <row r="313">
          <cell r="E313" t="str">
            <v>璞园-一期-6号楼-304</v>
          </cell>
          <cell r="F313" t="str">
            <v>住宅-多层</v>
          </cell>
          <cell r="G313" t="str">
            <v>D</v>
          </cell>
          <cell r="H313" t="str">
            <v>待售</v>
          </cell>
          <cell r="K313">
            <v>146.06</v>
          </cell>
          <cell r="L313">
            <v>112.69</v>
          </cell>
          <cell r="M313">
            <v>0</v>
          </cell>
          <cell r="N313">
            <v>0</v>
          </cell>
        </row>
        <row r="314">
          <cell r="E314" t="str">
            <v>璞园-一期-6号楼-305</v>
          </cell>
          <cell r="F314" t="str">
            <v>住宅-多层</v>
          </cell>
          <cell r="G314" t="str">
            <v>D</v>
          </cell>
          <cell r="H314" t="str">
            <v>待售</v>
          </cell>
          <cell r="K314">
            <v>146.06</v>
          </cell>
          <cell r="L314">
            <v>112.69</v>
          </cell>
          <cell r="M314">
            <v>0</v>
          </cell>
          <cell r="N314">
            <v>0</v>
          </cell>
        </row>
        <row r="315">
          <cell r="E315" t="str">
            <v>璞园-一期-6号楼-306</v>
          </cell>
          <cell r="F315" t="str">
            <v>住宅-多层</v>
          </cell>
          <cell r="G315" t="str">
            <v>D</v>
          </cell>
          <cell r="H315" t="str">
            <v>待售</v>
          </cell>
          <cell r="K315">
            <v>146.22999999999999</v>
          </cell>
          <cell r="L315">
            <v>112.82</v>
          </cell>
          <cell r="M315">
            <v>0</v>
          </cell>
          <cell r="N315">
            <v>0</v>
          </cell>
        </row>
        <row r="316">
          <cell r="E316" t="str">
            <v>璞园-一期-6号楼-501</v>
          </cell>
          <cell r="F316" t="str">
            <v>住宅-多层</v>
          </cell>
          <cell r="G316" t="str">
            <v>D</v>
          </cell>
          <cell r="H316" t="str">
            <v>签约</v>
          </cell>
          <cell r="J316" t="str">
            <v>一般客户</v>
          </cell>
          <cell r="K316">
            <v>146.22999999999999</v>
          </cell>
          <cell r="L316">
            <v>112.82</v>
          </cell>
          <cell r="M316">
            <v>0</v>
          </cell>
          <cell r="N316">
            <v>0</v>
          </cell>
        </row>
        <row r="317">
          <cell r="E317" t="str">
            <v>璞园-一期-6号楼-502</v>
          </cell>
          <cell r="F317" t="str">
            <v>住宅-多层</v>
          </cell>
          <cell r="G317" t="str">
            <v>D</v>
          </cell>
          <cell r="H317" t="str">
            <v>签约</v>
          </cell>
          <cell r="J317" t="str">
            <v>一般客户</v>
          </cell>
          <cell r="K317">
            <v>146.06</v>
          </cell>
          <cell r="L317">
            <v>112.69</v>
          </cell>
          <cell r="M317">
            <v>0</v>
          </cell>
          <cell r="N317">
            <v>0</v>
          </cell>
        </row>
        <row r="318">
          <cell r="E318" t="str">
            <v>璞园-一期-6号楼-503</v>
          </cell>
          <cell r="F318" t="str">
            <v>住宅-多层</v>
          </cell>
          <cell r="G318" t="str">
            <v>D</v>
          </cell>
          <cell r="H318" t="str">
            <v>待售</v>
          </cell>
          <cell r="K318">
            <v>146.06</v>
          </cell>
          <cell r="L318">
            <v>112.69</v>
          </cell>
          <cell r="M318">
            <v>0</v>
          </cell>
          <cell r="N318">
            <v>0</v>
          </cell>
        </row>
        <row r="319">
          <cell r="E319" t="str">
            <v>璞园-一期-6号楼-504</v>
          </cell>
          <cell r="F319" t="str">
            <v>住宅-多层</v>
          </cell>
          <cell r="G319" t="str">
            <v>D</v>
          </cell>
          <cell r="H319" t="str">
            <v>待售</v>
          </cell>
          <cell r="K319">
            <v>146.06</v>
          </cell>
          <cell r="L319">
            <v>112.69</v>
          </cell>
          <cell r="M319">
            <v>0</v>
          </cell>
          <cell r="N319">
            <v>0</v>
          </cell>
        </row>
        <row r="320">
          <cell r="E320" t="str">
            <v>璞园-一期-6号楼-505</v>
          </cell>
          <cell r="F320" t="str">
            <v>住宅-多层</v>
          </cell>
          <cell r="G320" t="str">
            <v>D</v>
          </cell>
          <cell r="H320" t="str">
            <v>待售</v>
          </cell>
          <cell r="K320">
            <v>146.06</v>
          </cell>
          <cell r="L320">
            <v>112.69</v>
          </cell>
          <cell r="M320">
            <v>0</v>
          </cell>
          <cell r="N320">
            <v>0</v>
          </cell>
        </row>
        <row r="321">
          <cell r="E321" t="str">
            <v>璞园-一期-6号楼-506</v>
          </cell>
          <cell r="F321" t="str">
            <v>住宅-多层</v>
          </cell>
          <cell r="G321" t="str">
            <v>D</v>
          </cell>
          <cell r="H321" t="str">
            <v>待售</v>
          </cell>
          <cell r="K321">
            <v>146.22999999999999</v>
          </cell>
          <cell r="L321">
            <v>112.82</v>
          </cell>
          <cell r="M321">
            <v>0</v>
          </cell>
          <cell r="N321">
            <v>0</v>
          </cell>
        </row>
        <row r="322">
          <cell r="E322" t="str">
            <v>璞园-一期-6号楼-701</v>
          </cell>
          <cell r="F322" t="str">
            <v>住宅-多层</v>
          </cell>
          <cell r="G322" t="str">
            <v>D</v>
          </cell>
          <cell r="H322" t="str">
            <v>签约</v>
          </cell>
          <cell r="J322" t="str">
            <v>工抵房</v>
          </cell>
          <cell r="K322">
            <v>140.03</v>
          </cell>
          <cell r="L322">
            <v>108.03</v>
          </cell>
          <cell r="M322">
            <v>0</v>
          </cell>
          <cell r="N322">
            <v>0</v>
          </cell>
        </row>
        <row r="323">
          <cell r="E323" t="str">
            <v>璞园-一期-6号楼-702</v>
          </cell>
          <cell r="F323" t="str">
            <v>住宅-多层</v>
          </cell>
          <cell r="G323" t="str">
            <v>D</v>
          </cell>
          <cell r="H323" t="str">
            <v>待售</v>
          </cell>
          <cell r="K323">
            <v>139.86000000000001</v>
          </cell>
          <cell r="L323">
            <v>107.91</v>
          </cell>
          <cell r="M323">
            <v>0</v>
          </cell>
          <cell r="N323">
            <v>0</v>
          </cell>
        </row>
        <row r="324">
          <cell r="E324" t="str">
            <v>璞园-一期-6号楼-703</v>
          </cell>
          <cell r="F324" t="str">
            <v>住宅-多层</v>
          </cell>
          <cell r="G324" t="str">
            <v>D</v>
          </cell>
          <cell r="H324" t="str">
            <v>待售</v>
          </cell>
          <cell r="K324">
            <v>139.86000000000001</v>
          </cell>
          <cell r="L324">
            <v>107.91</v>
          </cell>
          <cell r="M324">
            <v>0</v>
          </cell>
          <cell r="N324">
            <v>0</v>
          </cell>
        </row>
        <row r="325">
          <cell r="E325" t="str">
            <v>璞园-一期-6号楼-704</v>
          </cell>
          <cell r="F325" t="str">
            <v>住宅-多层</v>
          </cell>
          <cell r="G325" t="str">
            <v>D</v>
          </cell>
          <cell r="H325" t="str">
            <v>待售</v>
          </cell>
          <cell r="K325">
            <v>139.86000000000001</v>
          </cell>
          <cell r="L325">
            <v>107.91</v>
          </cell>
          <cell r="M325">
            <v>0</v>
          </cell>
          <cell r="N325">
            <v>0</v>
          </cell>
        </row>
        <row r="326">
          <cell r="E326" t="str">
            <v>璞园-一期-6号楼-705</v>
          </cell>
          <cell r="F326" t="str">
            <v>住宅-多层</v>
          </cell>
          <cell r="G326" t="str">
            <v>D</v>
          </cell>
          <cell r="H326" t="str">
            <v>待售</v>
          </cell>
          <cell r="K326">
            <v>139.86000000000001</v>
          </cell>
          <cell r="L326">
            <v>107.91</v>
          </cell>
          <cell r="M326">
            <v>0</v>
          </cell>
          <cell r="N326">
            <v>0</v>
          </cell>
        </row>
        <row r="327">
          <cell r="E327" t="str">
            <v>璞园-一期-6号楼-706</v>
          </cell>
          <cell r="F327" t="str">
            <v>住宅-多层</v>
          </cell>
          <cell r="G327" t="str">
            <v>D</v>
          </cell>
          <cell r="H327" t="str">
            <v>待售</v>
          </cell>
          <cell r="K327">
            <v>140.03</v>
          </cell>
          <cell r="L327">
            <v>108.03</v>
          </cell>
          <cell r="M327">
            <v>0</v>
          </cell>
          <cell r="N327">
            <v>0</v>
          </cell>
        </row>
        <row r="328">
          <cell r="E328" t="str">
            <v>璞园-一期-6号楼-储藏室01</v>
          </cell>
          <cell r="F328" t="str">
            <v>住宅-多层</v>
          </cell>
          <cell r="G328" t="str">
            <v>储藏室</v>
          </cell>
          <cell r="H328" t="str">
            <v>签约</v>
          </cell>
          <cell r="J328" t="str">
            <v>一般客户</v>
          </cell>
          <cell r="K328">
            <v>91.48</v>
          </cell>
          <cell r="L328">
            <v>61.24</v>
          </cell>
          <cell r="M328">
            <v>0</v>
          </cell>
          <cell r="N328">
            <v>0</v>
          </cell>
        </row>
        <row r="329">
          <cell r="E329" t="str">
            <v>璞园-一期-6号楼-储藏室02</v>
          </cell>
          <cell r="F329" t="str">
            <v>住宅-多层</v>
          </cell>
          <cell r="G329" t="str">
            <v>储藏室</v>
          </cell>
          <cell r="H329" t="str">
            <v>签约</v>
          </cell>
          <cell r="J329" t="str">
            <v>一般客户</v>
          </cell>
          <cell r="K329">
            <v>91.31</v>
          </cell>
          <cell r="L329">
            <v>61.13</v>
          </cell>
          <cell r="M329">
            <v>0</v>
          </cell>
          <cell r="N329">
            <v>0</v>
          </cell>
        </row>
        <row r="330">
          <cell r="E330" t="str">
            <v>璞园-一期-6号楼-储藏室03</v>
          </cell>
          <cell r="F330" t="str">
            <v>住宅-多层</v>
          </cell>
          <cell r="G330" t="str">
            <v>储藏室</v>
          </cell>
          <cell r="H330" t="str">
            <v>待售</v>
          </cell>
          <cell r="K330">
            <v>91.31</v>
          </cell>
          <cell r="L330">
            <v>61.13</v>
          </cell>
          <cell r="M330">
            <v>0</v>
          </cell>
          <cell r="N330">
            <v>0</v>
          </cell>
        </row>
        <row r="331">
          <cell r="E331" t="str">
            <v>璞园-一期-6号楼-储藏室04</v>
          </cell>
          <cell r="F331" t="str">
            <v>住宅-多层</v>
          </cell>
          <cell r="G331" t="str">
            <v>储藏室</v>
          </cell>
          <cell r="H331" t="str">
            <v>待售</v>
          </cell>
          <cell r="K331">
            <v>91.37</v>
          </cell>
          <cell r="L331">
            <v>61.17</v>
          </cell>
          <cell r="M331">
            <v>0</v>
          </cell>
          <cell r="N331">
            <v>0</v>
          </cell>
        </row>
        <row r="332">
          <cell r="E332" t="str">
            <v>璞园-一期-6号楼-储藏室05</v>
          </cell>
          <cell r="F332" t="str">
            <v>住宅-多层</v>
          </cell>
          <cell r="G332" t="str">
            <v>储藏室</v>
          </cell>
          <cell r="H332" t="str">
            <v>待售</v>
          </cell>
          <cell r="K332">
            <v>91.31</v>
          </cell>
          <cell r="L332">
            <v>61.13</v>
          </cell>
          <cell r="M332">
            <v>0</v>
          </cell>
          <cell r="N332">
            <v>0</v>
          </cell>
        </row>
        <row r="333">
          <cell r="E333" t="str">
            <v>璞园-一期-6号楼-储藏室06</v>
          </cell>
          <cell r="F333" t="str">
            <v>住宅-多层</v>
          </cell>
          <cell r="G333" t="str">
            <v>储藏室</v>
          </cell>
          <cell r="H333" t="str">
            <v>待售</v>
          </cell>
          <cell r="K333">
            <v>92.06</v>
          </cell>
          <cell r="L333">
            <v>61.63</v>
          </cell>
          <cell r="M333">
            <v>0</v>
          </cell>
          <cell r="N333">
            <v>0</v>
          </cell>
        </row>
        <row r="334">
          <cell r="E334" t="str">
            <v>璞园-一期-7号楼-101</v>
          </cell>
          <cell r="F334" t="str">
            <v>住宅-多层</v>
          </cell>
          <cell r="G334" t="str">
            <v>D</v>
          </cell>
          <cell r="H334" t="str">
            <v>签约</v>
          </cell>
          <cell r="J334" t="str">
            <v>一般客户</v>
          </cell>
          <cell r="K334">
            <v>143.28</v>
          </cell>
          <cell r="L334">
            <v>110.09</v>
          </cell>
          <cell r="M334">
            <v>0</v>
          </cell>
          <cell r="N334">
            <v>0</v>
          </cell>
        </row>
        <row r="335">
          <cell r="E335" t="str">
            <v>璞园-一期-7号楼-102</v>
          </cell>
          <cell r="F335" t="str">
            <v>住宅-多层</v>
          </cell>
          <cell r="G335" t="str">
            <v>D</v>
          </cell>
          <cell r="H335" t="str">
            <v>签约</v>
          </cell>
          <cell r="J335" t="str">
            <v>一般客户</v>
          </cell>
          <cell r="K335">
            <v>143.19999999999999</v>
          </cell>
          <cell r="L335">
            <v>110.02</v>
          </cell>
          <cell r="M335">
            <v>0</v>
          </cell>
          <cell r="N335">
            <v>0</v>
          </cell>
        </row>
        <row r="336">
          <cell r="E336" t="str">
            <v>璞园-一期-7号楼-103</v>
          </cell>
          <cell r="F336" t="str">
            <v>住宅-多层</v>
          </cell>
          <cell r="G336" t="str">
            <v>D</v>
          </cell>
          <cell r="H336" t="str">
            <v>签约</v>
          </cell>
          <cell r="J336" t="str">
            <v>一般客户</v>
          </cell>
          <cell r="K336">
            <v>143.19999999999999</v>
          </cell>
          <cell r="L336">
            <v>110.02</v>
          </cell>
          <cell r="M336">
            <v>0</v>
          </cell>
          <cell r="N336">
            <v>0</v>
          </cell>
        </row>
        <row r="337">
          <cell r="E337" t="str">
            <v>璞园-一期-7号楼-104</v>
          </cell>
          <cell r="F337" t="str">
            <v>住宅-多层</v>
          </cell>
          <cell r="G337" t="str">
            <v>D</v>
          </cell>
          <cell r="H337" t="str">
            <v>签约</v>
          </cell>
          <cell r="J337" t="str">
            <v>一般客户</v>
          </cell>
          <cell r="K337">
            <v>143.28</v>
          </cell>
          <cell r="L337">
            <v>110.09</v>
          </cell>
          <cell r="M337">
            <v>0</v>
          </cell>
          <cell r="N337">
            <v>0</v>
          </cell>
        </row>
        <row r="338">
          <cell r="E338" t="str">
            <v>璞园-一期-7号楼-301</v>
          </cell>
          <cell r="F338" t="str">
            <v>住宅-多层</v>
          </cell>
          <cell r="G338" t="str">
            <v>D</v>
          </cell>
          <cell r="H338" t="str">
            <v>签约</v>
          </cell>
          <cell r="J338" t="str">
            <v>一般客户</v>
          </cell>
          <cell r="K338">
            <v>146.83000000000001</v>
          </cell>
          <cell r="L338">
            <v>112.82</v>
          </cell>
          <cell r="M338">
            <v>0</v>
          </cell>
          <cell r="N338">
            <v>0</v>
          </cell>
        </row>
        <row r="339">
          <cell r="E339" t="str">
            <v>璞园-一期-7号楼-302</v>
          </cell>
          <cell r="F339" t="str">
            <v>住宅-多层</v>
          </cell>
          <cell r="G339" t="str">
            <v>D</v>
          </cell>
          <cell r="H339" t="str">
            <v>签约</v>
          </cell>
          <cell r="J339" t="str">
            <v>一般客户</v>
          </cell>
          <cell r="K339">
            <v>146.66</v>
          </cell>
          <cell r="L339">
            <v>112.69</v>
          </cell>
          <cell r="M339">
            <v>0</v>
          </cell>
          <cell r="N339">
            <v>0</v>
          </cell>
        </row>
        <row r="340">
          <cell r="E340" t="str">
            <v>璞园-一期-7号楼-303</v>
          </cell>
          <cell r="F340" t="str">
            <v>住宅-多层</v>
          </cell>
          <cell r="G340" t="str">
            <v>D</v>
          </cell>
          <cell r="H340" t="str">
            <v>签约</v>
          </cell>
          <cell r="J340" t="str">
            <v>一般客户</v>
          </cell>
          <cell r="K340">
            <v>146.66</v>
          </cell>
          <cell r="L340">
            <v>112.69</v>
          </cell>
          <cell r="M340">
            <v>0</v>
          </cell>
          <cell r="N340">
            <v>0</v>
          </cell>
        </row>
        <row r="341">
          <cell r="E341" t="str">
            <v>璞园-一期-7号楼-304</v>
          </cell>
          <cell r="F341" t="str">
            <v>住宅-多层</v>
          </cell>
          <cell r="G341" t="str">
            <v>D</v>
          </cell>
          <cell r="H341" t="str">
            <v>签约</v>
          </cell>
          <cell r="J341" t="str">
            <v>一般客户</v>
          </cell>
          <cell r="K341">
            <v>146.83000000000001</v>
          </cell>
          <cell r="L341">
            <v>112.82</v>
          </cell>
          <cell r="M341">
            <v>0</v>
          </cell>
          <cell r="N341">
            <v>0</v>
          </cell>
        </row>
        <row r="342">
          <cell r="E342" t="str">
            <v>璞园-一期-7号楼-501</v>
          </cell>
          <cell r="F342" t="str">
            <v>住宅-多层</v>
          </cell>
          <cell r="G342" t="str">
            <v>D</v>
          </cell>
          <cell r="H342" t="str">
            <v>签约</v>
          </cell>
          <cell r="J342" t="str">
            <v>一般客户</v>
          </cell>
          <cell r="K342">
            <v>140.6</v>
          </cell>
          <cell r="L342">
            <v>108.03</v>
          </cell>
          <cell r="M342">
            <v>0</v>
          </cell>
          <cell r="N342">
            <v>0</v>
          </cell>
        </row>
        <row r="343">
          <cell r="E343" t="str">
            <v>璞园-一期-7号楼-502</v>
          </cell>
          <cell r="F343" t="str">
            <v>住宅-多层</v>
          </cell>
          <cell r="G343" t="str">
            <v>D</v>
          </cell>
          <cell r="H343" t="str">
            <v>签约</v>
          </cell>
          <cell r="J343" t="str">
            <v>一般客户</v>
          </cell>
          <cell r="K343">
            <v>140.43</v>
          </cell>
          <cell r="L343">
            <v>107.91</v>
          </cell>
          <cell r="M343">
            <v>0</v>
          </cell>
          <cell r="N343">
            <v>0</v>
          </cell>
        </row>
        <row r="344">
          <cell r="E344" t="str">
            <v>璞园-一期-7号楼-503</v>
          </cell>
          <cell r="F344" t="str">
            <v>住宅-多层</v>
          </cell>
          <cell r="G344" t="str">
            <v>D</v>
          </cell>
          <cell r="H344" t="str">
            <v>签约</v>
          </cell>
          <cell r="J344" t="str">
            <v>一般客户</v>
          </cell>
          <cell r="K344">
            <v>140.43</v>
          </cell>
          <cell r="L344">
            <v>107.91</v>
          </cell>
          <cell r="M344">
            <v>0</v>
          </cell>
          <cell r="N344">
            <v>0</v>
          </cell>
        </row>
        <row r="345">
          <cell r="E345" t="str">
            <v>璞园-一期-7号楼-504</v>
          </cell>
          <cell r="F345" t="str">
            <v>住宅-多层</v>
          </cell>
          <cell r="G345" t="str">
            <v>D</v>
          </cell>
          <cell r="H345" t="str">
            <v>签约</v>
          </cell>
          <cell r="J345" t="str">
            <v>一般客户</v>
          </cell>
          <cell r="K345">
            <v>140.6</v>
          </cell>
          <cell r="L345">
            <v>108.03</v>
          </cell>
          <cell r="M345">
            <v>0</v>
          </cell>
          <cell r="N345">
            <v>0</v>
          </cell>
        </row>
        <row r="346">
          <cell r="E346" t="str">
            <v>璞园-一期-7号楼-储藏室01</v>
          </cell>
          <cell r="F346" t="str">
            <v>住宅-多层</v>
          </cell>
          <cell r="G346" t="str">
            <v>储藏室</v>
          </cell>
          <cell r="H346" t="str">
            <v>签约</v>
          </cell>
          <cell r="J346" t="str">
            <v>一般客户</v>
          </cell>
          <cell r="K346">
            <v>111.01</v>
          </cell>
          <cell r="L346">
            <v>80.400000000000006</v>
          </cell>
          <cell r="M346">
            <v>0</v>
          </cell>
          <cell r="N346">
            <v>0</v>
          </cell>
        </row>
        <row r="347">
          <cell r="E347" t="str">
            <v>璞园-一期-7号楼-储藏室02</v>
          </cell>
          <cell r="F347" t="str">
            <v>住宅-多层</v>
          </cell>
          <cell r="G347" t="str">
            <v>储藏室</v>
          </cell>
          <cell r="H347" t="str">
            <v>签约</v>
          </cell>
          <cell r="J347" t="str">
            <v>一般客户</v>
          </cell>
          <cell r="K347">
            <v>109.98</v>
          </cell>
          <cell r="L347">
            <v>79.650000000000006</v>
          </cell>
          <cell r="M347">
            <v>0</v>
          </cell>
          <cell r="N347">
            <v>0</v>
          </cell>
        </row>
        <row r="348">
          <cell r="E348" t="str">
            <v>璞园-一期-7号楼-储藏室03</v>
          </cell>
          <cell r="F348" t="str">
            <v>住宅-多层</v>
          </cell>
          <cell r="G348" t="str">
            <v>储藏室</v>
          </cell>
          <cell r="H348" t="str">
            <v>签约</v>
          </cell>
          <cell r="J348" t="str">
            <v>一般客户</v>
          </cell>
          <cell r="K348">
            <v>110.02</v>
          </cell>
          <cell r="L348">
            <v>79.680000000000007</v>
          </cell>
          <cell r="M348">
            <v>0</v>
          </cell>
          <cell r="N348">
            <v>0</v>
          </cell>
        </row>
        <row r="349">
          <cell r="E349" t="str">
            <v>璞园-一期-7号楼-储藏室04</v>
          </cell>
          <cell r="F349" t="str">
            <v>住宅-多层</v>
          </cell>
          <cell r="G349" t="str">
            <v>储藏室</v>
          </cell>
          <cell r="H349" t="str">
            <v>签约</v>
          </cell>
          <cell r="J349" t="str">
            <v>一般客户</v>
          </cell>
          <cell r="K349">
            <v>110.16</v>
          </cell>
          <cell r="L349">
            <v>79.78</v>
          </cell>
          <cell r="M349">
            <v>0</v>
          </cell>
          <cell r="N349">
            <v>0</v>
          </cell>
        </row>
        <row r="350">
          <cell r="E350" t="str">
            <v>璞园-一期-8号楼-1001</v>
          </cell>
          <cell r="F350" t="str">
            <v>住宅-高层</v>
          </cell>
          <cell r="G350" t="str">
            <v>B</v>
          </cell>
          <cell r="H350" t="str">
            <v>签约</v>
          </cell>
          <cell r="J350" t="str">
            <v>一般客户</v>
          </cell>
          <cell r="K350">
            <v>127.64</v>
          </cell>
          <cell r="L350">
            <v>97.79</v>
          </cell>
          <cell r="M350">
            <v>0</v>
          </cell>
          <cell r="N350">
            <v>0</v>
          </cell>
        </row>
        <row r="351">
          <cell r="E351" t="str">
            <v>璞园-一期-8号楼-1002</v>
          </cell>
          <cell r="F351" t="str">
            <v>住宅-高层</v>
          </cell>
          <cell r="G351" t="str">
            <v>B</v>
          </cell>
          <cell r="H351" t="str">
            <v>签约</v>
          </cell>
          <cell r="J351" t="str">
            <v>一般客户</v>
          </cell>
          <cell r="K351">
            <v>128.79</v>
          </cell>
          <cell r="L351">
            <v>98.67</v>
          </cell>
          <cell r="M351">
            <v>0</v>
          </cell>
          <cell r="N351">
            <v>0</v>
          </cell>
        </row>
        <row r="352">
          <cell r="E352" t="str">
            <v>璞园-一期-8号楼-1003</v>
          </cell>
          <cell r="F352" t="str">
            <v>住宅-高层</v>
          </cell>
          <cell r="G352" t="str">
            <v>B</v>
          </cell>
          <cell r="H352" t="str">
            <v>签约</v>
          </cell>
          <cell r="J352" t="str">
            <v>一般客户</v>
          </cell>
          <cell r="K352">
            <v>127.64</v>
          </cell>
          <cell r="L352">
            <v>97.79</v>
          </cell>
          <cell r="M352">
            <v>0</v>
          </cell>
          <cell r="N352">
            <v>0</v>
          </cell>
        </row>
        <row r="353">
          <cell r="E353" t="str">
            <v>璞园-一期-8号楼-1004</v>
          </cell>
          <cell r="F353" t="str">
            <v>住宅-高层</v>
          </cell>
          <cell r="G353" t="str">
            <v>B</v>
          </cell>
          <cell r="H353" t="str">
            <v>签约</v>
          </cell>
          <cell r="J353" t="str">
            <v>一般客户</v>
          </cell>
          <cell r="K353">
            <v>128.79</v>
          </cell>
          <cell r="L353">
            <v>98.67</v>
          </cell>
          <cell r="M353">
            <v>0</v>
          </cell>
          <cell r="N353">
            <v>0</v>
          </cell>
        </row>
        <row r="354">
          <cell r="E354" t="str">
            <v>璞园-一期-8号楼-101</v>
          </cell>
          <cell r="F354" t="str">
            <v>住宅-高层</v>
          </cell>
          <cell r="G354" t="str">
            <v>B非标</v>
          </cell>
          <cell r="H354" t="str">
            <v>待售</v>
          </cell>
          <cell r="K354">
            <v>109.15</v>
          </cell>
          <cell r="L354">
            <v>83.62</v>
          </cell>
          <cell r="M354">
            <v>0</v>
          </cell>
          <cell r="N354">
            <v>0</v>
          </cell>
        </row>
        <row r="355">
          <cell r="E355" t="str">
            <v>璞园-一期-8号楼-102</v>
          </cell>
          <cell r="F355" t="str">
            <v>住宅-高层</v>
          </cell>
          <cell r="G355" t="str">
            <v>B非标</v>
          </cell>
          <cell r="H355" t="str">
            <v>待售</v>
          </cell>
          <cell r="K355">
            <v>110.3</v>
          </cell>
          <cell r="L355">
            <v>84.5</v>
          </cell>
          <cell r="M355">
            <v>0</v>
          </cell>
          <cell r="N355">
            <v>0</v>
          </cell>
        </row>
        <row r="356">
          <cell r="E356" t="str">
            <v>璞园-一期-8号楼-103</v>
          </cell>
          <cell r="F356" t="str">
            <v>住宅-高层</v>
          </cell>
          <cell r="G356" t="str">
            <v>B非标</v>
          </cell>
          <cell r="H356" t="str">
            <v>待售</v>
          </cell>
          <cell r="K356">
            <v>109.15</v>
          </cell>
          <cell r="L356">
            <v>83.62</v>
          </cell>
          <cell r="M356">
            <v>0</v>
          </cell>
          <cell r="N356">
            <v>0</v>
          </cell>
        </row>
        <row r="357">
          <cell r="E357" t="str">
            <v>璞园-一期-8号楼-104</v>
          </cell>
          <cell r="F357" t="str">
            <v>住宅-高层</v>
          </cell>
          <cell r="G357" t="str">
            <v>B非标</v>
          </cell>
          <cell r="H357" t="str">
            <v>认购</v>
          </cell>
          <cell r="J357" t="str">
            <v>工抵房</v>
          </cell>
          <cell r="K357">
            <v>110.3</v>
          </cell>
          <cell r="L357">
            <v>84.5</v>
          </cell>
          <cell r="M357">
            <v>0</v>
          </cell>
          <cell r="N357">
            <v>0</v>
          </cell>
        </row>
        <row r="358">
          <cell r="E358" t="str">
            <v>璞园-一期-8号楼-1101</v>
          </cell>
          <cell r="F358" t="str">
            <v>住宅-高层</v>
          </cell>
          <cell r="G358" t="str">
            <v>B</v>
          </cell>
          <cell r="H358" t="str">
            <v>签约</v>
          </cell>
          <cell r="J358" t="str">
            <v>一般客户</v>
          </cell>
          <cell r="K358">
            <v>127.64</v>
          </cell>
          <cell r="L358">
            <v>97.79</v>
          </cell>
          <cell r="M358">
            <v>0</v>
          </cell>
          <cell r="N358">
            <v>0</v>
          </cell>
        </row>
        <row r="359">
          <cell r="E359" t="str">
            <v>璞园-一期-8号楼-1102</v>
          </cell>
          <cell r="F359" t="str">
            <v>住宅-高层</v>
          </cell>
          <cell r="G359" t="str">
            <v>B</v>
          </cell>
          <cell r="H359" t="str">
            <v>签约</v>
          </cell>
          <cell r="J359" t="str">
            <v>一般客户</v>
          </cell>
          <cell r="K359">
            <v>128.79</v>
          </cell>
          <cell r="L359">
            <v>98.67</v>
          </cell>
          <cell r="M359">
            <v>0</v>
          </cell>
          <cell r="N359">
            <v>0</v>
          </cell>
        </row>
        <row r="360">
          <cell r="E360" t="str">
            <v>璞园-一期-8号楼-1103</v>
          </cell>
          <cell r="F360" t="str">
            <v>住宅-高层</v>
          </cell>
          <cell r="G360" t="str">
            <v>B</v>
          </cell>
          <cell r="H360" t="str">
            <v>签约</v>
          </cell>
          <cell r="J360" t="str">
            <v>一般客户</v>
          </cell>
          <cell r="K360">
            <v>127.64</v>
          </cell>
          <cell r="L360">
            <v>97.79</v>
          </cell>
          <cell r="M360">
            <v>0</v>
          </cell>
          <cell r="N360">
            <v>0</v>
          </cell>
        </row>
        <row r="361">
          <cell r="E361" t="str">
            <v>璞园-一期-8号楼-1104</v>
          </cell>
          <cell r="F361" t="str">
            <v>住宅-高层</v>
          </cell>
          <cell r="G361" t="str">
            <v>B</v>
          </cell>
          <cell r="H361" t="str">
            <v>签约</v>
          </cell>
          <cell r="J361" t="str">
            <v>一般客户</v>
          </cell>
          <cell r="K361">
            <v>128.79</v>
          </cell>
          <cell r="L361">
            <v>98.67</v>
          </cell>
          <cell r="M361">
            <v>0</v>
          </cell>
          <cell r="N361">
            <v>0</v>
          </cell>
        </row>
        <row r="362">
          <cell r="E362" t="str">
            <v>璞园-一期-8号楼-1201</v>
          </cell>
          <cell r="F362" t="str">
            <v>住宅-高层</v>
          </cell>
          <cell r="G362" t="str">
            <v>B</v>
          </cell>
          <cell r="H362" t="str">
            <v>签约</v>
          </cell>
          <cell r="J362" t="str">
            <v>一般客户</v>
          </cell>
          <cell r="K362">
            <v>127.64</v>
          </cell>
          <cell r="L362">
            <v>97.79</v>
          </cell>
          <cell r="M362">
            <v>0</v>
          </cell>
          <cell r="N362">
            <v>0</v>
          </cell>
        </row>
        <row r="363">
          <cell r="E363" t="str">
            <v>璞园-一期-8号楼-1202</v>
          </cell>
          <cell r="F363" t="str">
            <v>住宅-高层</v>
          </cell>
          <cell r="G363" t="str">
            <v>B</v>
          </cell>
          <cell r="H363" t="str">
            <v>签约</v>
          </cell>
          <cell r="J363" t="str">
            <v>一般客户</v>
          </cell>
          <cell r="K363">
            <v>128.79</v>
          </cell>
          <cell r="L363">
            <v>98.67</v>
          </cell>
          <cell r="M363">
            <v>0</v>
          </cell>
          <cell r="N363">
            <v>0</v>
          </cell>
        </row>
        <row r="364">
          <cell r="E364" t="str">
            <v>璞园-一期-8号楼-1203</v>
          </cell>
          <cell r="F364" t="str">
            <v>住宅-高层</v>
          </cell>
          <cell r="G364" t="str">
            <v>B</v>
          </cell>
          <cell r="H364" t="str">
            <v>签约</v>
          </cell>
          <cell r="J364" t="str">
            <v>一般客户</v>
          </cell>
          <cell r="K364">
            <v>127.64</v>
          </cell>
          <cell r="L364">
            <v>97.79</v>
          </cell>
          <cell r="M364">
            <v>0</v>
          </cell>
          <cell r="N364">
            <v>0</v>
          </cell>
        </row>
        <row r="365">
          <cell r="E365" t="str">
            <v>璞园-一期-8号楼-1204</v>
          </cell>
          <cell r="F365" t="str">
            <v>住宅-高层</v>
          </cell>
          <cell r="G365" t="str">
            <v>B</v>
          </cell>
          <cell r="H365" t="str">
            <v>签约</v>
          </cell>
          <cell r="J365" t="str">
            <v>一般客户</v>
          </cell>
          <cell r="K365">
            <v>128.79</v>
          </cell>
          <cell r="L365">
            <v>98.67</v>
          </cell>
          <cell r="M365">
            <v>0</v>
          </cell>
          <cell r="N365">
            <v>0</v>
          </cell>
        </row>
        <row r="366">
          <cell r="E366" t="str">
            <v>璞园-一期-8号楼-1301</v>
          </cell>
          <cell r="F366" t="str">
            <v>住宅-高层</v>
          </cell>
          <cell r="G366" t="str">
            <v>B</v>
          </cell>
          <cell r="H366" t="str">
            <v>签约</v>
          </cell>
          <cell r="J366" t="str">
            <v>一般客户</v>
          </cell>
          <cell r="K366">
            <v>127.64</v>
          </cell>
          <cell r="L366">
            <v>97.79</v>
          </cell>
          <cell r="M366">
            <v>0</v>
          </cell>
          <cell r="N366">
            <v>0</v>
          </cell>
        </row>
        <row r="367">
          <cell r="E367" t="str">
            <v>璞园-一期-8号楼-1302</v>
          </cell>
          <cell r="F367" t="str">
            <v>住宅-高层</v>
          </cell>
          <cell r="G367" t="str">
            <v>B</v>
          </cell>
          <cell r="H367" t="str">
            <v>签约</v>
          </cell>
          <cell r="J367" t="str">
            <v>一般客户</v>
          </cell>
          <cell r="K367">
            <v>128.79</v>
          </cell>
          <cell r="L367">
            <v>98.67</v>
          </cell>
          <cell r="M367">
            <v>0</v>
          </cell>
          <cell r="N367">
            <v>0</v>
          </cell>
        </row>
        <row r="368">
          <cell r="E368" t="str">
            <v>璞园-一期-8号楼-1303</v>
          </cell>
          <cell r="F368" t="str">
            <v>住宅-高层</v>
          </cell>
          <cell r="G368" t="str">
            <v>B</v>
          </cell>
          <cell r="H368" t="str">
            <v>签约</v>
          </cell>
          <cell r="J368" t="str">
            <v>一般客户</v>
          </cell>
          <cell r="K368">
            <v>127.64</v>
          </cell>
          <cell r="L368">
            <v>97.79</v>
          </cell>
          <cell r="M368">
            <v>0</v>
          </cell>
          <cell r="N368">
            <v>0</v>
          </cell>
        </row>
        <row r="369">
          <cell r="E369" t="str">
            <v>璞园-一期-8号楼-1304</v>
          </cell>
          <cell r="F369" t="str">
            <v>住宅-高层</v>
          </cell>
          <cell r="G369" t="str">
            <v>B</v>
          </cell>
          <cell r="H369" t="str">
            <v>签约</v>
          </cell>
          <cell r="J369" t="str">
            <v>一般客户</v>
          </cell>
          <cell r="K369">
            <v>128.79</v>
          </cell>
          <cell r="L369">
            <v>98.67</v>
          </cell>
          <cell r="M369">
            <v>0</v>
          </cell>
          <cell r="N369">
            <v>0</v>
          </cell>
        </row>
        <row r="370">
          <cell r="E370" t="str">
            <v>璞园-一期-8号楼-1401</v>
          </cell>
          <cell r="F370" t="str">
            <v>住宅-高层</v>
          </cell>
          <cell r="G370" t="str">
            <v>B</v>
          </cell>
          <cell r="H370" t="str">
            <v>签约</v>
          </cell>
          <cell r="J370" t="str">
            <v>一般客户</v>
          </cell>
          <cell r="K370">
            <v>127.64</v>
          </cell>
          <cell r="L370">
            <v>97.79</v>
          </cell>
          <cell r="M370">
            <v>0</v>
          </cell>
          <cell r="N370">
            <v>0</v>
          </cell>
        </row>
        <row r="371">
          <cell r="E371" t="str">
            <v>璞园-一期-8号楼-1402</v>
          </cell>
          <cell r="F371" t="str">
            <v>住宅-高层</v>
          </cell>
          <cell r="G371" t="str">
            <v>B</v>
          </cell>
          <cell r="H371" t="str">
            <v>签约</v>
          </cell>
          <cell r="J371" t="str">
            <v>一般客户</v>
          </cell>
          <cell r="K371">
            <v>128.79</v>
          </cell>
          <cell r="L371">
            <v>98.67</v>
          </cell>
          <cell r="M371">
            <v>0</v>
          </cell>
          <cell r="N371">
            <v>0</v>
          </cell>
        </row>
        <row r="372">
          <cell r="E372" t="str">
            <v>璞园-一期-8号楼-1403</v>
          </cell>
          <cell r="F372" t="str">
            <v>住宅-高层</v>
          </cell>
          <cell r="G372" t="str">
            <v>B</v>
          </cell>
          <cell r="H372" t="str">
            <v>签约</v>
          </cell>
          <cell r="J372" t="str">
            <v>一般客户</v>
          </cell>
          <cell r="K372">
            <v>127.64</v>
          </cell>
          <cell r="L372">
            <v>97.79</v>
          </cell>
          <cell r="M372">
            <v>0</v>
          </cell>
          <cell r="N372">
            <v>0</v>
          </cell>
        </row>
        <row r="373">
          <cell r="E373" t="str">
            <v>璞园-一期-8号楼-1404</v>
          </cell>
          <cell r="F373" t="str">
            <v>住宅-高层</v>
          </cell>
          <cell r="G373" t="str">
            <v>B</v>
          </cell>
          <cell r="H373" t="str">
            <v>签约</v>
          </cell>
          <cell r="J373" t="str">
            <v>一般客户</v>
          </cell>
          <cell r="K373">
            <v>128.79</v>
          </cell>
          <cell r="L373">
            <v>98.67</v>
          </cell>
          <cell r="M373">
            <v>0</v>
          </cell>
          <cell r="N373">
            <v>0</v>
          </cell>
        </row>
        <row r="374">
          <cell r="E374" t="str">
            <v>璞园-一期-8号楼-1501</v>
          </cell>
          <cell r="F374" t="str">
            <v>住宅-高层</v>
          </cell>
          <cell r="G374" t="str">
            <v>B</v>
          </cell>
          <cell r="H374" t="str">
            <v>签约</v>
          </cell>
          <cell r="J374" t="str">
            <v>一般客户</v>
          </cell>
          <cell r="K374">
            <v>127.64</v>
          </cell>
          <cell r="L374">
            <v>97.79</v>
          </cell>
          <cell r="M374">
            <v>0</v>
          </cell>
          <cell r="N374">
            <v>0</v>
          </cell>
        </row>
        <row r="375">
          <cell r="E375" t="str">
            <v>璞园-一期-8号楼-1502</v>
          </cell>
          <cell r="F375" t="str">
            <v>住宅-高层</v>
          </cell>
          <cell r="G375" t="str">
            <v>B</v>
          </cell>
          <cell r="H375" t="str">
            <v>签约</v>
          </cell>
          <cell r="J375" t="str">
            <v>一般客户</v>
          </cell>
          <cell r="K375">
            <v>128.79</v>
          </cell>
          <cell r="L375">
            <v>98.67</v>
          </cell>
          <cell r="M375">
            <v>0</v>
          </cell>
          <cell r="N375">
            <v>0</v>
          </cell>
        </row>
        <row r="376">
          <cell r="E376" t="str">
            <v>璞园-一期-8号楼-1503</v>
          </cell>
          <cell r="F376" t="str">
            <v>住宅-高层</v>
          </cell>
          <cell r="G376" t="str">
            <v>B</v>
          </cell>
          <cell r="H376" t="str">
            <v>签约</v>
          </cell>
          <cell r="J376" t="str">
            <v>一般客户</v>
          </cell>
          <cell r="K376">
            <v>127.64</v>
          </cell>
          <cell r="L376">
            <v>97.79</v>
          </cell>
          <cell r="M376">
            <v>0</v>
          </cell>
          <cell r="N376">
            <v>0</v>
          </cell>
        </row>
        <row r="377">
          <cell r="E377" t="str">
            <v>璞园-一期-8号楼-1504</v>
          </cell>
          <cell r="F377" t="str">
            <v>住宅-高层</v>
          </cell>
          <cell r="G377" t="str">
            <v>B</v>
          </cell>
          <cell r="H377" t="str">
            <v>签约</v>
          </cell>
          <cell r="J377" t="str">
            <v>一般客户</v>
          </cell>
          <cell r="K377">
            <v>128.79</v>
          </cell>
          <cell r="L377">
            <v>98.67</v>
          </cell>
          <cell r="M377">
            <v>0</v>
          </cell>
          <cell r="N377">
            <v>0</v>
          </cell>
        </row>
        <row r="378">
          <cell r="E378" t="str">
            <v>璞园-一期-8号楼-1601</v>
          </cell>
          <cell r="F378" t="str">
            <v>住宅-高层</v>
          </cell>
          <cell r="G378" t="str">
            <v>B</v>
          </cell>
          <cell r="H378" t="str">
            <v>签约</v>
          </cell>
          <cell r="J378" t="str">
            <v>一般客户</v>
          </cell>
          <cell r="K378">
            <v>127.64</v>
          </cell>
          <cell r="L378">
            <v>97.79</v>
          </cell>
          <cell r="M378">
            <v>0</v>
          </cell>
          <cell r="N378">
            <v>0</v>
          </cell>
        </row>
        <row r="379">
          <cell r="E379" t="str">
            <v>璞园-一期-8号楼-1602</v>
          </cell>
          <cell r="F379" t="str">
            <v>住宅-高层</v>
          </cell>
          <cell r="G379" t="str">
            <v>B</v>
          </cell>
          <cell r="H379" t="str">
            <v>签约</v>
          </cell>
          <cell r="J379" t="str">
            <v>一般客户</v>
          </cell>
          <cell r="K379">
            <v>128.79</v>
          </cell>
          <cell r="L379">
            <v>98.67</v>
          </cell>
          <cell r="M379">
            <v>0</v>
          </cell>
          <cell r="N379">
            <v>0</v>
          </cell>
        </row>
        <row r="380">
          <cell r="E380" t="str">
            <v>璞园-一期-8号楼-1603</v>
          </cell>
          <cell r="F380" t="str">
            <v>住宅-高层</v>
          </cell>
          <cell r="G380" t="str">
            <v>B</v>
          </cell>
          <cell r="H380" t="str">
            <v>签约</v>
          </cell>
          <cell r="J380" t="str">
            <v>一般客户</v>
          </cell>
          <cell r="K380">
            <v>127.64</v>
          </cell>
          <cell r="L380">
            <v>97.79</v>
          </cell>
          <cell r="M380">
            <v>0</v>
          </cell>
          <cell r="N380">
            <v>0</v>
          </cell>
        </row>
        <row r="381">
          <cell r="E381" t="str">
            <v>璞园-一期-8号楼-1604</v>
          </cell>
          <cell r="F381" t="str">
            <v>住宅-高层</v>
          </cell>
          <cell r="G381" t="str">
            <v>B</v>
          </cell>
          <cell r="H381" t="str">
            <v>签约</v>
          </cell>
          <cell r="J381" t="str">
            <v>一般客户</v>
          </cell>
          <cell r="K381">
            <v>128.79</v>
          </cell>
          <cell r="L381">
            <v>98.67</v>
          </cell>
          <cell r="M381">
            <v>0</v>
          </cell>
          <cell r="N381">
            <v>0</v>
          </cell>
        </row>
        <row r="382">
          <cell r="E382" t="str">
            <v>璞园-一期-8号楼-1701</v>
          </cell>
          <cell r="F382" t="str">
            <v>住宅-高层</v>
          </cell>
          <cell r="G382" t="str">
            <v>B</v>
          </cell>
          <cell r="H382" t="str">
            <v>签约</v>
          </cell>
          <cell r="J382" t="str">
            <v>一般客户</v>
          </cell>
          <cell r="K382">
            <v>127.64</v>
          </cell>
          <cell r="L382">
            <v>97.79</v>
          </cell>
          <cell r="M382">
            <v>0</v>
          </cell>
          <cell r="N382">
            <v>0</v>
          </cell>
        </row>
        <row r="383">
          <cell r="E383" t="str">
            <v>璞园-一期-8号楼-1702</v>
          </cell>
          <cell r="F383" t="str">
            <v>住宅-高层</v>
          </cell>
          <cell r="G383" t="str">
            <v>B</v>
          </cell>
          <cell r="H383" t="str">
            <v>签约</v>
          </cell>
          <cell r="J383" t="str">
            <v>一般客户</v>
          </cell>
          <cell r="K383">
            <v>128.79</v>
          </cell>
          <cell r="L383">
            <v>98.67</v>
          </cell>
          <cell r="M383">
            <v>0</v>
          </cell>
          <cell r="N383">
            <v>0</v>
          </cell>
        </row>
        <row r="384">
          <cell r="E384" t="str">
            <v>璞园-一期-8号楼-1703</v>
          </cell>
          <cell r="F384" t="str">
            <v>住宅-高层</v>
          </cell>
          <cell r="G384" t="str">
            <v>B</v>
          </cell>
          <cell r="H384" t="str">
            <v>签约</v>
          </cell>
          <cell r="J384" t="str">
            <v>一般客户</v>
          </cell>
          <cell r="K384">
            <v>127.64</v>
          </cell>
          <cell r="L384">
            <v>97.79</v>
          </cell>
          <cell r="M384">
            <v>0</v>
          </cell>
          <cell r="N384">
            <v>0</v>
          </cell>
        </row>
        <row r="385">
          <cell r="E385" t="str">
            <v>璞园-一期-8号楼-1704</v>
          </cell>
          <cell r="F385" t="str">
            <v>住宅-高层</v>
          </cell>
          <cell r="G385" t="str">
            <v>B</v>
          </cell>
          <cell r="H385" t="str">
            <v>签约</v>
          </cell>
          <cell r="J385" t="str">
            <v>一般客户</v>
          </cell>
          <cell r="K385">
            <v>128.79</v>
          </cell>
          <cell r="L385">
            <v>98.67</v>
          </cell>
          <cell r="M385">
            <v>0</v>
          </cell>
          <cell r="N385">
            <v>0</v>
          </cell>
        </row>
        <row r="386">
          <cell r="E386" t="str">
            <v>璞园-一期-8号楼-1801</v>
          </cell>
          <cell r="F386" t="str">
            <v>住宅-高层</v>
          </cell>
          <cell r="G386" t="str">
            <v>B</v>
          </cell>
          <cell r="H386" t="str">
            <v>签约</v>
          </cell>
          <cell r="J386" t="str">
            <v>一般客户</v>
          </cell>
          <cell r="K386">
            <v>127.64</v>
          </cell>
          <cell r="L386">
            <v>97.79</v>
          </cell>
          <cell r="M386">
            <v>0</v>
          </cell>
          <cell r="N386">
            <v>0</v>
          </cell>
        </row>
        <row r="387">
          <cell r="E387" t="str">
            <v>璞园-一期-8号楼-1802</v>
          </cell>
          <cell r="F387" t="str">
            <v>住宅-高层</v>
          </cell>
          <cell r="G387" t="str">
            <v>B</v>
          </cell>
          <cell r="H387" t="str">
            <v>待售</v>
          </cell>
          <cell r="K387">
            <v>128.79</v>
          </cell>
          <cell r="L387">
            <v>98.67</v>
          </cell>
          <cell r="M387">
            <v>0</v>
          </cell>
          <cell r="N387">
            <v>0</v>
          </cell>
        </row>
        <row r="388">
          <cell r="E388" t="str">
            <v>璞园-一期-8号楼-1803</v>
          </cell>
          <cell r="F388" t="str">
            <v>住宅-高层</v>
          </cell>
          <cell r="G388" t="str">
            <v>B</v>
          </cell>
          <cell r="H388" t="str">
            <v>待售</v>
          </cell>
          <cell r="K388">
            <v>127.64</v>
          </cell>
          <cell r="L388">
            <v>97.79</v>
          </cell>
          <cell r="M388">
            <v>0</v>
          </cell>
          <cell r="N388">
            <v>0</v>
          </cell>
        </row>
        <row r="389">
          <cell r="E389" t="str">
            <v>璞园-一期-8号楼-1804</v>
          </cell>
          <cell r="F389" t="str">
            <v>住宅-高层</v>
          </cell>
          <cell r="G389" t="str">
            <v>B</v>
          </cell>
          <cell r="H389" t="str">
            <v>待售</v>
          </cell>
          <cell r="K389">
            <v>128.79</v>
          </cell>
          <cell r="L389">
            <v>98.67</v>
          </cell>
          <cell r="M389">
            <v>0</v>
          </cell>
          <cell r="N389">
            <v>0</v>
          </cell>
        </row>
        <row r="390">
          <cell r="E390" t="str">
            <v>璞园-一期-8号楼-201</v>
          </cell>
          <cell r="F390" t="str">
            <v>住宅-高层</v>
          </cell>
          <cell r="G390" t="str">
            <v>B</v>
          </cell>
          <cell r="H390" t="str">
            <v>签约</v>
          </cell>
          <cell r="J390" t="str">
            <v>工抵房</v>
          </cell>
          <cell r="K390">
            <v>127.64</v>
          </cell>
          <cell r="L390">
            <v>97.79</v>
          </cell>
          <cell r="M390">
            <v>0</v>
          </cell>
          <cell r="N390">
            <v>0</v>
          </cell>
        </row>
        <row r="391">
          <cell r="E391" t="str">
            <v>璞园-一期-8号楼-202</v>
          </cell>
          <cell r="F391" t="str">
            <v>住宅-高层</v>
          </cell>
          <cell r="G391" t="str">
            <v>B</v>
          </cell>
          <cell r="H391" t="str">
            <v>待售</v>
          </cell>
          <cell r="K391">
            <v>128.79</v>
          </cell>
          <cell r="L391">
            <v>98.67</v>
          </cell>
          <cell r="M391">
            <v>0</v>
          </cell>
          <cell r="N391">
            <v>0</v>
          </cell>
        </row>
        <row r="392">
          <cell r="E392" t="str">
            <v>璞园-一期-8号楼-203</v>
          </cell>
          <cell r="F392" t="str">
            <v>住宅-高层</v>
          </cell>
          <cell r="G392" t="str">
            <v>B</v>
          </cell>
          <cell r="H392" t="str">
            <v>待售</v>
          </cell>
          <cell r="K392">
            <v>127.64</v>
          </cell>
          <cell r="L392">
            <v>97.79</v>
          </cell>
          <cell r="M392">
            <v>0</v>
          </cell>
          <cell r="N392">
            <v>0</v>
          </cell>
        </row>
        <row r="393">
          <cell r="E393" t="str">
            <v>璞园-一期-8号楼-204</v>
          </cell>
          <cell r="F393" t="str">
            <v>住宅-高层</v>
          </cell>
          <cell r="G393" t="str">
            <v>B</v>
          </cell>
          <cell r="H393" t="str">
            <v>待售</v>
          </cell>
          <cell r="K393">
            <v>128.79</v>
          </cell>
          <cell r="L393">
            <v>98.67</v>
          </cell>
          <cell r="M393">
            <v>0</v>
          </cell>
          <cell r="N393">
            <v>0</v>
          </cell>
        </row>
        <row r="394">
          <cell r="E394" t="str">
            <v>璞园-一期-8号楼-301</v>
          </cell>
          <cell r="F394" t="str">
            <v>住宅-高层</v>
          </cell>
          <cell r="G394" t="str">
            <v>B</v>
          </cell>
          <cell r="H394" t="str">
            <v>签约</v>
          </cell>
          <cell r="J394" t="str">
            <v>一般客户</v>
          </cell>
          <cell r="K394">
            <v>127.64</v>
          </cell>
          <cell r="L394">
            <v>97.79</v>
          </cell>
          <cell r="M394">
            <v>0</v>
          </cell>
          <cell r="N394">
            <v>0</v>
          </cell>
        </row>
        <row r="395">
          <cell r="E395" t="str">
            <v>璞园-一期-8号楼-302</v>
          </cell>
          <cell r="F395" t="str">
            <v>住宅-高层</v>
          </cell>
          <cell r="G395" t="str">
            <v>B</v>
          </cell>
          <cell r="H395" t="str">
            <v>签约</v>
          </cell>
          <cell r="J395" t="str">
            <v>一般客户</v>
          </cell>
          <cell r="K395">
            <v>128.79</v>
          </cell>
          <cell r="L395">
            <v>98.67</v>
          </cell>
          <cell r="M395">
            <v>0</v>
          </cell>
          <cell r="N395">
            <v>0</v>
          </cell>
        </row>
        <row r="396">
          <cell r="E396" t="str">
            <v>璞园-一期-8号楼-303</v>
          </cell>
          <cell r="F396" t="str">
            <v>住宅-高层</v>
          </cell>
          <cell r="G396" t="str">
            <v>B</v>
          </cell>
          <cell r="H396" t="str">
            <v>签约</v>
          </cell>
          <cell r="J396" t="str">
            <v>一般客户</v>
          </cell>
          <cell r="K396">
            <v>127.64</v>
          </cell>
          <cell r="L396">
            <v>97.79</v>
          </cell>
          <cell r="M396">
            <v>0</v>
          </cell>
          <cell r="N396">
            <v>0</v>
          </cell>
        </row>
        <row r="397">
          <cell r="E397" t="str">
            <v>璞园-一期-8号楼-304</v>
          </cell>
          <cell r="F397" t="str">
            <v>住宅-高层</v>
          </cell>
          <cell r="G397" t="str">
            <v>B</v>
          </cell>
          <cell r="H397" t="str">
            <v>签约</v>
          </cell>
          <cell r="J397" t="str">
            <v>一般客户</v>
          </cell>
          <cell r="K397">
            <v>128.79</v>
          </cell>
          <cell r="L397">
            <v>98.67</v>
          </cell>
          <cell r="M397">
            <v>0</v>
          </cell>
          <cell r="N397">
            <v>0</v>
          </cell>
        </row>
        <row r="398">
          <cell r="E398" t="str">
            <v>璞园-一期-8号楼-401</v>
          </cell>
          <cell r="F398" t="str">
            <v>住宅-高层</v>
          </cell>
          <cell r="G398" t="str">
            <v>B</v>
          </cell>
          <cell r="H398" t="str">
            <v>签约</v>
          </cell>
          <cell r="J398" t="str">
            <v>一般客户</v>
          </cell>
          <cell r="K398">
            <v>127.64</v>
          </cell>
          <cell r="L398">
            <v>97.79</v>
          </cell>
          <cell r="M398">
            <v>0</v>
          </cell>
          <cell r="N398">
            <v>0</v>
          </cell>
        </row>
        <row r="399">
          <cell r="E399" t="str">
            <v>璞园-一期-8号楼-402</v>
          </cell>
          <cell r="F399" t="str">
            <v>住宅-高层</v>
          </cell>
          <cell r="G399" t="str">
            <v>B</v>
          </cell>
          <cell r="H399" t="str">
            <v>签约</v>
          </cell>
          <cell r="J399" t="str">
            <v>一般客户</v>
          </cell>
          <cell r="K399">
            <v>128.79</v>
          </cell>
          <cell r="L399">
            <v>98.67</v>
          </cell>
          <cell r="M399">
            <v>0</v>
          </cell>
          <cell r="N399">
            <v>0</v>
          </cell>
        </row>
        <row r="400">
          <cell r="E400" t="str">
            <v>璞园-一期-8号楼-403</v>
          </cell>
          <cell r="F400" t="str">
            <v>住宅-高层</v>
          </cell>
          <cell r="G400" t="str">
            <v>B</v>
          </cell>
          <cell r="H400" t="str">
            <v>签约</v>
          </cell>
          <cell r="J400" t="str">
            <v>一般客户</v>
          </cell>
          <cell r="K400">
            <v>127.64</v>
          </cell>
          <cell r="L400">
            <v>97.79</v>
          </cell>
          <cell r="M400">
            <v>0</v>
          </cell>
          <cell r="N400">
            <v>0</v>
          </cell>
        </row>
        <row r="401">
          <cell r="E401" t="str">
            <v>璞园-一期-8号楼-404</v>
          </cell>
          <cell r="F401" t="str">
            <v>住宅-高层</v>
          </cell>
          <cell r="G401" t="str">
            <v>B</v>
          </cell>
          <cell r="H401" t="str">
            <v>签约</v>
          </cell>
          <cell r="J401" t="str">
            <v>一般客户</v>
          </cell>
          <cell r="K401">
            <v>128.79</v>
          </cell>
          <cell r="L401">
            <v>98.67</v>
          </cell>
          <cell r="M401">
            <v>0</v>
          </cell>
          <cell r="N401">
            <v>0</v>
          </cell>
        </row>
        <row r="402">
          <cell r="E402" t="str">
            <v>璞园-一期-8号楼-501</v>
          </cell>
          <cell r="F402" t="str">
            <v>住宅-高层</v>
          </cell>
          <cell r="G402" t="str">
            <v>B</v>
          </cell>
          <cell r="H402" t="str">
            <v>签约</v>
          </cell>
          <cell r="J402" t="str">
            <v>一般客户</v>
          </cell>
          <cell r="K402">
            <v>127.64</v>
          </cell>
          <cell r="L402">
            <v>97.79</v>
          </cell>
          <cell r="M402">
            <v>0</v>
          </cell>
          <cell r="N402">
            <v>0</v>
          </cell>
        </row>
        <row r="403">
          <cell r="E403" t="str">
            <v>璞园-一期-8号楼-502</v>
          </cell>
          <cell r="F403" t="str">
            <v>住宅-高层</v>
          </cell>
          <cell r="G403" t="str">
            <v>B</v>
          </cell>
          <cell r="H403" t="str">
            <v>签约</v>
          </cell>
          <cell r="J403" t="str">
            <v>一般客户</v>
          </cell>
          <cell r="K403">
            <v>128.79</v>
          </cell>
          <cell r="L403">
            <v>98.67</v>
          </cell>
          <cell r="M403">
            <v>0</v>
          </cell>
          <cell r="N403">
            <v>0</v>
          </cell>
        </row>
        <row r="404">
          <cell r="E404" t="str">
            <v>璞园-一期-8号楼-503</v>
          </cell>
          <cell r="F404" t="str">
            <v>住宅-高层</v>
          </cell>
          <cell r="G404" t="str">
            <v>B</v>
          </cell>
          <cell r="H404" t="str">
            <v>签约</v>
          </cell>
          <cell r="J404" t="str">
            <v>一般客户</v>
          </cell>
          <cell r="K404">
            <v>127.64</v>
          </cell>
          <cell r="L404">
            <v>97.79</v>
          </cell>
          <cell r="M404">
            <v>0</v>
          </cell>
          <cell r="N404">
            <v>0</v>
          </cell>
        </row>
        <row r="405">
          <cell r="E405" t="str">
            <v>璞园-一期-8号楼-504</v>
          </cell>
          <cell r="F405" t="str">
            <v>住宅-高层</v>
          </cell>
          <cell r="G405" t="str">
            <v>B</v>
          </cell>
          <cell r="H405" t="str">
            <v>签约</v>
          </cell>
          <cell r="J405" t="str">
            <v>一般客户</v>
          </cell>
          <cell r="K405">
            <v>128.79</v>
          </cell>
          <cell r="L405">
            <v>98.67</v>
          </cell>
          <cell r="M405">
            <v>0</v>
          </cell>
          <cell r="N405">
            <v>0</v>
          </cell>
        </row>
        <row r="406">
          <cell r="E406" t="str">
            <v>璞园-一期-8号楼-601</v>
          </cell>
          <cell r="F406" t="str">
            <v>住宅-高层</v>
          </cell>
          <cell r="G406" t="str">
            <v>B</v>
          </cell>
          <cell r="H406" t="str">
            <v>签约</v>
          </cell>
          <cell r="J406" t="str">
            <v>一般客户</v>
          </cell>
          <cell r="K406">
            <v>127.64</v>
          </cell>
          <cell r="L406">
            <v>97.79</v>
          </cell>
          <cell r="M406">
            <v>0</v>
          </cell>
          <cell r="N406">
            <v>0</v>
          </cell>
        </row>
        <row r="407">
          <cell r="E407" t="str">
            <v>璞园-一期-8号楼-602</v>
          </cell>
          <cell r="F407" t="str">
            <v>住宅-高层</v>
          </cell>
          <cell r="G407" t="str">
            <v>B</v>
          </cell>
          <cell r="H407" t="str">
            <v>签约</v>
          </cell>
          <cell r="J407" t="str">
            <v>一般客户</v>
          </cell>
          <cell r="K407">
            <v>128.79</v>
          </cell>
          <cell r="L407">
            <v>98.67</v>
          </cell>
          <cell r="M407">
            <v>0</v>
          </cell>
          <cell r="N407">
            <v>0</v>
          </cell>
        </row>
        <row r="408">
          <cell r="E408" t="str">
            <v>璞园-一期-8号楼-603</v>
          </cell>
          <cell r="F408" t="str">
            <v>住宅-高层</v>
          </cell>
          <cell r="G408" t="str">
            <v>B</v>
          </cell>
          <cell r="H408" t="str">
            <v>签约</v>
          </cell>
          <cell r="J408" t="str">
            <v>一般客户</v>
          </cell>
          <cell r="K408">
            <v>127.64</v>
          </cell>
          <cell r="L408">
            <v>97.79</v>
          </cell>
          <cell r="M408">
            <v>0</v>
          </cell>
          <cell r="N408">
            <v>0</v>
          </cell>
        </row>
        <row r="409">
          <cell r="E409" t="str">
            <v>璞园-一期-8号楼-604</v>
          </cell>
          <cell r="F409" t="str">
            <v>住宅-高层</v>
          </cell>
          <cell r="G409" t="str">
            <v>B</v>
          </cell>
          <cell r="H409" t="str">
            <v>签约</v>
          </cell>
          <cell r="J409" t="str">
            <v>一般客户</v>
          </cell>
          <cell r="K409">
            <v>128.79</v>
          </cell>
          <cell r="L409">
            <v>98.67</v>
          </cell>
          <cell r="M409">
            <v>0</v>
          </cell>
          <cell r="N409">
            <v>0</v>
          </cell>
        </row>
        <row r="410">
          <cell r="E410" t="str">
            <v>璞园-一期-8号楼-701</v>
          </cell>
          <cell r="F410" t="str">
            <v>住宅-高层</v>
          </cell>
          <cell r="G410" t="str">
            <v>B</v>
          </cell>
          <cell r="H410" t="str">
            <v>签约</v>
          </cell>
          <cell r="J410" t="str">
            <v>一般客户</v>
          </cell>
          <cell r="K410">
            <v>127.64</v>
          </cell>
          <cell r="L410">
            <v>97.79</v>
          </cell>
          <cell r="M410">
            <v>0</v>
          </cell>
          <cell r="N410">
            <v>0</v>
          </cell>
        </row>
        <row r="411">
          <cell r="E411" t="str">
            <v>璞园-一期-8号楼-702</v>
          </cell>
          <cell r="F411" t="str">
            <v>住宅-高层</v>
          </cell>
          <cell r="G411" t="str">
            <v>B</v>
          </cell>
          <cell r="H411" t="str">
            <v>签约</v>
          </cell>
          <cell r="J411" t="str">
            <v>一般客户</v>
          </cell>
          <cell r="K411">
            <v>128.79</v>
          </cell>
          <cell r="L411">
            <v>98.67</v>
          </cell>
          <cell r="M411">
            <v>0</v>
          </cell>
          <cell r="N411">
            <v>0</v>
          </cell>
        </row>
        <row r="412">
          <cell r="E412" t="str">
            <v>璞园-一期-8号楼-703</v>
          </cell>
          <cell r="F412" t="str">
            <v>住宅-高层</v>
          </cell>
          <cell r="G412" t="str">
            <v>B</v>
          </cell>
          <cell r="H412" t="str">
            <v>签约</v>
          </cell>
          <cell r="J412" t="str">
            <v>一般客户</v>
          </cell>
          <cell r="K412">
            <v>127.64</v>
          </cell>
          <cell r="L412">
            <v>97.79</v>
          </cell>
          <cell r="M412">
            <v>0</v>
          </cell>
          <cell r="N412">
            <v>0</v>
          </cell>
        </row>
        <row r="413">
          <cell r="E413" t="str">
            <v>璞园-一期-8号楼-704</v>
          </cell>
          <cell r="F413" t="str">
            <v>住宅-高层</v>
          </cell>
          <cell r="G413" t="str">
            <v>B</v>
          </cell>
          <cell r="H413" t="str">
            <v>签约</v>
          </cell>
          <cell r="J413" t="str">
            <v>一般客户</v>
          </cell>
          <cell r="K413">
            <v>128.79</v>
          </cell>
          <cell r="L413">
            <v>98.67</v>
          </cell>
          <cell r="M413">
            <v>0</v>
          </cell>
          <cell r="N413">
            <v>0</v>
          </cell>
        </row>
        <row r="414">
          <cell r="E414" t="str">
            <v>璞园-一期-8号楼-801</v>
          </cell>
          <cell r="F414" t="str">
            <v>住宅-高层</v>
          </cell>
          <cell r="G414" t="str">
            <v>B</v>
          </cell>
          <cell r="H414" t="str">
            <v>签约</v>
          </cell>
          <cell r="J414" t="str">
            <v>一般客户</v>
          </cell>
          <cell r="K414">
            <v>127.64</v>
          </cell>
          <cell r="L414">
            <v>97.79</v>
          </cell>
          <cell r="M414">
            <v>0</v>
          </cell>
          <cell r="N414">
            <v>0</v>
          </cell>
        </row>
        <row r="415">
          <cell r="E415" t="str">
            <v>璞园-一期-8号楼-802</v>
          </cell>
          <cell r="F415" t="str">
            <v>住宅-高层</v>
          </cell>
          <cell r="G415" t="str">
            <v>B</v>
          </cell>
          <cell r="H415" t="str">
            <v>签约</v>
          </cell>
          <cell r="J415" t="str">
            <v>一般客户</v>
          </cell>
          <cell r="K415">
            <v>128.79</v>
          </cell>
          <cell r="L415">
            <v>98.67</v>
          </cell>
          <cell r="M415">
            <v>0</v>
          </cell>
          <cell r="N415">
            <v>0</v>
          </cell>
        </row>
        <row r="416">
          <cell r="E416" t="str">
            <v>璞园-一期-8号楼-803</v>
          </cell>
          <cell r="F416" t="str">
            <v>住宅-高层</v>
          </cell>
          <cell r="G416" t="str">
            <v>B</v>
          </cell>
          <cell r="H416" t="str">
            <v>签约</v>
          </cell>
          <cell r="J416" t="str">
            <v>一般客户</v>
          </cell>
          <cell r="K416">
            <v>127.64</v>
          </cell>
          <cell r="L416">
            <v>97.79</v>
          </cell>
          <cell r="M416">
            <v>0</v>
          </cell>
          <cell r="N416">
            <v>0</v>
          </cell>
        </row>
        <row r="417">
          <cell r="E417" t="str">
            <v>璞园-一期-8号楼-804</v>
          </cell>
          <cell r="F417" t="str">
            <v>住宅-高层</v>
          </cell>
          <cell r="G417" t="str">
            <v>B</v>
          </cell>
          <cell r="H417" t="str">
            <v>签约</v>
          </cell>
          <cell r="J417" t="str">
            <v>一般客户</v>
          </cell>
          <cell r="K417">
            <v>128.79</v>
          </cell>
          <cell r="L417">
            <v>98.67</v>
          </cell>
          <cell r="M417">
            <v>0</v>
          </cell>
          <cell r="N417">
            <v>0</v>
          </cell>
        </row>
        <row r="418">
          <cell r="E418" t="str">
            <v>璞园-一期-8号楼-901</v>
          </cell>
          <cell r="F418" t="str">
            <v>住宅-高层</v>
          </cell>
          <cell r="G418" t="str">
            <v>B</v>
          </cell>
          <cell r="H418" t="str">
            <v>签约</v>
          </cell>
          <cell r="J418" t="str">
            <v>一般客户</v>
          </cell>
          <cell r="K418">
            <v>127.64</v>
          </cell>
          <cell r="L418">
            <v>97.79</v>
          </cell>
          <cell r="M418">
            <v>0</v>
          </cell>
          <cell r="N418">
            <v>0</v>
          </cell>
        </row>
        <row r="419">
          <cell r="E419" t="str">
            <v>璞园-一期-8号楼-902</v>
          </cell>
          <cell r="F419" t="str">
            <v>住宅-高层</v>
          </cell>
          <cell r="G419" t="str">
            <v>B</v>
          </cell>
          <cell r="H419" t="str">
            <v>签约</v>
          </cell>
          <cell r="J419" t="str">
            <v>一般客户</v>
          </cell>
          <cell r="K419">
            <v>128.79</v>
          </cell>
          <cell r="L419">
            <v>98.67</v>
          </cell>
          <cell r="M419">
            <v>0</v>
          </cell>
          <cell r="N419">
            <v>0</v>
          </cell>
        </row>
        <row r="420">
          <cell r="E420" t="str">
            <v>璞园-一期-8号楼-903</v>
          </cell>
          <cell r="F420" t="str">
            <v>住宅-高层</v>
          </cell>
          <cell r="G420" t="str">
            <v>B</v>
          </cell>
          <cell r="H420" t="str">
            <v>签约</v>
          </cell>
          <cell r="J420" t="str">
            <v>一般客户</v>
          </cell>
          <cell r="K420">
            <v>127.64</v>
          </cell>
          <cell r="L420">
            <v>97.79</v>
          </cell>
          <cell r="M420">
            <v>0</v>
          </cell>
          <cell r="N420">
            <v>0</v>
          </cell>
        </row>
        <row r="421">
          <cell r="E421" t="str">
            <v>璞园-一期-8号楼-904</v>
          </cell>
          <cell r="F421" t="str">
            <v>住宅-高层</v>
          </cell>
          <cell r="G421" t="str">
            <v>B</v>
          </cell>
          <cell r="H421" t="str">
            <v>签约</v>
          </cell>
          <cell r="J421" t="str">
            <v>一般客户</v>
          </cell>
          <cell r="K421">
            <v>128.79</v>
          </cell>
          <cell r="L421">
            <v>98.67</v>
          </cell>
          <cell r="M421">
            <v>0</v>
          </cell>
          <cell r="N421">
            <v>0</v>
          </cell>
        </row>
        <row r="422">
          <cell r="E422" t="str">
            <v>璞园-一期-9号楼-101</v>
          </cell>
          <cell r="F422" t="str">
            <v>住宅-多层</v>
          </cell>
          <cell r="G422" t="str">
            <v>D</v>
          </cell>
          <cell r="H422" t="str">
            <v>签约</v>
          </cell>
          <cell r="J422" t="str">
            <v>一般客户</v>
          </cell>
          <cell r="K422">
            <v>143.28</v>
          </cell>
          <cell r="L422">
            <v>110.09</v>
          </cell>
          <cell r="M422">
            <v>0</v>
          </cell>
          <cell r="N422">
            <v>0</v>
          </cell>
        </row>
        <row r="423">
          <cell r="E423" t="str">
            <v>璞园-一期-9号楼-102</v>
          </cell>
          <cell r="F423" t="str">
            <v>住宅-多层</v>
          </cell>
          <cell r="G423" t="str">
            <v>D</v>
          </cell>
          <cell r="H423" t="str">
            <v>签约</v>
          </cell>
          <cell r="J423" t="str">
            <v>一般客户</v>
          </cell>
          <cell r="K423">
            <v>143.19999999999999</v>
          </cell>
          <cell r="L423">
            <v>110.02</v>
          </cell>
          <cell r="M423">
            <v>0</v>
          </cell>
          <cell r="N423">
            <v>0</v>
          </cell>
        </row>
        <row r="424">
          <cell r="E424" t="str">
            <v>璞园-一期-9号楼-103</v>
          </cell>
          <cell r="F424" t="str">
            <v>住宅-多层</v>
          </cell>
          <cell r="G424" t="str">
            <v>D</v>
          </cell>
          <cell r="H424" t="str">
            <v>待售</v>
          </cell>
          <cell r="K424">
            <v>143.19999999999999</v>
          </cell>
          <cell r="L424">
            <v>110.02</v>
          </cell>
          <cell r="M424">
            <v>0</v>
          </cell>
          <cell r="N424">
            <v>0</v>
          </cell>
        </row>
        <row r="425">
          <cell r="E425" t="str">
            <v>璞园-一期-9号楼-104</v>
          </cell>
          <cell r="F425" t="str">
            <v>住宅-多层</v>
          </cell>
          <cell r="G425" t="str">
            <v>D</v>
          </cell>
          <cell r="H425" t="str">
            <v>待售</v>
          </cell>
          <cell r="K425">
            <v>143.28</v>
          </cell>
          <cell r="L425">
            <v>110.09</v>
          </cell>
          <cell r="M425">
            <v>0</v>
          </cell>
          <cell r="N425">
            <v>0</v>
          </cell>
        </row>
        <row r="426">
          <cell r="E426" t="str">
            <v>璞园-一期-9号楼-301</v>
          </cell>
          <cell r="F426" t="str">
            <v>住宅-多层</v>
          </cell>
          <cell r="G426" t="str">
            <v>D</v>
          </cell>
          <cell r="H426" t="str">
            <v>待售</v>
          </cell>
          <cell r="K426">
            <v>146.83000000000001</v>
          </cell>
          <cell r="L426">
            <v>112.82</v>
          </cell>
          <cell r="M426">
            <v>0</v>
          </cell>
          <cell r="N426">
            <v>0</v>
          </cell>
        </row>
        <row r="427">
          <cell r="E427" t="str">
            <v>璞园-一期-9号楼-302</v>
          </cell>
          <cell r="F427" t="str">
            <v>住宅-多层</v>
          </cell>
          <cell r="G427" t="str">
            <v>D</v>
          </cell>
          <cell r="H427" t="str">
            <v>签约</v>
          </cell>
          <cell r="J427" t="str">
            <v>一般客户</v>
          </cell>
          <cell r="K427">
            <v>146.66</v>
          </cell>
          <cell r="L427">
            <v>112.69</v>
          </cell>
          <cell r="M427">
            <v>0</v>
          </cell>
          <cell r="N427">
            <v>0</v>
          </cell>
        </row>
        <row r="428">
          <cell r="E428" t="str">
            <v>璞园-一期-9号楼-303</v>
          </cell>
          <cell r="F428" t="str">
            <v>住宅-多层</v>
          </cell>
          <cell r="G428" t="str">
            <v>D</v>
          </cell>
          <cell r="H428" t="str">
            <v>签约</v>
          </cell>
          <cell r="J428" t="str">
            <v>一般客户</v>
          </cell>
          <cell r="K428">
            <v>146.66</v>
          </cell>
          <cell r="L428">
            <v>112.69</v>
          </cell>
          <cell r="M428">
            <v>0</v>
          </cell>
          <cell r="N428">
            <v>0</v>
          </cell>
        </row>
        <row r="429">
          <cell r="E429" t="str">
            <v>璞园-一期-9号楼-304</v>
          </cell>
          <cell r="F429" t="str">
            <v>住宅-多层</v>
          </cell>
          <cell r="G429" t="str">
            <v>D</v>
          </cell>
          <cell r="H429" t="str">
            <v>待售</v>
          </cell>
          <cell r="K429">
            <v>146.83000000000001</v>
          </cell>
          <cell r="L429">
            <v>112.82</v>
          </cell>
          <cell r="M429">
            <v>0</v>
          </cell>
          <cell r="N429">
            <v>0</v>
          </cell>
        </row>
        <row r="430">
          <cell r="E430" t="str">
            <v>璞园-一期-9号楼-501</v>
          </cell>
          <cell r="F430" t="str">
            <v>住宅-多层</v>
          </cell>
          <cell r="G430" t="str">
            <v>D</v>
          </cell>
          <cell r="H430" t="str">
            <v>签约</v>
          </cell>
          <cell r="J430" t="str">
            <v>一般客户</v>
          </cell>
          <cell r="K430">
            <v>140.6</v>
          </cell>
          <cell r="L430">
            <v>108.03</v>
          </cell>
          <cell r="M430">
            <v>0</v>
          </cell>
          <cell r="N430">
            <v>0</v>
          </cell>
        </row>
        <row r="431">
          <cell r="E431" t="str">
            <v>璞园-一期-9号楼-502</v>
          </cell>
          <cell r="F431" t="str">
            <v>住宅-多层</v>
          </cell>
          <cell r="G431" t="str">
            <v>D</v>
          </cell>
          <cell r="H431" t="str">
            <v>签约</v>
          </cell>
          <cell r="J431" t="str">
            <v>一般客户</v>
          </cell>
          <cell r="K431">
            <v>140.43</v>
          </cell>
          <cell r="L431">
            <v>107.91</v>
          </cell>
          <cell r="M431">
            <v>0</v>
          </cell>
          <cell r="N431">
            <v>0</v>
          </cell>
        </row>
        <row r="432">
          <cell r="E432" t="str">
            <v>璞园-一期-9号楼-503</v>
          </cell>
          <cell r="F432" t="str">
            <v>住宅-多层</v>
          </cell>
          <cell r="G432" t="str">
            <v>D</v>
          </cell>
          <cell r="H432" t="str">
            <v>签约</v>
          </cell>
          <cell r="J432" t="str">
            <v>一般客户</v>
          </cell>
          <cell r="K432">
            <v>140.43</v>
          </cell>
          <cell r="L432">
            <v>107.91</v>
          </cell>
          <cell r="M432">
            <v>0</v>
          </cell>
          <cell r="N432">
            <v>0</v>
          </cell>
        </row>
        <row r="433">
          <cell r="E433" t="str">
            <v>璞园-一期-9号楼-504</v>
          </cell>
          <cell r="F433" t="str">
            <v>住宅-多层</v>
          </cell>
          <cell r="G433" t="str">
            <v>D</v>
          </cell>
          <cell r="H433" t="str">
            <v>签约</v>
          </cell>
          <cell r="J433" t="str">
            <v>一般客户</v>
          </cell>
          <cell r="K433">
            <v>140.6</v>
          </cell>
          <cell r="L433">
            <v>108.03</v>
          </cell>
          <cell r="M433">
            <v>0</v>
          </cell>
          <cell r="N433">
            <v>0</v>
          </cell>
        </row>
        <row r="434">
          <cell r="E434" t="str">
            <v>璞园-一期-9号楼-储藏室01</v>
          </cell>
          <cell r="F434" t="str">
            <v>住宅-多层</v>
          </cell>
          <cell r="G434" t="str">
            <v>储藏室</v>
          </cell>
          <cell r="H434" t="str">
            <v>签约</v>
          </cell>
          <cell r="J434" t="str">
            <v>一般客户</v>
          </cell>
          <cell r="K434">
            <v>99.02</v>
          </cell>
          <cell r="L434">
            <v>72.36</v>
          </cell>
          <cell r="M434">
            <v>0</v>
          </cell>
          <cell r="N434">
            <v>0</v>
          </cell>
        </row>
        <row r="435">
          <cell r="E435" t="str">
            <v>璞园-一期-9号楼-储藏室02</v>
          </cell>
          <cell r="F435" t="str">
            <v>住宅-多层</v>
          </cell>
          <cell r="G435" t="str">
            <v>储藏室</v>
          </cell>
          <cell r="H435" t="str">
            <v>签约</v>
          </cell>
          <cell r="J435" t="str">
            <v>一般客户</v>
          </cell>
          <cell r="K435">
            <v>98.2</v>
          </cell>
          <cell r="L435">
            <v>71.760000000000005</v>
          </cell>
          <cell r="M435">
            <v>0</v>
          </cell>
          <cell r="N435">
            <v>0</v>
          </cell>
        </row>
        <row r="436">
          <cell r="E436" t="str">
            <v>璞园-一期-9号楼-储藏室03</v>
          </cell>
          <cell r="F436" t="str">
            <v>住宅-多层</v>
          </cell>
          <cell r="G436" t="str">
            <v>储藏室</v>
          </cell>
          <cell r="H436" t="str">
            <v>待售</v>
          </cell>
          <cell r="K436">
            <v>98.2</v>
          </cell>
          <cell r="L436">
            <v>71.760000000000005</v>
          </cell>
          <cell r="M436">
            <v>0</v>
          </cell>
          <cell r="N436">
            <v>0</v>
          </cell>
        </row>
        <row r="437">
          <cell r="E437" t="str">
            <v>璞园-一期-9号楼-储藏室04</v>
          </cell>
          <cell r="F437" t="str">
            <v>住宅-多层</v>
          </cell>
          <cell r="G437" t="str">
            <v>储藏室</v>
          </cell>
          <cell r="H437" t="str">
            <v>待售</v>
          </cell>
          <cell r="K437">
            <v>98.28</v>
          </cell>
          <cell r="L437">
            <v>71.819999999999993</v>
          </cell>
          <cell r="M437">
            <v>0</v>
          </cell>
          <cell r="N437">
            <v>0</v>
          </cell>
        </row>
        <row r="438">
          <cell r="E438" t="str">
            <v>璞园-一期-非人防车位-0070</v>
          </cell>
          <cell r="F438" t="str">
            <v>车位-非人防地下车位</v>
          </cell>
          <cell r="G438" t="str">
            <v>车位</v>
          </cell>
          <cell r="H438" t="str">
            <v>签约</v>
          </cell>
          <cell r="J438" t="str">
            <v>一般客户</v>
          </cell>
          <cell r="K438">
            <v>37.159999999999997</v>
          </cell>
          <cell r="L438">
            <v>12.72</v>
          </cell>
          <cell r="M438">
            <v>0</v>
          </cell>
          <cell r="N438">
            <v>0</v>
          </cell>
        </row>
        <row r="439">
          <cell r="E439" t="str">
            <v>璞园-一期-非人防车位-0082</v>
          </cell>
          <cell r="F439" t="str">
            <v>车位-非人防地下车位</v>
          </cell>
          <cell r="G439" t="str">
            <v>车位</v>
          </cell>
          <cell r="H439" t="str">
            <v>待售</v>
          </cell>
          <cell r="K439">
            <v>37.159999999999997</v>
          </cell>
          <cell r="L439">
            <v>12.72</v>
          </cell>
          <cell r="M439">
            <v>0</v>
          </cell>
          <cell r="N439">
            <v>0</v>
          </cell>
        </row>
        <row r="440">
          <cell r="E440" t="str">
            <v>璞园-一期-非人防车位-0083</v>
          </cell>
          <cell r="F440" t="str">
            <v>车位-非人防地下车位</v>
          </cell>
          <cell r="G440" t="str">
            <v>车位</v>
          </cell>
          <cell r="H440" t="str">
            <v>签约</v>
          </cell>
          <cell r="J440" t="str">
            <v>一般客户</v>
          </cell>
          <cell r="K440">
            <v>37.159999999999997</v>
          </cell>
          <cell r="L440">
            <v>12.72</v>
          </cell>
          <cell r="M440">
            <v>0</v>
          </cell>
          <cell r="N440">
            <v>0</v>
          </cell>
        </row>
        <row r="441">
          <cell r="E441" t="str">
            <v>璞园-一期-非人防车位-0084</v>
          </cell>
          <cell r="F441" t="str">
            <v>车位-非人防地下车位</v>
          </cell>
          <cell r="G441" t="str">
            <v>车位</v>
          </cell>
          <cell r="H441" t="str">
            <v>待售</v>
          </cell>
          <cell r="K441">
            <v>37.159999999999997</v>
          </cell>
          <cell r="L441">
            <v>12.72</v>
          </cell>
          <cell r="M441">
            <v>0</v>
          </cell>
          <cell r="N441">
            <v>0</v>
          </cell>
        </row>
        <row r="442">
          <cell r="E442" t="str">
            <v>璞园-一期-非人防车位-0085</v>
          </cell>
          <cell r="F442" t="str">
            <v>车位-非人防地下车位</v>
          </cell>
          <cell r="G442" t="str">
            <v>车位</v>
          </cell>
          <cell r="H442" t="str">
            <v>签约</v>
          </cell>
          <cell r="J442" t="str">
            <v>一般客户</v>
          </cell>
          <cell r="K442">
            <v>37.159999999999997</v>
          </cell>
          <cell r="L442">
            <v>12.72</v>
          </cell>
          <cell r="M442">
            <v>0</v>
          </cell>
          <cell r="N442">
            <v>0</v>
          </cell>
        </row>
        <row r="443">
          <cell r="E443" t="str">
            <v>璞园-一期-非人防车位-0086</v>
          </cell>
          <cell r="F443" t="str">
            <v>车位-非人防地下车位</v>
          </cell>
          <cell r="G443" t="str">
            <v>车位</v>
          </cell>
          <cell r="H443" t="str">
            <v>签约</v>
          </cell>
          <cell r="J443" t="str">
            <v>一般客户</v>
          </cell>
          <cell r="K443">
            <v>37.159999999999997</v>
          </cell>
          <cell r="L443">
            <v>12.72</v>
          </cell>
          <cell r="M443">
            <v>0</v>
          </cell>
          <cell r="N443">
            <v>0</v>
          </cell>
        </row>
        <row r="444">
          <cell r="E444" t="str">
            <v>璞园-一期-非人防车位-0087</v>
          </cell>
          <cell r="F444" t="str">
            <v>车位-非人防地下车位</v>
          </cell>
          <cell r="G444" t="str">
            <v>车位</v>
          </cell>
          <cell r="H444" t="str">
            <v>签约</v>
          </cell>
          <cell r="J444" t="str">
            <v>一般客户</v>
          </cell>
          <cell r="K444">
            <v>37.159999999999997</v>
          </cell>
          <cell r="L444">
            <v>12.72</v>
          </cell>
          <cell r="M444">
            <v>0</v>
          </cell>
          <cell r="N444">
            <v>0</v>
          </cell>
        </row>
        <row r="445">
          <cell r="E445" t="str">
            <v>璞园-一期-非人防车位-0088</v>
          </cell>
          <cell r="F445" t="str">
            <v>车位-非人防地下车位</v>
          </cell>
          <cell r="G445" t="str">
            <v>车位</v>
          </cell>
          <cell r="H445" t="str">
            <v>签约</v>
          </cell>
          <cell r="J445" t="str">
            <v>一般客户</v>
          </cell>
          <cell r="K445">
            <v>37.159999999999997</v>
          </cell>
          <cell r="L445">
            <v>12.72</v>
          </cell>
          <cell r="M445">
            <v>0</v>
          </cell>
          <cell r="N445">
            <v>0</v>
          </cell>
        </row>
        <row r="446">
          <cell r="E446" t="str">
            <v>璞园-一期-非人防车位-0089</v>
          </cell>
          <cell r="F446" t="str">
            <v>车位-非人防地下车位</v>
          </cell>
          <cell r="G446" t="str">
            <v>车位</v>
          </cell>
          <cell r="H446" t="str">
            <v>签约</v>
          </cell>
          <cell r="J446" t="str">
            <v>一般客户</v>
          </cell>
          <cell r="K446">
            <v>37.159999999999997</v>
          </cell>
          <cell r="L446">
            <v>12.72</v>
          </cell>
          <cell r="M446">
            <v>0</v>
          </cell>
          <cell r="N446">
            <v>0</v>
          </cell>
        </row>
        <row r="447">
          <cell r="E447" t="str">
            <v>璞园-一期-非人防车位-0090</v>
          </cell>
          <cell r="F447" t="str">
            <v>车位-非人防地下车位</v>
          </cell>
          <cell r="G447" t="str">
            <v>车位</v>
          </cell>
          <cell r="H447" t="str">
            <v>签约</v>
          </cell>
          <cell r="J447" t="str">
            <v>一般客户</v>
          </cell>
          <cell r="K447">
            <v>37.159999999999997</v>
          </cell>
          <cell r="L447">
            <v>12.72</v>
          </cell>
          <cell r="M447">
            <v>0</v>
          </cell>
          <cell r="N447">
            <v>0</v>
          </cell>
        </row>
        <row r="448">
          <cell r="E448" t="str">
            <v>璞园-一期-非人防车位-0091</v>
          </cell>
          <cell r="F448" t="str">
            <v>车位-非人防地下车位</v>
          </cell>
          <cell r="G448" t="str">
            <v>车位</v>
          </cell>
          <cell r="H448" t="str">
            <v>签约</v>
          </cell>
          <cell r="J448" t="str">
            <v>一般客户</v>
          </cell>
          <cell r="K448">
            <v>37.159999999999997</v>
          </cell>
          <cell r="L448">
            <v>12.72</v>
          </cell>
          <cell r="M448">
            <v>0</v>
          </cell>
          <cell r="N448">
            <v>0</v>
          </cell>
        </row>
        <row r="449">
          <cell r="E449" t="str">
            <v>璞园-一期-非人防车位-0104</v>
          </cell>
          <cell r="F449" t="str">
            <v>车位-非人防地下车位</v>
          </cell>
          <cell r="G449" t="str">
            <v>车位</v>
          </cell>
          <cell r="H449" t="str">
            <v>签约</v>
          </cell>
          <cell r="J449" t="str">
            <v>一般客户</v>
          </cell>
          <cell r="K449">
            <v>37.159999999999997</v>
          </cell>
          <cell r="L449">
            <v>12.72</v>
          </cell>
          <cell r="M449">
            <v>0</v>
          </cell>
          <cell r="N449">
            <v>0</v>
          </cell>
        </row>
        <row r="450">
          <cell r="E450" t="str">
            <v>璞园-一期-非人防车位-0105</v>
          </cell>
          <cell r="F450" t="str">
            <v>车位-非人防地下车位</v>
          </cell>
          <cell r="G450" t="str">
            <v>车位</v>
          </cell>
          <cell r="H450" t="str">
            <v>签约</v>
          </cell>
          <cell r="J450" t="str">
            <v>一般客户</v>
          </cell>
          <cell r="K450">
            <v>37.159999999999997</v>
          </cell>
          <cell r="L450">
            <v>12.72</v>
          </cell>
          <cell r="M450">
            <v>0</v>
          </cell>
          <cell r="N450">
            <v>0</v>
          </cell>
        </row>
        <row r="451">
          <cell r="E451" t="str">
            <v>璞园-一期-非人防车位-0106</v>
          </cell>
          <cell r="F451" t="str">
            <v>车位-非人防地下车位</v>
          </cell>
          <cell r="G451" t="str">
            <v>车位</v>
          </cell>
          <cell r="H451" t="str">
            <v>签约</v>
          </cell>
          <cell r="J451" t="str">
            <v>一般客户</v>
          </cell>
          <cell r="K451">
            <v>37.159999999999997</v>
          </cell>
          <cell r="L451">
            <v>12.72</v>
          </cell>
          <cell r="M451">
            <v>0</v>
          </cell>
          <cell r="N451">
            <v>0</v>
          </cell>
        </row>
        <row r="452">
          <cell r="E452" t="str">
            <v>璞园-一期-非人防车位-0107</v>
          </cell>
          <cell r="F452" t="str">
            <v>车位-非人防地下车位</v>
          </cell>
          <cell r="G452" t="str">
            <v>车位</v>
          </cell>
          <cell r="H452" t="str">
            <v>签约</v>
          </cell>
          <cell r="J452" t="str">
            <v>一般客户</v>
          </cell>
          <cell r="K452">
            <v>37.159999999999997</v>
          </cell>
          <cell r="L452">
            <v>12.72</v>
          </cell>
          <cell r="M452">
            <v>0</v>
          </cell>
          <cell r="N452">
            <v>0</v>
          </cell>
        </row>
        <row r="453">
          <cell r="E453" t="str">
            <v>璞园-一期-非人防车位-0108</v>
          </cell>
          <cell r="F453" t="str">
            <v>车位-非人防地下车位</v>
          </cell>
          <cell r="G453" t="str">
            <v>车位</v>
          </cell>
          <cell r="H453" t="str">
            <v>签约</v>
          </cell>
          <cell r="J453" t="str">
            <v>一般客户</v>
          </cell>
          <cell r="K453">
            <v>37.159999999999997</v>
          </cell>
          <cell r="L453">
            <v>12.72</v>
          </cell>
          <cell r="M453">
            <v>0</v>
          </cell>
          <cell r="N453">
            <v>0</v>
          </cell>
        </row>
        <row r="454">
          <cell r="E454" t="str">
            <v>璞园-一期-非人防车位-0109</v>
          </cell>
          <cell r="F454" t="str">
            <v>车位-非人防地下车位</v>
          </cell>
          <cell r="G454" t="str">
            <v>车位</v>
          </cell>
          <cell r="H454" t="str">
            <v>待售</v>
          </cell>
          <cell r="K454">
            <v>37.159999999999997</v>
          </cell>
          <cell r="L454">
            <v>12.72</v>
          </cell>
          <cell r="M454">
            <v>0</v>
          </cell>
          <cell r="N454">
            <v>0</v>
          </cell>
        </row>
        <row r="455">
          <cell r="E455" t="str">
            <v>璞园-一期-非人防车位-0110</v>
          </cell>
          <cell r="F455" t="str">
            <v>车位-非人防地下车位</v>
          </cell>
          <cell r="G455" t="str">
            <v>车位</v>
          </cell>
          <cell r="H455" t="str">
            <v>签约</v>
          </cell>
          <cell r="J455" t="str">
            <v>一般客户</v>
          </cell>
          <cell r="K455">
            <v>37.159999999999997</v>
          </cell>
          <cell r="L455">
            <v>12.72</v>
          </cell>
          <cell r="M455">
            <v>0</v>
          </cell>
          <cell r="N455">
            <v>0</v>
          </cell>
        </row>
        <row r="456">
          <cell r="E456" t="str">
            <v>璞园-一期-非人防车位-0111</v>
          </cell>
          <cell r="F456" t="str">
            <v>车位-非人防地下车位</v>
          </cell>
          <cell r="G456" t="str">
            <v>车位</v>
          </cell>
          <cell r="H456" t="str">
            <v>签约</v>
          </cell>
          <cell r="J456" t="str">
            <v>一般客户</v>
          </cell>
          <cell r="K456">
            <v>37.159999999999997</v>
          </cell>
          <cell r="L456">
            <v>12.72</v>
          </cell>
          <cell r="M456">
            <v>0</v>
          </cell>
          <cell r="N456">
            <v>0</v>
          </cell>
        </row>
        <row r="457">
          <cell r="E457" t="str">
            <v>璞园-一期-非人防车位-0112</v>
          </cell>
          <cell r="F457" t="str">
            <v>车位-非人防地下车位</v>
          </cell>
          <cell r="G457" t="str">
            <v>车位</v>
          </cell>
          <cell r="H457" t="str">
            <v>签约</v>
          </cell>
          <cell r="J457" t="str">
            <v>一般客户</v>
          </cell>
          <cell r="K457">
            <v>37.159999999999997</v>
          </cell>
          <cell r="L457">
            <v>12.72</v>
          </cell>
          <cell r="M457">
            <v>0</v>
          </cell>
          <cell r="N457">
            <v>0</v>
          </cell>
        </row>
        <row r="458">
          <cell r="E458" t="str">
            <v>璞园-一期-非人防车位-0113</v>
          </cell>
          <cell r="F458" t="str">
            <v>车位-非人防地下车位</v>
          </cell>
          <cell r="G458" t="str">
            <v>车位</v>
          </cell>
          <cell r="H458" t="str">
            <v>签约</v>
          </cell>
          <cell r="J458" t="str">
            <v>一般客户</v>
          </cell>
          <cell r="K458">
            <v>37.159999999999997</v>
          </cell>
          <cell r="L458">
            <v>12.72</v>
          </cell>
          <cell r="M458">
            <v>0</v>
          </cell>
          <cell r="N458">
            <v>0</v>
          </cell>
        </row>
        <row r="459">
          <cell r="E459" t="str">
            <v>璞园-一期-非人防车位-0125</v>
          </cell>
          <cell r="F459" t="str">
            <v>车位-非人防地下车位</v>
          </cell>
          <cell r="G459" t="str">
            <v>车位</v>
          </cell>
          <cell r="H459" t="str">
            <v>签约</v>
          </cell>
          <cell r="J459" t="str">
            <v>一般客户</v>
          </cell>
          <cell r="K459">
            <v>37.159999999999997</v>
          </cell>
          <cell r="L459">
            <v>12.72</v>
          </cell>
          <cell r="M459">
            <v>0</v>
          </cell>
          <cell r="N459">
            <v>0</v>
          </cell>
        </row>
        <row r="460">
          <cell r="E460" t="str">
            <v>璞园-一期-非人防车位-0126</v>
          </cell>
          <cell r="F460" t="str">
            <v>车位-非人防地下车位</v>
          </cell>
          <cell r="G460" t="str">
            <v>车位</v>
          </cell>
          <cell r="H460" t="str">
            <v>签约</v>
          </cell>
          <cell r="J460" t="str">
            <v>一般客户</v>
          </cell>
          <cell r="K460">
            <v>37.159999999999997</v>
          </cell>
          <cell r="L460">
            <v>12.72</v>
          </cell>
          <cell r="M460">
            <v>0</v>
          </cell>
          <cell r="N460">
            <v>0</v>
          </cell>
        </row>
        <row r="461">
          <cell r="E461" t="str">
            <v>璞园-一期-非人防车位-0127</v>
          </cell>
          <cell r="F461" t="str">
            <v>车位-非人防地下车位</v>
          </cell>
          <cell r="G461" t="str">
            <v>车位</v>
          </cell>
          <cell r="H461" t="str">
            <v>签约</v>
          </cell>
          <cell r="J461" t="str">
            <v>一般客户</v>
          </cell>
          <cell r="K461">
            <v>37.159999999999997</v>
          </cell>
          <cell r="L461">
            <v>12.72</v>
          </cell>
          <cell r="M461">
            <v>0</v>
          </cell>
          <cell r="N461">
            <v>0</v>
          </cell>
        </row>
        <row r="462">
          <cell r="E462" t="str">
            <v>璞园-一期-非人防车位-0128</v>
          </cell>
          <cell r="F462" t="str">
            <v>车位-非人防地下车位</v>
          </cell>
          <cell r="G462" t="str">
            <v>车位</v>
          </cell>
          <cell r="H462" t="str">
            <v>签约</v>
          </cell>
          <cell r="J462" t="str">
            <v>一般客户</v>
          </cell>
          <cell r="K462">
            <v>37.159999999999997</v>
          </cell>
          <cell r="L462">
            <v>12.72</v>
          </cell>
          <cell r="M462">
            <v>0</v>
          </cell>
          <cell r="N462">
            <v>0</v>
          </cell>
        </row>
        <row r="463">
          <cell r="E463" t="str">
            <v>璞园-一期-非人防车位-0129</v>
          </cell>
          <cell r="F463" t="str">
            <v>车位-非人防地下车位</v>
          </cell>
          <cell r="G463" t="str">
            <v>车位</v>
          </cell>
          <cell r="H463" t="str">
            <v>签约</v>
          </cell>
          <cell r="J463" t="str">
            <v>一般客户</v>
          </cell>
          <cell r="K463">
            <v>37.159999999999997</v>
          </cell>
          <cell r="L463">
            <v>12.72</v>
          </cell>
          <cell r="M463">
            <v>0</v>
          </cell>
          <cell r="N463">
            <v>0</v>
          </cell>
        </row>
        <row r="464">
          <cell r="E464" t="str">
            <v>璞园-一期-非人防车位-0130</v>
          </cell>
          <cell r="F464" t="str">
            <v>车位-非人防地下车位</v>
          </cell>
          <cell r="G464" t="str">
            <v>车位</v>
          </cell>
          <cell r="H464" t="str">
            <v>签约</v>
          </cell>
          <cell r="J464" t="str">
            <v>一般客户</v>
          </cell>
          <cell r="K464">
            <v>37.159999999999997</v>
          </cell>
          <cell r="L464">
            <v>12.72</v>
          </cell>
          <cell r="M464">
            <v>0</v>
          </cell>
          <cell r="N464">
            <v>0</v>
          </cell>
        </row>
        <row r="465">
          <cell r="E465" t="str">
            <v>璞园-一期-非人防车位-0131</v>
          </cell>
          <cell r="F465" t="str">
            <v>车位-非人防地下车位</v>
          </cell>
          <cell r="G465" t="str">
            <v>车位</v>
          </cell>
          <cell r="H465" t="str">
            <v>签约</v>
          </cell>
          <cell r="J465" t="str">
            <v>一般客户</v>
          </cell>
          <cell r="K465">
            <v>37.159999999999997</v>
          </cell>
          <cell r="L465">
            <v>12.72</v>
          </cell>
          <cell r="M465">
            <v>0</v>
          </cell>
          <cell r="N465">
            <v>0</v>
          </cell>
        </row>
        <row r="466">
          <cell r="E466" t="str">
            <v>璞园-一期-非人防车位-0132</v>
          </cell>
          <cell r="F466" t="str">
            <v>车位-非人防地下车位</v>
          </cell>
          <cell r="G466" t="str">
            <v>车位</v>
          </cell>
          <cell r="H466" t="str">
            <v>签约</v>
          </cell>
          <cell r="J466" t="str">
            <v>一般客户</v>
          </cell>
          <cell r="K466">
            <v>37.159999999999997</v>
          </cell>
          <cell r="L466">
            <v>12.72</v>
          </cell>
          <cell r="M466">
            <v>0</v>
          </cell>
          <cell r="N466">
            <v>0</v>
          </cell>
        </row>
        <row r="467">
          <cell r="E467" t="str">
            <v>璞园-一期-非人防车位-0133</v>
          </cell>
          <cell r="F467" t="str">
            <v>车位-非人防地下车位</v>
          </cell>
          <cell r="G467" t="str">
            <v>车位</v>
          </cell>
          <cell r="H467" t="str">
            <v>签约</v>
          </cell>
          <cell r="J467" t="str">
            <v>一般客户</v>
          </cell>
          <cell r="K467">
            <v>37.159999999999997</v>
          </cell>
          <cell r="L467">
            <v>12.72</v>
          </cell>
          <cell r="M467">
            <v>0</v>
          </cell>
          <cell r="N467">
            <v>0</v>
          </cell>
        </row>
        <row r="468">
          <cell r="E468" t="str">
            <v>璞园-一期-非人防车位-0134</v>
          </cell>
          <cell r="F468" t="str">
            <v>车位-非人防地下车位</v>
          </cell>
          <cell r="G468" t="str">
            <v>车位</v>
          </cell>
          <cell r="H468" t="str">
            <v>待售</v>
          </cell>
          <cell r="K468">
            <v>37.159999999999997</v>
          </cell>
          <cell r="L468">
            <v>12.72</v>
          </cell>
          <cell r="M468">
            <v>0</v>
          </cell>
          <cell r="N468">
            <v>0</v>
          </cell>
        </row>
        <row r="469">
          <cell r="E469" t="str">
            <v>璞园-一期-非人防车位-0147</v>
          </cell>
          <cell r="F469" t="str">
            <v>车位-非人防地下车位</v>
          </cell>
          <cell r="G469" t="str">
            <v>车位</v>
          </cell>
          <cell r="H469" t="str">
            <v>待售</v>
          </cell>
          <cell r="K469">
            <v>37.159999999999997</v>
          </cell>
          <cell r="L469">
            <v>12.72</v>
          </cell>
          <cell r="M469">
            <v>0</v>
          </cell>
          <cell r="N469">
            <v>0</v>
          </cell>
        </row>
        <row r="470">
          <cell r="E470" t="str">
            <v>璞园-一期-非人防车位-0148</v>
          </cell>
          <cell r="F470" t="str">
            <v>车位-非人防地下车位</v>
          </cell>
          <cell r="G470" t="str">
            <v>车位</v>
          </cell>
          <cell r="H470" t="str">
            <v>签约</v>
          </cell>
          <cell r="J470" t="str">
            <v>一般客户</v>
          </cell>
          <cell r="K470">
            <v>37.159999999999997</v>
          </cell>
          <cell r="L470">
            <v>12.72</v>
          </cell>
          <cell r="M470">
            <v>0</v>
          </cell>
          <cell r="N470">
            <v>0</v>
          </cell>
        </row>
        <row r="471">
          <cell r="E471" t="str">
            <v>璞园-一期-非人防车位-0149</v>
          </cell>
          <cell r="F471" t="str">
            <v>车位-非人防地下车位</v>
          </cell>
          <cell r="G471" t="str">
            <v>车位</v>
          </cell>
          <cell r="H471" t="str">
            <v>待售</v>
          </cell>
          <cell r="K471">
            <v>37.159999999999997</v>
          </cell>
          <cell r="L471">
            <v>12.72</v>
          </cell>
          <cell r="M471">
            <v>0</v>
          </cell>
          <cell r="N471">
            <v>0</v>
          </cell>
        </row>
        <row r="472">
          <cell r="E472" t="str">
            <v>璞园-一期-非人防车位-0150</v>
          </cell>
          <cell r="F472" t="str">
            <v>车位-非人防地下车位</v>
          </cell>
          <cell r="G472" t="str">
            <v>车位</v>
          </cell>
          <cell r="H472" t="str">
            <v>签约</v>
          </cell>
          <cell r="J472" t="str">
            <v>一般客户</v>
          </cell>
          <cell r="K472">
            <v>37.159999999999997</v>
          </cell>
          <cell r="L472">
            <v>12.72</v>
          </cell>
          <cell r="M472">
            <v>0</v>
          </cell>
          <cell r="N472">
            <v>0</v>
          </cell>
        </row>
        <row r="473">
          <cell r="E473" t="str">
            <v>璞园-一期-非人防车位-0151</v>
          </cell>
          <cell r="F473" t="str">
            <v>车位-非人防地下车位</v>
          </cell>
          <cell r="G473" t="str">
            <v>车位</v>
          </cell>
          <cell r="H473" t="str">
            <v>待售</v>
          </cell>
          <cell r="K473">
            <v>37.159999999999997</v>
          </cell>
          <cell r="L473">
            <v>12.72</v>
          </cell>
          <cell r="M473">
            <v>0</v>
          </cell>
          <cell r="N473">
            <v>0</v>
          </cell>
        </row>
        <row r="474">
          <cell r="E474" t="str">
            <v>璞园-一期-非人防车位-0152</v>
          </cell>
          <cell r="F474" t="str">
            <v>车位-非人防地下车位</v>
          </cell>
          <cell r="G474" t="str">
            <v>车位</v>
          </cell>
          <cell r="H474" t="str">
            <v>签约</v>
          </cell>
          <cell r="J474" t="str">
            <v>一般客户</v>
          </cell>
          <cell r="K474">
            <v>37.159999999999997</v>
          </cell>
          <cell r="L474">
            <v>12.72</v>
          </cell>
          <cell r="M474">
            <v>0</v>
          </cell>
          <cell r="N474">
            <v>0</v>
          </cell>
        </row>
        <row r="475">
          <cell r="E475" t="str">
            <v>璞园-一期-非人防车位-0153</v>
          </cell>
          <cell r="F475" t="str">
            <v>车位-非人防地下车位</v>
          </cell>
          <cell r="G475" t="str">
            <v>车位</v>
          </cell>
          <cell r="H475" t="str">
            <v>待售</v>
          </cell>
          <cell r="K475">
            <v>37.159999999999997</v>
          </cell>
          <cell r="L475">
            <v>12.72</v>
          </cell>
          <cell r="M475">
            <v>0</v>
          </cell>
          <cell r="N475">
            <v>0</v>
          </cell>
        </row>
        <row r="476">
          <cell r="E476" t="str">
            <v>璞园-一期-非人防车位-0154</v>
          </cell>
          <cell r="F476" t="str">
            <v>车位-非人防地下车位</v>
          </cell>
          <cell r="G476" t="str">
            <v>车位</v>
          </cell>
          <cell r="H476" t="str">
            <v>签约</v>
          </cell>
          <cell r="J476" t="str">
            <v>一般客户</v>
          </cell>
          <cell r="K476">
            <v>37.159999999999997</v>
          </cell>
          <cell r="L476">
            <v>12.72</v>
          </cell>
          <cell r="M476">
            <v>0</v>
          </cell>
          <cell r="N476">
            <v>0</v>
          </cell>
        </row>
        <row r="477">
          <cell r="E477" t="str">
            <v>璞园-一期-非人防车位-0155</v>
          </cell>
          <cell r="F477" t="str">
            <v>车位-非人防地下车位</v>
          </cell>
          <cell r="G477" t="str">
            <v>车位</v>
          </cell>
          <cell r="H477" t="str">
            <v>签约</v>
          </cell>
          <cell r="J477" t="str">
            <v>一般客户</v>
          </cell>
          <cell r="K477">
            <v>37.159999999999997</v>
          </cell>
          <cell r="L477">
            <v>12.72</v>
          </cell>
          <cell r="M477">
            <v>0</v>
          </cell>
          <cell r="N477">
            <v>0</v>
          </cell>
        </row>
        <row r="478">
          <cell r="E478" t="str">
            <v>璞园-一期-非人防车位-0156</v>
          </cell>
          <cell r="F478" t="str">
            <v>车位-非人防地下车位</v>
          </cell>
          <cell r="G478" t="str">
            <v>车位</v>
          </cell>
          <cell r="H478" t="str">
            <v>签约</v>
          </cell>
          <cell r="J478" t="str">
            <v>一般客户</v>
          </cell>
          <cell r="K478">
            <v>37.159999999999997</v>
          </cell>
          <cell r="L478">
            <v>12.72</v>
          </cell>
          <cell r="M478">
            <v>0</v>
          </cell>
          <cell r="N478">
            <v>0</v>
          </cell>
        </row>
        <row r="479">
          <cell r="E479" t="str">
            <v>璞园-一期-非人防车位-0157</v>
          </cell>
          <cell r="F479" t="str">
            <v>车位-非人防地下车位</v>
          </cell>
          <cell r="G479" t="str">
            <v>车位</v>
          </cell>
          <cell r="H479" t="str">
            <v>待售</v>
          </cell>
          <cell r="K479">
            <v>37.159999999999997</v>
          </cell>
          <cell r="L479">
            <v>12.72</v>
          </cell>
          <cell r="M479">
            <v>0</v>
          </cell>
          <cell r="N479">
            <v>0</v>
          </cell>
        </row>
        <row r="480">
          <cell r="E480" t="str">
            <v>璞园-一期-非人防车位-0158</v>
          </cell>
          <cell r="F480" t="str">
            <v>车位-非人防地下车位</v>
          </cell>
          <cell r="G480" t="str">
            <v>车位</v>
          </cell>
          <cell r="H480" t="str">
            <v>签约</v>
          </cell>
          <cell r="J480" t="str">
            <v>一般客户</v>
          </cell>
          <cell r="K480">
            <v>37.159999999999997</v>
          </cell>
          <cell r="L480">
            <v>12.72</v>
          </cell>
          <cell r="M480">
            <v>0</v>
          </cell>
          <cell r="N480">
            <v>0</v>
          </cell>
        </row>
        <row r="481">
          <cell r="E481" t="str">
            <v>璞园-一期-非人防车位-0159</v>
          </cell>
          <cell r="F481" t="str">
            <v>车位-非人防地下车位</v>
          </cell>
          <cell r="G481" t="str">
            <v>车位</v>
          </cell>
          <cell r="H481" t="str">
            <v>待售</v>
          </cell>
          <cell r="K481">
            <v>37.159999999999997</v>
          </cell>
          <cell r="L481">
            <v>12.72</v>
          </cell>
          <cell r="M481">
            <v>0</v>
          </cell>
          <cell r="N481">
            <v>0</v>
          </cell>
        </row>
        <row r="482">
          <cell r="E482" t="str">
            <v>璞园-一期-非人防车位-0160</v>
          </cell>
          <cell r="F482" t="str">
            <v>车位-非人防地下车位</v>
          </cell>
          <cell r="G482" t="str">
            <v>车位</v>
          </cell>
          <cell r="H482" t="str">
            <v>签约</v>
          </cell>
          <cell r="J482" t="str">
            <v>一般客户</v>
          </cell>
          <cell r="K482">
            <v>37.159999999999997</v>
          </cell>
          <cell r="L482">
            <v>12.72</v>
          </cell>
          <cell r="M482">
            <v>0</v>
          </cell>
          <cell r="N482">
            <v>0</v>
          </cell>
        </row>
        <row r="483">
          <cell r="E483" t="str">
            <v>璞园-一期-非人防车位-0161</v>
          </cell>
          <cell r="F483" t="str">
            <v>车位-非人防地下车位</v>
          </cell>
          <cell r="G483" t="str">
            <v>车位</v>
          </cell>
          <cell r="H483" t="str">
            <v>签约</v>
          </cell>
          <cell r="J483" t="str">
            <v>一般客户</v>
          </cell>
          <cell r="K483">
            <v>37.159999999999997</v>
          </cell>
          <cell r="L483">
            <v>12.72</v>
          </cell>
          <cell r="M483">
            <v>0</v>
          </cell>
          <cell r="N483">
            <v>0</v>
          </cell>
        </row>
        <row r="484">
          <cell r="E484" t="str">
            <v>璞园-一期-非人防车位-0163</v>
          </cell>
          <cell r="F484" t="str">
            <v>车位-非人防地下车位</v>
          </cell>
          <cell r="G484" t="str">
            <v>车位</v>
          </cell>
          <cell r="H484" t="str">
            <v>签约</v>
          </cell>
          <cell r="J484" t="str">
            <v>一般客户</v>
          </cell>
          <cell r="K484">
            <v>37.159999999999997</v>
          </cell>
          <cell r="L484">
            <v>12.72</v>
          </cell>
          <cell r="M484">
            <v>0</v>
          </cell>
          <cell r="N484">
            <v>0</v>
          </cell>
        </row>
        <row r="485">
          <cell r="E485" t="str">
            <v>璞园-一期-非人防车位-0164</v>
          </cell>
          <cell r="F485" t="str">
            <v>车位-非人防地下车位</v>
          </cell>
          <cell r="G485" t="str">
            <v>车位</v>
          </cell>
          <cell r="H485" t="str">
            <v>签约</v>
          </cell>
          <cell r="J485" t="str">
            <v>一般客户</v>
          </cell>
          <cell r="K485">
            <v>37.159999999999997</v>
          </cell>
          <cell r="L485">
            <v>12.72</v>
          </cell>
          <cell r="M485">
            <v>0</v>
          </cell>
          <cell r="N485">
            <v>0</v>
          </cell>
        </row>
        <row r="486">
          <cell r="E486" t="str">
            <v>璞园-一期-非人防车位-0165</v>
          </cell>
          <cell r="F486" t="str">
            <v>车位-非人防地下车位</v>
          </cell>
          <cell r="G486" t="str">
            <v>车位</v>
          </cell>
          <cell r="H486" t="str">
            <v>签约</v>
          </cell>
          <cell r="J486" t="str">
            <v>一般客户</v>
          </cell>
          <cell r="K486">
            <v>37.159999999999997</v>
          </cell>
          <cell r="L486">
            <v>12.72</v>
          </cell>
          <cell r="M486">
            <v>0</v>
          </cell>
          <cell r="N486">
            <v>0</v>
          </cell>
        </row>
        <row r="487">
          <cell r="E487" t="str">
            <v>璞园-一期-非人防车位-0166</v>
          </cell>
          <cell r="F487" t="str">
            <v>车位-非人防地下车位</v>
          </cell>
          <cell r="G487" t="str">
            <v>车位</v>
          </cell>
          <cell r="H487" t="str">
            <v>签约</v>
          </cell>
          <cell r="J487" t="str">
            <v>工抵房</v>
          </cell>
          <cell r="K487">
            <v>37.159999999999997</v>
          </cell>
          <cell r="L487">
            <v>12.72</v>
          </cell>
          <cell r="M487">
            <v>0</v>
          </cell>
          <cell r="N487">
            <v>0</v>
          </cell>
        </row>
        <row r="488">
          <cell r="E488" t="str">
            <v>璞园-一期-非人防车位-0167</v>
          </cell>
          <cell r="F488" t="str">
            <v>车位-非人防地下车位</v>
          </cell>
          <cell r="G488" t="str">
            <v>车位</v>
          </cell>
          <cell r="H488" t="str">
            <v>待售</v>
          </cell>
          <cell r="K488">
            <v>37.159999999999997</v>
          </cell>
          <cell r="L488">
            <v>12.72</v>
          </cell>
          <cell r="M488">
            <v>0</v>
          </cell>
          <cell r="N488">
            <v>0</v>
          </cell>
        </row>
        <row r="489">
          <cell r="E489" t="str">
            <v>璞园-一期-非人防车位-0168</v>
          </cell>
          <cell r="F489" t="str">
            <v>车位-非人防地下车位</v>
          </cell>
          <cell r="G489" t="str">
            <v>车位</v>
          </cell>
          <cell r="H489" t="str">
            <v>签约</v>
          </cell>
          <cell r="J489" t="str">
            <v>一般客户</v>
          </cell>
          <cell r="K489">
            <v>37.159999999999997</v>
          </cell>
          <cell r="L489">
            <v>12.72</v>
          </cell>
          <cell r="M489">
            <v>0</v>
          </cell>
          <cell r="N489">
            <v>0</v>
          </cell>
        </row>
        <row r="490">
          <cell r="E490" t="str">
            <v>璞园-一期-非人防车位-0169</v>
          </cell>
          <cell r="F490" t="str">
            <v>车位-非人防地下车位</v>
          </cell>
          <cell r="G490" t="str">
            <v>车位</v>
          </cell>
          <cell r="H490" t="str">
            <v>待售</v>
          </cell>
          <cell r="K490">
            <v>37.159999999999997</v>
          </cell>
          <cell r="L490">
            <v>12.72</v>
          </cell>
          <cell r="M490">
            <v>0</v>
          </cell>
          <cell r="N490">
            <v>0</v>
          </cell>
        </row>
        <row r="491">
          <cell r="E491" t="str">
            <v>璞园-一期-非人防车位-0170</v>
          </cell>
          <cell r="F491" t="str">
            <v>车位-非人防地下车位</v>
          </cell>
          <cell r="G491" t="str">
            <v>车位</v>
          </cell>
          <cell r="H491" t="str">
            <v>签约</v>
          </cell>
          <cell r="J491" t="str">
            <v>一般客户</v>
          </cell>
          <cell r="K491">
            <v>37.159999999999997</v>
          </cell>
          <cell r="L491">
            <v>12.72</v>
          </cell>
          <cell r="M491">
            <v>0</v>
          </cell>
          <cell r="N491">
            <v>0</v>
          </cell>
        </row>
        <row r="492">
          <cell r="E492" t="str">
            <v>璞园-一期-非人防车位-0171</v>
          </cell>
          <cell r="F492" t="str">
            <v>车位-非人防地下车位</v>
          </cell>
          <cell r="G492" t="str">
            <v>车位</v>
          </cell>
          <cell r="H492" t="str">
            <v>待售</v>
          </cell>
          <cell r="K492">
            <v>37.159999999999997</v>
          </cell>
          <cell r="L492">
            <v>12.72</v>
          </cell>
          <cell r="M492">
            <v>0</v>
          </cell>
          <cell r="N492">
            <v>0</v>
          </cell>
        </row>
        <row r="493">
          <cell r="E493" t="str">
            <v>璞园-一期-非人防车位-0172</v>
          </cell>
          <cell r="F493" t="str">
            <v>车位-非人防地下车位</v>
          </cell>
          <cell r="G493" t="str">
            <v>车位</v>
          </cell>
          <cell r="H493" t="str">
            <v>签约</v>
          </cell>
          <cell r="J493" t="str">
            <v>一般客户</v>
          </cell>
          <cell r="K493">
            <v>37.159999999999997</v>
          </cell>
          <cell r="L493">
            <v>12.72</v>
          </cell>
          <cell r="M493">
            <v>0</v>
          </cell>
          <cell r="N493">
            <v>0</v>
          </cell>
        </row>
        <row r="494">
          <cell r="E494" t="str">
            <v>璞园-一期-非人防车位-0173</v>
          </cell>
          <cell r="F494" t="str">
            <v>车位-非人防地下车位</v>
          </cell>
          <cell r="G494" t="str">
            <v>车位</v>
          </cell>
          <cell r="H494" t="str">
            <v>待售</v>
          </cell>
          <cell r="K494">
            <v>37.159999999999997</v>
          </cell>
          <cell r="L494">
            <v>12.72</v>
          </cell>
          <cell r="M494">
            <v>0</v>
          </cell>
          <cell r="N494">
            <v>0</v>
          </cell>
        </row>
        <row r="495">
          <cell r="E495" t="str">
            <v>璞园-一期-非人防车位-0174</v>
          </cell>
          <cell r="F495" t="str">
            <v>车位-非人防地下车位</v>
          </cell>
          <cell r="G495" t="str">
            <v>车位</v>
          </cell>
          <cell r="H495" t="str">
            <v>待售</v>
          </cell>
          <cell r="K495">
            <v>37.159999999999997</v>
          </cell>
          <cell r="L495">
            <v>12.72</v>
          </cell>
          <cell r="M495">
            <v>0</v>
          </cell>
          <cell r="N495">
            <v>0</v>
          </cell>
        </row>
        <row r="496">
          <cell r="E496" t="str">
            <v>璞园-一期-非人防车位-0175</v>
          </cell>
          <cell r="F496" t="str">
            <v>车位-非人防地下车位</v>
          </cell>
          <cell r="G496" t="str">
            <v>车位</v>
          </cell>
          <cell r="H496" t="str">
            <v>待售</v>
          </cell>
          <cell r="K496">
            <v>37.159999999999997</v>
          </cell>
          <cell r="L496">
            <v>12.72</v>
          </cell>
          <cell r="M496">
            <v>0</v>
          </cell>
          <cell r="N496">
            <v>0</v>
          </cell>
        </row>
        <row r="497">
          <cell r="E497" t="str">
            <v>璞园-一期-非人防车位-0178</v>
          </cell>
          <cell r="F497" t="str">
            <v>车位-非人防地下车位</v>
          </cell>
          <cell r="G497" t="str">
            <v>车位</v>
          </cell>
          <cell r="H497" t="str">
            <v>签约</v>
          </cell>
          <cell r="J497" t="str">
            <v>一般客户</v>
          </cell>
          <cell r="K497">
            <v>37.159999999999997</v>
          </cell>
          <cell r="L497">
            <v>12.72</v>
          </cell>
          <cell r="M497">
            <v>0</v>
          </cell>
          <cell r="N497">
            <v>0</v>
          </cell>
        </row>
        <row r="498">
          <cell r="E498" t="str">
            <v>璞园-一期-非人防车位-0179</v>
          </cell>
          <cell r="F498" t="str">
            <v>车位-非人防地下车位</v>
          </cell>
          <cell r="G498" t="str">
            <v>车位</v>
          </cell>
          <cell r="H498" t="str">
            <v>签约</v>
          </cell>
          <cell r="J498" t="str">
            <v>工抵房</v>
          </cell>
          <cell r="K498">
            <v>37.159999999999997</v>
          </cell>
          <cell r="L498">
            <v>12.72</v>
          </cell>
          <cell r="M498">
            <v>0</v>
          </cell>
          <cell r="N498">
            <v>0</v>
          </cell>
        </row>
        <row r="499">
          <cell r="E499" t="str">
            <v>璞园-一期-非人防车位-0180</v>
          </cell>
          <cell r="F499" t="str">
            <v>车位-非人防地下车位</v>
          </cell>
          <cell r="G499" t="str">
            <v>车位</v>
          </cell>
          <cell r="H499" t="str">
            <v>签约</v>
          </cell>
          <cell r="J499" t="str">
            <v>一般客户</v>
          </cell>
          <cell r="K499">
            <v>37.159999999999997</v>
          </cell>
          <cell r="L499">
            <v>12.72</v>
          </cell>
          <cell r="M499">
            <v>0</v>
          </cell>
          <cell r="N499">
            <v>0</v>
          </cell>
        </row>
        <row r="500">
          <cell r="E500" t="str">
            <v>璞园-一期-非人防车位-0181</v>
          </cell>
          <cell r="F500" t="str">
            <v>车位-非人防地下车位</v>
          </cell>
          <cell r="G500" t="str">
            <v>车位</v>
          </cell>
          <cell r="H500" t="str">
            <v>签约</v>
          </cell>
          <cell r="J500" t="str">
            <v>一般客户</v>
          </cell>
          <cell r="K500">
            <v>37.159999999999997</v>
          </cell>
          <cell r="L500">
            <v>12.72</v>
          </cell>
          <cell r="M500">
            <v>0</v>
          </cell>
          <cell r="N500">
            <v>0</v>
          </cell>
        </row>
        <row r="501">
          <cell r="E501" t="str">
            <v>璞园-一期-非人防车位-0182</v>
          </cell>
          <cell r="F501" t="str">
            <v>车位-非人防地下车位</v>
          </cell>
          <cell r="G501" t="str">
            <v>车位</v>
          </cell>
          <cell r="H501" t="str">
            <v>签约</v>
          </cell>
          <cell r="J501" t="str">
            <v>一般客户</v>
          </cell>
          <cell r="K501">
            <v>37.159999999999997</v>
          </cell>
          <cell r="L501">
            <v>12.72</v>
          </cell>
          <cell r="M501">
            <v>0</v>
          </cell>
          <cell r="N501">
            <v>0</v>
          </cell>
        </row>
        <row r="502">
          <cell r="E502" t="str">
            <v>璞园-一期-非人防车位-0184</v>
          </cell>
          <cell r="F502" t="str">
            <v>车位-非人防地下车位</v>
          </cell>
          <cell r="G502" t="str">
            <v>车位</v>
          </cell>
          <cell r="H502" t="str">
            <v>签约</v>
          </cell>
          <cell r="J502" t="str">
            <v>一般客户</v>
          </cell>
          <cell r="K502">
            <v>37.159999999999997</v>
          </cell>
          <cell r="L502">
            <v>12.72</v>
          </cell>
          <cell r="M502">
            <v>0</v>
          </cell>
          <cell r="N502">
            <v>0</v>
          </cell>
        </row>
        <row r="503">
          <cell r="E503" t="str">
            <v>璞园-一期-非人防车位-0185</v>
          </cell>
          <cell r="F503" t="str">
            <v>车位-非人防地下车位</v>
          </cell>
          <cell r="G503" t="str">
            <v>车位</v>
          </cell>
          <cell r="H503" t="str">
            <v>签约</v>
          </cell>
          <cell r="J503" t="str">
            <v>一般客户</v>
          </cell>
          <cell r="K503">
            <v>37.159999999999997</v>
          </cell>
          <cell r="L503">
            <v>12.72</v>
          </cell>
          <cell r="M503">
            <v>0</v>
          </cell>
          <cell r="N503">
            <v>0</v>
          </cell>
        </row>
        <row r="504">
          <cell r="E504" t="str">
            <v>璞园-一期-非人防车位-0186</v>
          </cell>
          <cell r="F504" t="str">
            <v>车位-非人防地下车位</v>
          </cell>
          <cell r="G504" t="str">
            <v>车位</v>
          </cell>
          <cell r="H504" t="str">
            <v>签约</v>
          </cell>
          <cell r="J504" t="str">
            <v>一般客户</v>
          </cell>
          <cell r="K504">
            <v>37.159999999999997</v>
          </cell>
          <cell r="L504">
            <v>12.72</v>
          </cell>
          <cell r="M504">
            <v>0</v>
          </cell>
          <cell r="N504">
            <v>0</v>
          </cell>
        </row>
        <row r="505">
          <cell r="E505" t="str">
            <v>璞园-一期-非人防车位-0187</v>
          </cell>
          <cell r="F505" t="str">
            <v>车位-非人防地下车位</v>
          </cell>
          <cell r="G505" t="str">
            <v>车位</v>
          </cell>
          <cell r="H505" t="str">
            <v>待售</v>
          </cell>
          <cell r="K505">
            <v>74.319999999999993</v>
          </cell>
          <cell r="L505">
            <v>25.44</v>
          </cell>
          <cell r="M505">
            <v>0</v>
          </cell>
          <cell r="N505">
            <v>0</v>
          </cell>
        </row>
        <row r="506">
          <cell r="E506" t="str">
            <v>璞园-一期-非人防车位-0188</v>
          </cell>
          <cell r="F506" t="str">
            <v>车位-非人防地下车位</v>
          </cell>
          <cell r="G506" t="str">
            <v>车位</v>
          </cell>
          <cell r="H506" t="str">
            <v>签约</v>
          </cell>
          <cell r="J506" t="str">
            <v>一般客户</v>
          </cell>
          <cell r="K506">
            <v>37.159999999999997</v>
          </cell>
          <cell r="L506">
            <v>12.72</v>
          </cell>
          <cell r="M506">
            <v>0</v>
          </cell>
          <cell r="N506">
            <v>0</v>
          </cell>
        </row>
        <row r="507">
          <cell r="E507" t="str">
            <v>璞园-一期-非人防车位-0189</v>
          </cell>
          <cell r="F507" t="str">
            <v>车位-非人防地下车位</v>
          </cell>
          <cell r="G507" t="str">
            <v>车位</v>
          </cell>
          <cell r="H507" t="str">
            <v>签约</v>
          </cell>
          <cell r="J507" t="str">
            <v>一般客户</v>
          </cell>
          <cell r="K507">
            <v>37.159999999999997</v>
          </cell>
          <cell r="L507">
            <v>12.72</v>
          </cell>
          <cell r="M507">
            <v>0</v>
          </cell>
          <cell r="N507">
            <v>0</v>
          </cell>
        </row>
        <row r="508">
          <cell r="E508" t="str">
            <v>璞园-一期-非人防车位-0190</v>
          </cell>
          <cell r="F508" t="str">
            <v>车位-非人防地下车位</v>
          </cell>
          <cell r="G508" t="str">
            <v>车位</v>
          </cell>
          <cell r="H508" t="str">
            <v>待售</v>
          </cell>
          <cell r="K508">
            <v>37.159999999999997</v>
          </cell>
          <cell r="L508">
            <v>12.72</v>
          </cell>
          <cell r="M508">
            <v>0</v>
          </cell>
          <cell r="N508">
            <v>0</v>
          </cell>
        </row>
        <row r="509">
          <cell r="E509" t="str">
            <v>璞园-一期-非人防车位-0191</v>
          </cell>
          <cell r="F509" t="str">
            <v>车位-非人防地下车位</v>
          </cell>
          <cell r="G509" t="str">
            <v>车位</v>
          </cell>
          <cell r="H509" t="str">
            <v>待售</v>
          </cell>
          <cell r="K509">
            <v>37.159999999999997</v>
          </cell>
          <cell r="L509">
            <v>12.72</v>
          </cell>
          <cell r="M509">
            <v>0</v>
          </cell>
          <cell r="N509">
            <v>0</v>
          </cell>
        </row>
        <row r="510">
          <cell r="E510" t="str">
            <v>璞园-一期-非人防车位-0192</v>
          </cell>
          <cell r="F510" t="str">
            <v>车位-非人防地下车位</v>
          </cell>
          <cell r="G510" t="str">
            <v>车位</v>
          </cell>
          <cell r="H510" t="str">
            <v>待售</v>
          </cell>
          <cell r="K510">
            <v>37.159999999999997</v>
          </cell>
          <cell r="L510">
            <v>12.72</v>
          </cell>
          <cell r="M510">
            <v>0</v>
          </cell>
          <cell r="N510">
            <v>0</v>
          </cell>
        </row>
        <row r="511">
          <cell r="E511" t="str">
            <v>璞园-一期-非人防车位-0193</v>
          </cell>
          <cell r="F511" t="str">
            <v>车位-非人防地下车位</v>
          </cell>
          <cell r="G511" t="str">
            <v>车位</v>
          </cell>
          <cell r="H511" t="str">
            <v>签约</v>
          </cell>
          <cell r="J511" t="str">
            <v>一般客户</v>
          </cell>
          <cell r="K511">
            <v>29.49</v>
          </cell>
          <cell r="L511">
            <v>12.72</v>
          </cell>
          <cell r="M511">
            <v>0</v>
          </cell>
          <cell r="N511">
            <v>0</v>
          </cell>
        </row>
        <row r="512">
          <cell r="E512" t="str">
            <v>璞园-一期-非人防车位-0194</v>
          </cell>
          <cell r="F512" t="str">
            <v>车位-非人防地下车位</v>
          </cell>
          <cell r="G512" t="str">
            <v>车位</v>
          </cell>
          <cell r="H512" t="str">
            <v>待售</v>
          </cell>
          <cell r="K512">
            <v>29.49</v>
          </cell>
          <cell r="L512">
            <v>12.72</v>
          </cell>
          <cell r="M512">
            <v>0</v>
          </cell>
          <cell r="N512">
            <v>0</v>
          </cell>
        </row>
        <row r="513">
          <cell r="E513" t="str">
            <v>璞园-一期-非人防车位-0195</v>
          </cell>
          <cell r="F513" t="str">
            <v>车位-非人防地下车位</v>
          </cell>
          <cell r="G513" t="str">
            <v>车位</v>
          </cell>
          <cell r="H513" t="str">
            <v>签约</v>
          </cell>
          <cell r="J513" t="str">
            <v>一般客户</v>
          </cell>
          <cell r="K513">
            <v>29.49</v>
          </cell>
          <cell r="L513">
            <v>12.72</v>
          </cell>
          <cell r="M513">
            <v>0</v>
          </cell>
          <cell r="N513">
            <v>0</v>
          </cell>
        </row>
        <row r="514">
          <cell r="E514" t="str">
            <v>璞园-一期-非人防车位-0196</v>
          </cell>
          <cell r="F514" t="str">
            <v>车位-非人防地下车位</v>
          </cell>
          <cell r="G514" t="str">
            <v>车位</v>
          </cell>
          <cell r="H514" t="str">
            <v>待售</v>
          </cell>
          <cell r="K514">
            <v>33.39</v>
          </cell>
          <cell r="L514">
            <v>14.4</v>
          </cell>
          <cell r="M514">
            <v>0</v>
          </cell>
          <cell r="N514">
            <v>0</v>
          </cell>
        </row>
        <row r="515">
          <cell r="E515" t="str">
            <v>璞园-一期-非人防车位-0197</v>
          </cell>
          <cell r="F515" t="str">
            <v>车位-非人防地下车位</v>
          </cell>
          <cell r="G515" t="str">
            <v>车位</v>
          </cell>
          <cell r="H515" t="str">
            <v>签约</v>
          </cell>
          <cell r="J515" t="str">
            <v>一般客户</v>
          </cell>
          <cell r="K515">
            <v>29.49</v>
          </cell>
          <cell r="L515">
            <v>12.72</v>
          </cell>
          <cell r="M515">
            <v>0</v>
          </cell>
          <cell r="N515">
            <v>0</v>
          </cell>
        </row>
        <row r="516">
          <cell r="E516" t="str">
            <v>璞园-一期-非人防车位-0198</v>
          </cell>
          <cell r="F516" t="str">
            <v>车位-非人防地下车位</v>
          </cell>
          <cell r="G516" t="str">
            <v>车位</v>
          </cell>
          <cell r="H516" t="str">
            <v>签约</v>
          </cell>
          <cell r="J516" t="str">
            <v>一般客户</v>
          </cell>
          <cell r="K516">
            <v>29.49</v>
          </cell>
          <cell r="L516">
            <v>12.72</v>
          </cell>
          <cell r="M516">
            <v>0</v>
          </cell>
          <cell r="N516">
            <v>0</v>
          </cell>
        </row>
        <row r="517">
          <cell r="E517" t="str">
            <v>璞园-一期-非人防车位-0199</v>
          </cell>
          <cell r="F517" t="str">
            <v>车位-非人防地下车位</v>
          </cell>
          <cell r="G517" t="str">
            <v>车位</v>
          </cell>
          <cell r="H517" t="str">
            <v>签约</v>
          </cell>
          <cell r="J517" t="str">
            <v>一般客户</v>
          </cell>
          <cell r="K517">
            <v>29.49</v>
          </cell>
          <cell r="L517">
            <v>12.72</v>
          </cell>
          <cell r="M517">
            <v>0</v>
          </cell>
          <cell r="N517">
            <v>0</v>
          </cell>
        </row>
        <row r="518">
          <cell r="E518" t="str">
            <v>璞园-一期-非人防车位-0200</v>
          </cell>
          <cell r="F518" t="str">
            <v>车位-非人防地下车位</v>
          </cell>
          <cell r="G518" t="str">
            <v>车位</v>
          </cell>
          <cell r="H518" t="str">
            <v>签约</v>
          </cell>
          <cell r="J518" t="str">
            <v>一般客户</v>
          </cell>
          <cell r="K518">
            <v>29.49</v>
          </cell>
          <cell r="L518">
            <v>12.72</v>
          </cell>
          <cell r="M518">
            <v>0</v>
          </cell>
          <cell r="N518">
            <v>0</v>
          </cell>
        </row>
        <row r="519">
          <cell r="E519" t="str">
            <v>璞园-一期-非人防车位-0201</v>
          </cell>
          <cell r="F519" t="str">
            <v>车位-非人防地下车位</v>
          </cell>
          <cell r="G519" t="str">
            <v>车位</v>
          </cell>
          <cell r="H519" t="str">
            <v>待售</v>
          </cell>
          <cell r="K519">
            <v>29.49</v>
          </cell>
          <cell r="L519">
            <v>12.72</v>
          </cell>
          <cell r="M519">
            <v>0</v>
          </cell>
          <cell r="N519">
            <v>0</v>
          </cell>
        </row>
        <row r="520">
          <cell r="E520" t="str">
            <v>璞园-一期-非人防车位-0202</v>
          </cell>
          <cell r="F520" t="str">
            <v>车位-非人防地下车位</v>
          </cell>
          <cell r="G520" t="str">
            <v>车位</v>
          </cell>
          <cell r="H520" t="str">
            <v>待售</v>
          </cell>
          <cell r="K520">
            <v>29.49</v>
          </cell>
          <cell r="L520">
            <v>12.72</v>
          </cell>
          <cell r="M520">
            <v>0</v>
          </cell>
          <cell r="N520">
            <v>0</v>
          </cell>
        </row>
        <row r="521">
          <cell r="E521" t="str">
            <v>璞园-一期-非人防车位-0203</v>
          </cell>
          <cell r="F521" t="str">
            <v>车位-非人防地下车位</v>
          </cell>
          <cell r="G521" t="str">
            <v>车位</v>
          </cell>
          <cell r="H521" t="str">
            <v>签约</v>
          </cell>
          <cell r="J521" t="str">
            <v>一般客户</v>
          </cell>
          <cell r="K521">
            <v>29.49</v>
          </cell>
          <cell r="L521">
            <v>12.72</v>
          </cell>
          <cell r="M521">
            <v>0</v>
          </cell>
          <cell r="N521">
            <v>0</v>
          </cell>
        </row>
        <row r="522">
          <cell r="E522" t="str">
            <v>璞园-一期-非人防车位-0204</v>
          </cell>
          <cell r="F522" t="str">
            <v>车位-非人防地下车位</v>
          </cell>
          <cell r="G522" t="str">
            <v>车位</v>
          </cell>
          <cell r="H522" t="str">
            <v>签约</v>
          </cell>
          <cell r="J522" t="str">
            <v>一般客户</v>
          </cell>
          <cell r="K522">
            <v>29.49</v>
          </cell>
          <cell r="L522">
            <v>12.72</v>
          </cell>
          <cell r="M522">
            <v>0</v>
          </cell>
          <cell r="N522">
            <v>0</v>
          </cell>
        </row>
        <row r="523">
          <cell r="E523" t="str">
            <v>璞园-一期-非人防车位-0205</v>
          </cell>
          <cell r="F523" t="str">
            <v>车位-非人防地下车位</v>
          </cell>
          <cell r="G523" t="str">
            <v>车位</v>
          </cell>
          <cell r="H523" t="str">
            <v>签约</v>
          </cell>
          <cell r="J523" t="str">
            <v>一般客户</v>
          </cell>
          <cell r="K523">
            <v>29.49</v>
          </cell>
          <cell r="L523">
            <v>12.72</v>
          </cell>
          <cell r="M523">
            <v>0</v>
          </cell>
          <cell r="N523">
            <v>0</v>
          </cell>
        </row>
        <row r="524">
          <cell r="E524" t="str">
            <v>璞园-一期-非人防车位-0206</v>
          </cell>
          <cell r="F524" t="str">
            <v>车位-非人防地下车位</v>
          </cell>
          <cell r="G524" t="str">
            <v>车位</v>
          </cell>
          <cell r="H524" t="str">
            <v>待售</v>
          </cell>
          <cell r="K524">
            <v>29.49</v>
          </cell>
          <cell r="L524">
            <v>12.72</v>
          </cell>
          <cell r="M524">
            <v>0</v>
          </cell>
          <cell r="N524">
            <v>0</v>
          </cell>
        </row>
        <row r="525">
          <cell r="E525" t="str">
            <v>璞园-一期-非人防车位-0207</v>
          </cell>
          <cell r="F525" t="str">
            <v>车位-非人防地下车位</v>
          </cell>
          <cell r="G525" t="str">
            <v>车位</v>
          </cell>
          <cell r="H525" t="str">
            <v>签约</v>
          </cell>
          <cell r="J525" t="str">
            <v>一般客户</v>
          </cell>
          <cell r="K525">
            <v>29.49</v>
          </cell>
          <cell r="L525">
            <v>12.72</v>
          </cell>
          <cell r="M525">
            <v>0</v>
          </cell>
          <cell r="N525">
            <v>0</v>
          </cell>
        </row>
        <row r="526">
          <cell r="E526" t="str">
            <v>璞园-一期-非人防车位-0208</v>
          </cell>
          <cell r="F526" t="str">
            <v>车位-非人防地下车位</v>
          </cell>
          <cell r="G526" t="str">
            <v>车位</v>
          </cell>
          <cell r="H526" t="str">
            <v>签约</v>
          </cell>
          <cell r="J526" t="str">
            <v>一般客户</v>
          </cell>
          <cell r="K526">
            <v>29.49</v>
          </cell>
          <cell r="L526">
            <v>12.72</v>
          </cell>
          <cell r="M526">
            <v>0</v>
          </cell>
          <cell r="N526">
            <v>0</v>
          </cell>
        </row>
        <row r="527">
          <cell r="E527" t="str">
            <v>璞园-一期-非人防车位-0209</v>
          </cell>
          <cell r="F527" t="str">
            <v>车位-非人防地下车位</v>
          </cell>
          <cell r="G527" t="str">
            <v>车位</v>
          </cell>
          <cell r="H527" t="str">
            <v>签约</v>
          </cell>
          <cell r="J527" t="str">
            <v>一般客户</v>
          </cell>
          <cell r="K527">
            <v>29.49</v>
          </cell>
          <cell r="L527">
            <v>12.72</v>
          </cell>
          <cell r="M527">
            <v>0</v>
          </cell>
          <cell r="N527">
            <v>0</v>
          </cell>
        </row>
        <row r="528">
          <cell r="E528" t="str">
            <v>璞园-一期-非人防车位-0210</v>
          </cell>
          <cell r="F528" t="str">
            <v>车位-非人防地下车位</v>
          </cell>
          <cell r="G528" t="str">
            <v>车位</v>
          </cell>
          <cell r="H528" t="str">
            <v>签约</v>
          </cell>
          <cell r="J528" t="str">
            <v>一般客户</v>
          </cell>
          <cell r="K528">
            <v>29.49</v>
          </cell>
          <cell r="L528">
            <v>12.72</v>
          </cell>
          <cell r="M528">
            <v>0</v>
          </cell>
          <cell r="N528">
            <v>0</v>
          </cell>
        </row>
        <row r="529">
          <cell r="E529" t="str">
            <v>璞园-一期-非人防车位-0211</v>
          </cell>
          <cell r="F529" t="str">
            <v>车位-非人防地下车位</v>
          </cell>
          <cell r="G529" t="str">
            <v>车位</v>
          </cell>
          <cell r="H529" t="str">
            <v>签约</v>
          </cell>
          <cell r="J529" t="str">
            <v>一般客户</v>
          </cell>
          <cell r="K529">
            <v>29.49</v>
          </cell>
          <cell r="L529">
            <v>12.72</v>
          </cell>
          <cell r="M529">
            <v>0</v>
          </cell>
          <cell r="N529">
            <v>0</v>
          </cell>
        </row>
        <row r="530">
          <cell r="E530" t="str">
            <v>璞园-一期-非人防车位-0212</v>
          </cell>
          <cell r="F530" t="str">
            <v>车位-非人防地下车位</v>
          </cell>
          <cell r="G530" t="str">
            <v>车位</v>
          </cell>
          <cell r="H530" t="str">
            <v>签约</v>
          </cell>
          <cell r="J530" t="str">
            <v>一般客户</v>
          </cell>
          <cell r="K530">
            <v>29.49</v>
          </cell>
          <cell r="L530">
            <v>12.72</v>
          </cell>
          <cell r="M530">
            <v>0</v>
          </cell>
          <cell r="N530">
            <v>0</v>
          </cell>
        </row>
        <row r="531">
          <cell r="E531" t="str">
            <v>璞园-一期-非人防车位-0213</v>
          </cell>
          <cell r="F531" t="str">
            <v>车位-非人防地下车位</v>
          </cell>
          <cell r="G531" t="str">
            <v>车位</v>
          </cell>
          <cell r="H531" t="str">
            <v>签约</v>
          </cell>
          <cell r="J531" t="str">
            <v>一般客户</v>
          </cell>
          <cell r="K531">
            <v>29.49</v>
          </cell>
          <cell r="L531">
            <v>12.72</v>
          </cell>
          <cell r="M531">
            <v>0</v>
          </cell>
          <cell r="N531">
            <v>0</v>
          </cell>
        </row>
        <row r="532">
          <cell r="E532" t="str">
            <v>璞园-一期-非人防车位-0214</v>
          </cell>
          <cell r="F532" t="str">
            <v>车位-非人防地下车位</v>
          </cell>
          <cell r="G532" t="str">
            <v>车位</v>
          </cell>
          <cell r="H532" t="str">
            <v>签约</v>
          </cell>
          <cell r="J532" t="str">
            <v>一般客户</v>
          </cell>
          <cell r="K532">
            <v>29.49</v>
          </cell>
          <cell r="L532">
            <v>12.72</v>
          </cell>
          <cell r="M532">
            <v>0</v>
          </cell>
          <cell r="N532">
            <v>0</v>
          </cell>
        </row>
        <row r="533">
          <cell r="E533" t="str">
            <v>璞园-一期-非人防车位-0215</v>
          </cell>
          <cell r="F533" t="str">
            <v>车位-非人防地下车位</v>
          </cell>
          <cell r="G533" t="str">
            <v>车位</v>
          </cell>
          <cell r="H533" t="str">
            <v>签约</v>
          </cell>
          <cell r="J533" t="str">
            <v>一般客户</v>
          </cell>
          <cell r="K533">
            <v>29.49</v>
          </cell>
          <cell r="L533">
            <v>12.72</v>
          </cell>
          <cell r="M533">
            <v>0</v>
          </cell>
          <cell r="N533">
            <v>0</v>
          </cell>
        </row>
        <row r="534">
          <cell r="E534" t="str">
            <v>璞园-一期-非人防车位-0216</v>
          </cell>
          <cell r="F534" t="str">
            <v>车位-非人防地下车位</v>
          </cell>
          <cell r="G534" t="str">
            <v>车位</v>
          </cell>
          <cell r="H534" t="str">
            <v>待售</v>
          </cell>
          <cell r="K534">
            <v>29.49</v>
          </cell>
          <cell r="L534">
            <v>12.72</v>
          </cell>
          <cell r="M534">
            <v>0</v>
          </cell>
          <cell r="N534">
            <v>0</v>
          </cell>
        </row>
        <row r="535">
          <cell r="E535" t="str">
            <v>璞园-一期-非人防车位-0217</v>
          </cell>
          <cell r="F535" t="str">
            <v>车位-非人防地下车位</v>
          </cell>
          <cell r="G535" t="str">
            <v>车位</v>
          </cell>
          <cell r="H535" t="str">
            <v>待售</v>
          </cell>
          <cell r="K535">
            <v>29.49</v>
          </cell>
          <cell r="L535">
            <v>12.72</v>
          </cell>
          <cell r="M535">
            <v>0</v>
          </cell>
          <cell r="N535">
            <v>0</v>
          </cell>
        </row>
        <row r="536">
          <cell r="E536" t="str">
            <v>璞园-一期-非人防车位-0218</v>
          </cell>
          <cell r="F536" t="str">
            <v>车位-非人防地下车位</v>
          </cell>
          <cell r="G536" t="str">
            <v>车位</v>
          </cell>
          <cell r="H536" t="str">
            <v>待售</v>
          </cell>
          <cell r="K536">
            <v>29.49</v>
          </cell>
          <cell r="L536">
            <v>12.72</v>
          </cell>
          <cell r="M536">
            <v>0</v>
          </cell>
          <cell r="N536">
            <v>0</v>
          </cell>
        </row>
        <row r="537">
          <cell r="E537" t="str">
            <v>璞园-一期-非人防车位-0219</v>
          </cell>
          <cell r="F537" t="str">
            <v>车位-非人防地下车位</v>
          </cell>
          <cell r="G537" t="str">
            <v>车位</v>
          </cell>
          <cell r="H537" t="str">
            <v>待售</v>
          </cell>
          <cell r="K537">
            <v>29.49</v>
          </cell>
          <cell r="L537">
            <v>12.72</v>
          </cell>
          <cell r="M537">
            <v>0</v>
          </cell>
          <cell r="N537">
            <v>0</v>
          </cell>
        </row>
        <row r="538">
          <cell r="E538" t="str">
            <v>璞园-一期-非人防车位-0220</v>
          </cell>
          <cell r="F538" t="str">
            <v>车位-非人防地下车位</v>
          </cell>
          <cell r="G538" t="str">
            <v>车位</v>
          </cell>
          <cell r="H538" t="str">
            <v>待售</v>
          </cell>
          <cell r="K538">
            <v>29.49</v>
          </cell>
          <cell r="L538">
            <v>12.72</v>
          </cell>
          <cell r="M538">
            <v>0</v>
          </cell>
          <cell r="N538">
            <v>0</v>
          </cell>
        </row>
        <row r="539">
          <cell r="E539" t="str">
            <v>璞园-一期-非人防车位-0221</v>
          </cell>
          <cell r="F539" t="str">
            <v>车位-非人防地下车位</v>
          </cell>
          <cell r="G539" t="str">
            <v>车位</v>
          </cell>
          <cell r="H539" t="str">
            <v>待售</v>
          </cell>
          <cell r="K539">
            <v>29.49</v>
          </cell>
          <cell r="L539">
            <v>12.72</v>
          </cell>
          <cell r="M539">
            <v>0</v>
          </cell>
          <cell r="N539">
            <v>0</v>
          </cell>
        </row>
        <row r="540">
          <cell r="E540" t="str">
            <v>璞园-一期-非人防车位-0222</v>
          </cell>
          <cell r="F540" t="str">
            <v>车位-非人防地下车位</v>
          </cell>
          <cell r="G540" t="str">
            <v>车位</v>
          </cell>
          <cell r="H540" t="str">
            <v>待售</v>
          </cell>
          <cell r="K540">
            <v>29.49</v>
          </cell>
          <cell r="L540">
            <v>12.72</v>
          </cell>
          <cell r="M540">
            <v>0</v>
          </cell>
          <cell r="N540">
            <v>0</v>
          </cell>
        </row>
        <row r="541">
          <cell r="E541" t="str">
            <v>璞园-一期-非人防车位-0223</v>
          </cell>
          <cell r="F541" t="str">
            <v>车位-非人防地下车位</v>
          </cell>
          <cell r="G541" t="str">
            <v>车位</v>
          </cell>
          <cell r="H541" t="str">
            <v>待售</v>
          </cell>
          <cell r="K541">
            <v>29.49</v>
          </cell>
          <cell r="L541">
            <v>12.72</v>
          </cell>
          <cell r="M541">
            <v>0</v>
          </cell>
          <cell r="N541">
            <v>0</v>
          </cell>
        </row>
        <row r="542">
          <cell r="E542" t="str">
            <v>璞园-一期-非人防车位-0224</v>
          </cell>
          <cell r="F542" t="str">
            <v>车位-非人防地下车位</v>
          </cell>
          <cell r="G542" t="str">
            <v>车位</v>
          </cell>
          <cell r="H542" t="str">
            <v>待售</v>
          </cell>
          <cell r="K542">
            <v>29.49</v>
          </cell>
          <cell r="L542">
            <v>12.72</v>
          </cell>
          <cell r="M542">
            <v>0</v>
          </cell>
          <cell r="N542">
            <v>0</v>
          </cell>
        </row>
        <row r="543">
          <cell r="E543" t="str">
            <v>璞园-一期-非人防车位-0225</v>
          </cell>
          <cell r="F543" t="str">
            <v>车位-非人防地下车位</v>
          </cell>
          <cell r="G543" t="str">
            <v>车位</v>
          </cell>
          <cell r="H543" t="str">
            <v>待售</v>
          </cell>
          <cell r="K543">
            <v>29.49</v>
          </cell>
          <cell r="L543">
            <v>12.72</v>
          </cell>
          <cell r="M543">
            <v>0</v>
          </cell>
          <cell r="N543">
            <v>0</v>
          </cell>
        </row>
        <row r="544">
          <cell r="E544" t="str">
            <v>璞园-一期-非人防车位-0226</v>
          </cell>
          <cell r="F544" t="str">
            <v>车位-非人防地下车位</v>
          </cell>
          <cell r="G544" t="str">
            <v>车位</v>
          </cell>
          <cell r="H544" t="str">
            <v>待售</v>
          </cell>
          <cell r="K544">
            <v>29.49</v>
          </cell>
          <cell r="L544">
            <v>12.72</v>
          </cell>
          <cell r="M544">
            <v>0</v>
          </cell>
          <cell r="N544">
            <v>0</v>
          </cell>
        </row>
        <row r="545">
          <cell r="E545" t="str">
            <v>璞园-一期-非人防车位-0227</v>
          </cell>
          <cell r="F545" t="str">
            <v>车位-非人防地下车位</v>
          </cell>
          <cell r="G545" t="str">
            <v>车位</v>
          </cell>
          <cell r="H545" t="str">
            <v>待售</v>
          </cell>
          <cell r="K545">
            <v>29.49</v>
          </cell>
          <cell r="L545">
            <v>12.72</v>
          </cell>
          <cell r="M545">
            <v>0</v>
          </cell>
          <cell r="N545">
            <v>0</v>
          </cell>
        </row>
        <row r="546">
          <cell r="E546" t="str">
            <v>璞园-一期-非人防车位-0228</v>
          </cell>
          <cell r="F546" t="str">
            <v>车位-非人防地下车位</v>
          </cell>
          <cell r="G546" t="str">
            <v>车位</v>
          </cell>
          <cell r="H546" t="str">
            <v>待售</v>
          </cell>
          <cell r="K546">
            <v>29.49</v>
          </cell>
          <cell r="L546">
            <v>12.72</v>
          </cell>
          <cell r="M546">
            <v>0</v>
          </cell>
          <cell r="N546">
            <v>0</v>
          </cell>
        </row>
        <row r="547">
          <cell r="E547" t="str">
            <v>璞园-一期-非人防车位-0229</v>
          </cell>
          <cell r="F547" t="str">
            <v>车位-非人防地下车位</v>
          </cell>
          <cell r="G547" t="str">
            <v>车位</v>
          </cell>
          <cell r="H547" t="str">
            <v>待售</v>
          </cell>
          <cell r="K547">
            <v>29.49</v>
          </cell>
          <cell r="L547">
            <v>12.72</v>
          </cell>
          <cell r="M547">
            <v>0</v>
          </cell>
          <cell r="N547">
            <v>0</v>
          </cell>
        </row>
        <row r="548">
          <cell r="E548" t="str">
            <v>璞园-一期-非人防车位-0230</v>
          </cell>
          <cell r="F548" t="str">
            <v>车位-非人防地下车位</v>
          </cell>
          <cell r="G548" t="str">
            <v>车位</v>
          </cell>
          <cell r="H548" t="str">
            <v>待售</v>
          </cell>
          <cell r="K548">
            <v>29.49</v>
          </cell>
          <cell r="L548">
            <v>12.72</v>
          </cell>
          <cell r="M548">
            <v>0</v>
          </cell>
          <cell r="N548">
            <v>0</v>
          </cell>
        </row>
        <row r="549">
          <cell r="E549" t="str">
            <v>璞园-一期-非人防车位-0231</v>
          </cell>
          <cell r="F549" t="str">
            <v>车位-非人防地下车位</v>
          </cell>
          <cell r="G549" t="str">
            <v>车位</v>
          </cell>
          <cell r="H549" t="str">
            <v>待售</v>
          </cell>
          <cell r="K549">
            <v>29.49</v>
          </cell>
          <cell r="L549">
            <v>12.72</v>
          </cell>
          <cell r="M549">
            <v>0</v>
          </cell>
          <cell r="N549">
            <v>0</v>
          </cell>
        </row>
        <row r="550">
          <cell r="E550" t="str">
            <v>璞园-一期-非人防车位-0232</v>
          </cell>
          <cell r="F550" t="str">
            <v>车位-非人防地下车位</v>
          </cell>
          <cell r="G550" t="str">
            <v>车位</v>
          </cell>
          <cell r="H550" t="str">
            <v>签约</v>
          </cell>
          <cell r="J550" t="str">
            <v>一般客户</v>
          </cell>
          <cell r="K550">
            <v>29.49</v>
          </cell>
          <cell r="L550">
            <v>12.72</v>
          </cell>
          <cell r="M550">
            <v>0</v>
          </cell>
          <cell r="N550">
            <v>0</v>
          </cell>
        </row>
        <row r="551">
          <cell r="E551" t="str">
            <v>璞园-一期-非人防车位-0233</v>
          </cell>
          <cell r="F551" t="str">
            <v>车位-非人防地下车位</v>
          </cell>
          <cell r="G551" t="str">
            <v>车位</v>
          </cell>
          <cell r="H551" t="str">
            <v>待售</v>
          </cell>
          <cell r="K551">
            <v>29.49</v>
          </cell>
          <cell r="L551">
            <v>12.72</v>
          </cell>
          <cell r="M551">
            <v>0</v>
          </cell>
          <cell r="N551">
            <v>0</v>
          </cell>
        </row>
        <row r="552">
          <cell r="E552" t="str">
            <v>璞园-一期-非人防车位-0234</v>
          </cell>
          <cell r="F552" t="str">
            <v>车位-非人防地下车位</v>
          </cell>
          <cell r="G552" t="str">
            <v>车位</v>
          </cell>
          <cell r="H552" t="str">
            <v>待售</v>
          </cell>
          <cell r="K552">
            <v>29.49</v>
          </cell>
          <cell r="L552">
            <v>12.72</v>
          </cell>
          <cell r="M552">
            <v>0</v>
          </cell>
          <cell r="N552">
            <v>0</v>
          </cell>
        </row>
        <row r="553">
          <cell r="E553" t="str">
            <v>璞园-一期-非人防车位-0235</v>
          </cell>
          <cell r="F553" t="str">
            <v>车位-非人防地下车位</v>
          </cell>
          <cell r="G553" t="str">
            <v>车位</v>
          </cell>
          <cell r="H553" t="str">
            <v>待售</v>
          </cell>
          <cell r="K553">
            <v>29.49</v>
          </cell>
          <cell r="L553">
            <v>12.72</v>
          </cell>
          <cell r="M553">
            <v>0</v>
          </cell>
          <cell r="N553">
            <v>0</v>
          </cell>
        </row>
        <row r="554">
          <cell r="E554" t="str">
            <v>璞园-一期-非人防车位-0236</v>
          </cell>
          <cell r="F554" t="str">
            <v>车位-非人防地下车位</v>
          </cell>
          <cell r="G554" t="str">
            <v>车位</v>
          </cell>
          <cell r="H554" t="str">
            <v>待售</v>
          </cell>
          <cell r="K554">
            <v>29.49</v>
          </cell>
          <cell r="L554">
            <v>12.72</v>
          </cell>
          <cell r="M554">
            <v>0</v>
          </cell>
          <cell r="N554">
            <v>0</v>
          </cell>
        </row>
        <row r="555">
          <cell r="E555" t="str">
            <v>璞园-一期-非人防车位-0237</v>
          </cell>
          <cell r="F555" t="str">
            <v>车位-非人防地下车位</v>
          </cell>
          <cell r="G555" t="str">
            <v>车位</v>
          </cell>
          <cell r="H555" t="str">
            <v>待售</v>
          </cell>
          <cell r="K555">
            <v>29.49</v>
          </cell>
          <cell r="L555">
            <v>12.72</v>
          </cell>
          <cell r="M555">
            <v>0</v>
          </cell>
          <cell r="N555">
            <v>0</v>
          </cell>
        </row>
        <row r="556">
          <cell r="E556" t="str">
            <v>璞园-一期-非人防车位-0238</v>
          </cell>
          <cell r="F556" t="str">
            <v>车位-非人防地下车位</v>
          </cell>
          <cell r="G556" t="str">
            <v>车位</v>
          </cell>
          <cell r="H556" t="str">
            <v>待售</v>
          </cell>
          <cell r="K556">
            <v>29.49</v>
          </cell>
          <cell r="L556">
            <v>12.72</v>
          </cell>
          <cell r="M556">
            <v>0</v>
          </cell>
          <cell r="N556">
            <v>0</v>
          </cell>
        </row>
        <row r="557">
          <cell r="E557" t="str">
            <v>璞园-一期-非人防车位-0239</v>
          </cell>
          <cell r="F557" t="str">
            <v>车位-非人防地下车位</v>
          </cell>
          <cell r="G557" t="str">
            <v>车位</v>
          </cell>
          <cell r="H557" t="str">
            <v>待售</v>
          </cell>
          <cell r="K557">
            <v>29.49</v>
          </cell>
          <cell r="L557">
            <v>12.72</v>
          </cell>
          <cell r="M557">
            <v>0</v>
          </cell>
          <cell r="N557">
            <v>0</v>
          </cell>
        </row>
        <row r="558">
          <cell r="E558" t="str">
            <v>璞园-一期-非人防车位-0240</v>
          </cell>
          <cell r="F558" t="str">
            <v>车位-非人防地下车位</v>
          </cell>
          <cell r="G558" t="str">
            <v>车位</v>
          </cell>
          <cell r="H558" t="str">
            <v>待售</v>
          </cell>
          <cell r="K558">
            <v>29.49</v>
          </cell>
          <cell r="L558">
            <v>12.72</v>
          </cell>
          <cell r="M558">
            <v>0</v>
          </cell>
          <cell r="N558">
            <v>0</v>
          </cell>
        </row>
        <row r="559">
          <cell r="E559" t="str">
            <v>璞园-一期-非人防车位-0241</v>
          </cell>
          <cell r="F559" t="str">
            <v>车位-非人防地下车位</v>
          </cell>
          <cell r="G559" t="str">
            <v>车位</v>
          </cell>
          <cell r="H559" t="str">
            <v>待售</v>
          </cell>
          <cell r="K559">
            <v>29.49</v>
          </cell>
          <cell r="L559">
            <v>12.72</v>
          </cell>
          <cell r="M559">
            <v>0</v>
          </cell>
          <cell r="N559">
            <v>0</v>
          </cell>
        </row>
        <row r="560">
          <cell r="E560" t="str">
            <v>璞园-一期-非人防车位-0242</v>
          </cell>
          <cell r="F560" t="str">
            <v>车位-非人防地下车位</v>
          </cell>
          <cell r="G560" t="str">
            <v>车位</v>
          </cell>
          <cell r="H560" t="str">
            <v>待售</v>
          </cell>
          <cell r="K560">
            <v>29.49</v>
          </cell>
          <cell r="L560">
            <v>12.72</v>
          </cell>
          <cell r="M560">
            <v>0</v>
          </cell>
          <cell r="N560">
            <v>0</v>
          </cell>
        </row>
        <row r="561">
          <cell r="E561" t="str">
            <v>璞园-一期-非人防车位-0243</v>
          </cell>
          <cell r="F561" t="str">
            <v>车位-非人防地下车位</v>
          </cell>
          <cell r="G561" t="str">
            <v>车位</v>
          </cell>
          <cell r="H561" t="str">
            <v>待售</v>
          </cell>
          <cell r="K561">
            <v>29.49</v>
          </cell>
          <cell r="L561">
            <v>12.72</v>
          </cell>
          <cell r="M561">
            <v>0</v>
          </cell>
          <cell r="N561">
            <v>0</v>
          </cell>
        </row>
        <row r="562">
          <cell r="E562" t="str">
            <v>璞园-一期-非人防车位-0244</v>
          </cell>
          <cell r="F562" t="str">
            <v>车位-非人防地下车位</v>
          </cell>
          <cell r="G562" t="str">
            <v>车位</v>
          </cell>
          <cell r="H562" t="str">
            <v>待售</v>
          </cell>
          <cell r="K562">
            <v>29.49</v>
          </cell>
          <cell r="L562">
            <v>12.72</v>
          </cell>
          <cell r="M562">
            <v>0</v>
          </cell>
          <cell r="N562">
            <v>0</v>
          </cell>
        </row>
        <row r="563">
          <cell r="E563" t="str">
            <v>璞园-一期-非人防车位-0245</v>
          </cell>
          <cell r="F563" t="str">
            <v>车位-非人防地下车位</v>
          </cell>
          <cell r="G563" t="str">
            <v>车位</v>
          </cell>
          <cell r="H563" t="str">
            <v>待售</v>
          </cell>
          <cell r="K563">
            <v>29.49</v>
          </cell>
          <cell r="L563">
            <v>12.72</v>
          </cell>
          <cell r="M563">
            <v>0</v>
          </cell>
          <cell r="N563">
            <v>0</v>
          </cell>
        </row>
        <row r="564">
          <cell r="E564" t="str">
            <v>璞园-一期-非人防车位-0246</v>
          </cell>
          <cell r="F564" t="str">
            <v>车位-非人防地下车位</v>
          </cell>
          <cell r="G564" t="str">
            <v>车位</v>
          </cell>
          <cell r="H564" t="str">
            <v>待售</v>
          </cell>
          <cell r="K564">
            <v>29.49</v>
          </cell>
          <cell r="L564">
            <v>12.72</v>
          </cell>
          <cell r="M564">
            <v>0</v>
          </cell>
          <cell r="N564">
            <v>0</v>
          </cell>
        </row>
        <row r="565">
          <cell r="E565" t="str">
            <v>璞园-一期-非人防车位-0247</v>
          </cell>
          <cell r="F565" t="str">
            <v>车位-非人防地下车位</v>
          </cell>
          <cell r="G565" t="str">
            <v>车位</v>
          </cell>
          <cell r="H565" t="str">
            <v>待售</v>
          </cell>
          <cell r="K565">
            <v>29.49</v>
          </cell>
          <cell r="L565">
            <v>12.72</v>
          </cell>
          <cell r="M565">
            <v>0</v>
          </cell>
          <cell r="N565">
            <v>0</v>
          </cell>
        </row>
        <row r="566">
          <cell r="E566" t="str">
            <v>璞园-一期-非人防车位-0248</v>
          </cell>
          <cell r="F566" t="str">
            <v>车位-非人防地下车位</v>
          </cell>
          <cell r="G566" t="str">
            <v>车位</v>
          </cell>
          <cell r="H566" t="str">
            <v>待售</v>
          </cell>
          <cell r="K566">
            <v>29.49</v>
          </cell>
          <cell r="L566">
            <v>12.72</v>
          </cell>
          <cell r="M566">
            <v>0</v>
          </cell>
          <cell r="N566">
            <v>0</v>
          </cell>
        </row>
        <row r="567">
          <cell r="E567" t="str">
            <v>璞园-一期-非人防车位-0249</v>
          </cell>
          <cell r="F567" t="str">
            <v>车位-非人防地下车位</v>
          </cell>
          <cell r="G567" t="str">
            <v>车位</v>
          </cell>
          <cell r="H567" t="str">
            <v>待售</v>
          </cell>
          <cell r="K567">
            <v>29.49</v>
          </cell>
          <cell r="L567">
            <v>12.72</v>
          </cell>
          <cell r="M567">
            <v>0</v>
          </cell>
          <cell r="N567">
            <v>0</v>
          </cell>
        </row>
        <row r="568">
          <cell r="E568" t="str">
            <v>璞园-一期-非人防车位-0250</v>
          </cell>
          <cell r="F568" t="str">
            <v>车位-非人防地下车位</v>
          </cell>
          <cell r="G568" t="str">
            <v>车位</v>
          </cell>
          <cell r="H568" t="str">
            <v>待售</v>
          </cell>
          <cell r="K568">
            <v>29.49</v>
          </cell>
          <cell r="L568">
            <v>12.72</v>
          </cell>
          <cell r="M568">
            <v>0</v>
          </cell>
          <cell r="N568">
            <v>0</v>
          </cell>
        </row>
        <row r="569">
          <cell r="E569" t="str">
            <v>璞园-一期-非人防车位-0251</v>
          </cell>
          <cell r="F569" t="str">
            <v>车位-非人防地下车位</v>
          </cell>
          <cell r="G569" t="str">
            <v>车位</v>
          </cell>
          <cell r="H569" t="str">
            <v>待售</v>
          </cell>
          <cell r="K569">
            <v>29.49</v>
          </cell>
          <cell r="L569">
            <v>12.72</v>
          </cell>
          <cell r="M569">
            <v>0</v>
          </cell>
          <cell r="N569">
            <v>0</v>
          </cell>
        </row>
        <row r="570">
          <cell r="E570" t="str">
            <v>璞园-一期-非人防车位-0252</v>
          </cell>
          <cell r="F570" t="str">
            <v>车位-非人防地下车位</v>
          </cell>
          <cell r="G570" t="str">
            <v>车位</v>
          </cell>
          <cell r="H570" t="str">
            <v>待售</v>
          </cell>
          <cell r="K570">
            <v>29.49</v>
          </cell>
          <cell r="L570">
            <v>12.72</v>
          </cell>
          <cell r="M570">
            <v>0</v>
          </cell>
          <cell r="N570">
            <v>0</v>
          </cell>
        </row>
        <row r="571">
          <cell r="E571" t="str">
            <v>璞园-一期-非人防车位-0253</v>
          </cell>
          <cell r="F571" t="str">
            <v>车位-非人防地下车位</v>
          </cell>
          <cell r="G571" t="str">
            <v>车位</v>
          </cell>
          <cell r="H571" t="str">
            <v>待售</v>
          </cell>
          <cell r="K571">
            <v>29.49</v>
          </cell>
          <cell r="L571">
            <v>12.72</v>
          </cell>
          <cell r="M571">
            <v>0</v>
          </cell>
          <cell r="N571">
            <v>0</v>
          </cell>
        </row>
        <row r="572">
          <cell r="E572" t="str">
            <v>璞园-一期-非人防车位-0254</v>
          </cell>
          <cell r="F572" t="str">
            <v>车位-非人防地下车位</v>
          </cell>
          <cell r="G572" t="str">
            <v>车位</v>
          </cell>
          <cell r="H572" t="str">
            <v>待售</v>
          </cell>
          <cell r="K572">
            <v>29.49</v>
          </cell>
          <cell r="L572">
            <v>12.72</v>
          </cell>
          <cell r="M572">
            <v>0</v>
          </cell>
          <cell r="N572">
            <v>0</v>
          </cell>
        </row>
        <row r="573">
          <cell r="E573" t="str">
            <v>璞园-一期-非人防车位-0255</v>
          </cell>
          <cell r="F573" t="str">
            <v>车位-非人防地下车位</v>
          </cell>
          <cell r="G573" t="str">
            <v>车位</v>
          </cell>
          <cell r="H573" t="str">
            <v>签约</v>
          </cell>
          <cell r="J573" t="str">
            <v>一般客户</v>
          </cell>
          <cell r="K573">
            <v>29.49</v>
          </cell>
          <cell r="L573">
            <v>12.72</v>
          </cell>
          <cell r="M573">
            <v>0</v>
          </cell>
          <cell r="N573">
            <v>0</v>
          </cell>
        </row>
        <row r="574">
          <cell r="E574" t="str">
            <v>璞园-一期-非人防车位-0256</v>
          </cell>
          <cell r="F574" t="str">
            <v>车位-非人防地下车位</v>
          </cell>
          <cell r="G574" t="str">
            <v>车位</v>
          </cell>
          <cell r="H574" t="str">
            <v>待售</v>
          </cell>
          <cell r="K574">
            <v>29.49</v>
          </cell>
          <cell r="L574">
            <v>12.72</v>
          </cell>
          <cell r="M574">
            <v>0</v>
          </cell>
          <cell r="N574">
            <v>0</v>
          </cell>
        </row>
        <row r="575">
          <cell r="E575" t="str">
            <v>璞园-一期-非人防车位-0257</v>
          </cell>
          <cell r="F575" t="str">
            <v>车位-非人防地下车位</v>
          </cell>
          <cell r="G575" t="str">
            <v>车位</v>
          </cell>
          <cell r="H575" t="str">
            <v>签约</v>
          </cell>
          <cell r="J575" t="str">
            <v>一般客户</v>
          </cell>
          <cell r="K575">
            <v>29.49</v>
          </cell>
          <cell r="L575">
            <v>12.72</v>
          </cell>
          <cell r="M575">
            <v>0</v>
          </cell>
          <cell r="N575">
            <v>0</v>
          </cell>
        </row>
        <row r="576">
          <cell r="E576" t="str">
            <v>璞园-一期-非人防车位-0258</v>
          </cell>
          <cell r="F576" t="str">
            <v>车位-非人防地下车位</v>
          </cell>
          <cell r="G576" t="str">
            <v>车位</v>
          </cell>
          <cell r="H576" t="str">
            <v>签约</v>
          </cell>
          <cell r="J576" t="str">
            <v>一般客户</v>
          </cell>
          <cell r="K576">
            <v>29.49</v>
          </cell>
          <cell r="L576">
            <v>12.72</v>
          </cell>
          <cell r="M576">
            <v>0</v>
          </cell>
          <cell r="N576">
            <v>0</v>
          </cell>
        </row>
        <row r="577">
          <cell r="E577" t="str">
            <v>璞园-一期-非人防车位-0259</v>
          </cell>
          <cell r="F577" t="str">
            <v>车位-非人防地下车位</v>
          </cell>
          <cell r="G577" t="str">
            <v>车位</v>
          </cell>
          <cell r="H577" t="str">
            <v>待售</v>
          </cell>
          <cell r="K577">
            <v>29.49</v>
          </cell>
          <cell r="L577">
            <v>12.72</v>
          </cell>
          <cell r="M577">
            <v>0</v>
          </cell>
          <cell r="N577">
            <v>0</v>
          </cell>
        </row>
        <row r="578">
          <cell r="E578" t="str">
            <v>璞园-一期-非人防车位-0260</v>
          </cell>
          <cell r="F578" t="str">
            <v>车位-非人防地下车位</v>
          </cell>
          <cell r="G578" t="str">
            <v>车位</v>
          </cell>
          <cell r="H578" t="str">
            <v>待售</v>
          </cell>
          <cell r="K578">
            <v>29.49</v>
          </cell>
          <cell r="L578">
            <v>12.72</v>
          </cell>
          <cell r="M578">
            <v>0</v>
          </cell>
          <cell r="N578">
            <v>0</v>
          </cell>
        </row>
        <row r="579">
          <cell r="E579" t="str">
            <v>璞园-一期-非人防车位-0261</v>
          </cell>
          <cell r="F579" t="str">
            <v>车位-非人防地下车位</v>
          </cell>
          <cell r="G579" t="str">
            <v>车位</v>
          </cell>
          <cell r="H579" t="str">
            <v>待售</v>
          </cell>
          <cell r="K579">
            <v>29.49</v>
          </cell>
          <cell r="L579">
            <v>12.72</v>
          </cell>
          <cell r="M579">
            <v>0</v>
          </cell>
          <cell r="N579">
            <v>0</v>
          </cell>
        </row>
        <row r="580">
          <cell r="E580" t="str">
            <v>璞园-一期-非人防车位-0262</v>
          </cell>
          <cell r="F580" t="str">
            <v>车位-非人防地下车位</v>
          </cell>
          <cell r="G580" t="str">
            <v>车位</v>
          </cell>
          <cell r="H580" t="str">
            <v>待售</v>
          </cell>
          <cell r="K580">
            <v>29.49</v>
          </cell>
          <cell r="L580">
            <v>12.72</v>
          </cell>
          <cell r="M580">
            <v>0</v>
          </cell>
          <cell r="N580">
            <v>0</v>
          </cell>
        </row>
        <row r="581">
          <cell r="E581" t="str">
            <v>璞园-一期-非人防车位-0263</v>
          </cell>
          <cell r="F581" t="str">
            <v>车位-非人防地下车位</v>
          </cell>
          <cell r="G581" t="str">
            <v>车位</v>
          </cell>
          <cell r="H581" t="str">
            <v>签约</v>
          </cell>
          <cell r="J581" t="str">
            <v>一般客户</v>
          </cell>
          <cell r="K581">
            <v>29.49</v>
          </cell>
          <cell r="L581">
            <v>12.72</v>
          </cell>
          <cell r="M581">
            <v>0</v>
          </cell>
          <cell r="N581">
            <v>0</v>
          </cell>
        </row>
        <row r="582">
          <cell r="E582" t="str">
            <v>璞园-一期-非人防车位-0264</v>
          </cell>
          <cell r="F582" t="str">
            <v>车位-非人防地下车位</v>
          </cell>
          <cell r="G582" t="str">
            <v>车位</v>
          </cell>
          <cell r="H582" t="str">
            <v>签约</v>
          </cell>
          <cell r="J582" t="str">
            <v>一般客户</v>
          </cell>
          <cell r="K582">
            <v>29.49</v>
          </cell>
          <cell r="L582">
            <v>12.72</v>
          </cell>
          <cell r="M582">
            <v>0</v>
          </cell>
          <cell r="N582">
            <v>0</v>
          </cell>
        </row>
        <row r="583">
          <cell r="E583" t="str">
            <v>璞园-一期-非人防车位-0265</v>
          </cell>
          <cell r="F583" t="str">
            <v>车位-非人防地下车位</v>
          </cell>
          <cell r="G583" t="str">
            <v>车位</v>
          </cell>
          <cell r="H583" t="str">
            <v>签约</v>
          </cell>
          <cell r="J583" t="str">
            <v>一般客户</v>
          </cell>
          <cell r="K583">
            <v>29.49</v>
          </cell>
          <cell r="L583">
            <v>12.72</v>
          </cell>
          <cell r="M583">
            <v>0</v>
          </cell>
          <cell r="N583">
            <v>0</v>
          </cell>
        </row>
        <row r="584">
          <cell r="E584" t="str">
            <v>璞园-一期-非人防车位-0266</v>
          </cell>
          <cell r="F584" t="str">
            <v>车位-非人防地下车位</v>
          </cell>
          <cell r="G584" t="str">
            <v>车位</v>
          </cell>
          <cell r="H584" t="str">
            <v>签约</v>
          </cell>
          <cell r="J584" t="str">
            <v>一般客户</v>
          </cell>
          <cell r="K584">
            <v>29.49</v>
          </cell>
          <cell r="L584">
            <v>12.72</v>
          </cell>
          <cell r="M584">
            <v>0</v>
          </cell>
          <cell r="N584">
            <v>0</v>
          </cell>
        </row>
        <row r="585">
          <cell r="E585" t="str">
            <v>璞园-一期-非人防车位-0267</v>
          </cell>
          <cell r="F585" t="str">
            <v>车位-非人防地下车位</v>
          </cell>
          <cell r="G585" t="str">
            <v>车位</v>
          </cell>
          <cell r="H585" t="str">
            <v>签约</v>
          </cell>
          <cell r="J585" t="str">
            <v>一般客户</v>
          </cell>
          <cell r="K585">
            <v>29.49</v>
          </cell>
          <cell r="L585">
            <v>12.72</v>
          </cell>
          <cell r="M585">
            <v>0</v>
          </cell>
          <cell r="N585">
            <v>0</v>
          </cell>
        </row>
        <row r="586">
          <cell r="E586" t="str">
            <v>璞园-一期-非人防车位-0268</v>
          </cell>
          <cell r="F586" t="str">
            <v>车位-非人防地下车位</v>
          </cell>
          <cell r="G586" t="str">
            <v>车位</v>
          </cell>
          <cell r="H586" t="str">
            <v>待售</v>
          </cell>
          <cell r="K586">
            <v>58.98</v>
          </cell>
          <cell r="L586">
            <v>25.44</v>
          </cell>
          <cell r="M586">
            <v>0</v>
          </cell>
          <cell r="N586">
            <v>0</v>
          </cell>
        </row>
        <row r="587">
          <cell r="E587" t="str">
            <v>璞园-一期-非人防车位-0269</v>
          </cell>
          <cell r="F587" t="str">
            <v>车位-非人防地下车位</v>
          </cell>
          <cell r="G587" t="str">
            <v>车位</v>
          </cell>
          <cell r="H587" t="str">
            <v>签约</v>
          </cell>
          <cell r="J587" t="str">
            <v>一般客户</v>
          </cell>
          <cell r="K587">
            <v>29.49</v>
          </cell>
          <cell r="L587">
            <v>12.72</v>
          </cell>
          <cell r="M587">
            <v>0</v>
          </cell>
          <cell r="N587">
            <v>0</v>
          </cell>
        </row>
        <row r="588">
          <cell r="E588" t="str">
            <v>璞园-一期-非人防车位-0270</v>
          </cell>
          <cell r="F588" t="str">
            <v>车位-非人防地下车位</v>
          </cell>
          <cell r="G588" t="str">
            <v>车位</v>
          </cell>
          <cell r="H588" t="str">
            <v>待售</v>
          </cell>
          <cell r="K588">
            <v>33.39</v>
          </cell>
          <cell r="L588">
            <v>14.4</v>
          </cell>
          <cell r="M588">
            <v>0</v>
          </cell>
          <cell r="N588">
            <v>0</v>
          </cell>
        </row>
        <row r="589">
          <cell r="E589" t="str">
            <v>璞园-一期-非人防车位-0271</v>
          </cell>
          <cell r="F589" t="str">
            <v>车位-非人防地下车位</v>
          </cell>
          <cell r="G589" t="str">
            <v>车位</v>
          </cell>
          <cell r="H589" t="str">
            <v>待售</v>
          </cell>
          <cell r="K589">
            <v>33.39</v>
          </cell>
          <cell r="L589">
            <v>14.4</v>
          </cell>
          <cell r="M589">
            <v>0</v>
          </cell>
          <cell r="N589">
            <v>0</v>
          </cell>
        </row>
        <row r="590">
          <cell r="E590" t="str">
            <v>璞园-一期-非人防车位-0272</v>
          </cell>
          <cell r="F590" t="str">
            <v>车位-非人防地下车位</v>
          </cell>
          <cell r="G590" t="str">
            <v>车位</v>
          </cell>
          <cell r="H590" t="str">
            <v>待售</v>
          </cell>
          <cell r="K590">
            <v>33.39</v>
          </cell>
          <cell r="L590">
            <v>14.4</v>
          </cell>
          <cell r="M590">
            <v>0</v>
          </cell>
          <cell r="N590">
            <v>0</v>
          </cell>
        </row>
        <row r="591">
          <cell r="E591" t="str">
            <v>璞园-一期-非人防车位-0273</v>
          </cell>
          <cell r="F591" t="str">
            <v>车位-非人防地下车位</v>
          </cell>
          <cell r="G591" t="str">
            <v>车位</v>
          </cell>
          <cell r="H591" t="str">
            <v>待售</v>
          </cell>
          <cell r="K591">
            <v>33.39</v>
          </cell>
          <cell r="L591">
            <v>14.4</v>
          </cell>
          <cell r="M591">
            <v>0</v>
          </cell>
          <cell r="N591">
            <v>0</v>
          </cell>
        </row>
        <row r="592">
          <cell r="E592" t="str">
            <v>璞园-一期-非人防车位-0274</v>
          </cell>
          <cell r="F592" t="str">
            <v>车位-非人防地下车位</v>
          </cell>
          <cell r="G592" t="str">
            <v>车位</v>
          </cell>
          <cell r="H592" t="str">
            <v>待售</v>
          </cell>
          <cell r="K592">
            <v>33.39</v>
          </cell>
          <cell r="L592">
            <v>14.4</v>
          </cell>
          <cell r="M592">
            <v>0</v>
          </cell>
          <cell r="N592">
            <v>0</v>
          </cell>
        </row>
        <row r="593">
          <cell r="E593" t="str">
            <v>璞园-一期-非人防车位-0275</v>
          </cell>
          <cell r="F593" t="str">
            <v>车位-非人防地下车位</v>
          </cell>
          <cell r="G593" t="str">
            <v>车位</v>
          </cell>
          <cell r="H593" t="str">
            <v>待售</v>
          </cell>
          <cell r="K593">
            <v>29.49</v>
          </cell>
          <cell r="L593">
            <v>12.72</v>
          </cell>
          <cell r="M593">
            <v>0</v>
          </cell>
          <cell r="N593">
            <v>0</v>
          </cell>
        </row>
        <row r="594">
          <cell r="E594" t="str">
            <v>璞园-一期-非人防车位-0276</v>
          </cell>
          <cell r="F594" t="str">
            <v>车位-非人防地下车位</v>
          </cell>
          <cell r="G594" t="str">
            <v>车位</v>
          </cell>
          <cell r="H594" t="str">
            <v>待售</v>
          </cell>
          <cell r="K594">
            <v>29.49</v>
          </cell>
          <cell r="L594">
            <v>12.72</v>
          </cell>
          <cell r="M594">
            <v>0</v>
          </cell>
          <cell r="N594">
            <v>0</v>
          </cell>
        </row>
        <row r="595">
          <cell r="E595" t="str">
            <v>璞园-一期-非人防车位-0277</v>
          </cell>
          <cell r="F595" t="str">
            <v>车位-非人防地下车位</v>
          </cell>
          <cell r="G595" t="str">
            <v>车位</v>
          </cell>
          <cell r="H595" t="str">
            <v>待售</v>
          </cell>
          <cell r="K595">
            <v>29.49</v>
          </cell>
          <cell r="L595">
            <v>12.72</v>
          </cell>
          <cell r="M595">
            <v>0</v>
          </cell>
          <cell r="N595">
            <v>0</v>
          </cell>
        </row>
        <row r="596">
          <cell r="E596" t="str">
            <v>璞园-一期-非人防车位-0278</v>
          </cell>
          <cell r="F596" t="str">
            <v>车位-非人防地下车位</v>
          </cell>
          <cell r="G596" t="str">
            <v>车位</v>
          </cell>
          <cell r="H596" t="str">
            <v>待售</v>
          </cell>
          <cell r="K596">
            <v>29.49</v>
          </cell>
          <cell r="L596">
            <v>12.72</v>
          </cell>
          <cell r="M596">
            <v>0</v>
          </cell>
          <cell r="N596">
            <v>0</v>
          </cell>
        </row>
        <row r="597">
          <cell r="E597" t="str">
            <v>璞园-一期-非人防车位-0279</v>
          </cell>
          <cell r="F597" t="str">
            <v>车位-非人防地下车位</v>
          </cell>
          <cell r="G597" t="str">
            <v>车位</v>
          </cell>
          <cell r="H597" t="str">
            <v>待售</v>
          </cell>
          <cell r="K597">
            <v>29.49</v>
          </cell>
          <cell r="L597">
            <v>12.72</v>
          </cell>
          <cell r="M597">
            <v>0</v>
          </cell>
          <cell r="N597">
            <v>0</v>
          </cell>
        </row>
        <row r="598">
          <cell r="E598" t="str">
            <v>璞园-一期-非人防车位-0280</v>
          </cell>
          <cell r="F598" t="str">
            <v>车位-非人防地下车位</v>
          </cell>
          <cell r="G598" t="str">
            <v>车位</v>
          </cell>
          <cell r="H598" t="str">
            <v>待售</v>
          </cell>
          <cell r="K598">
            <v>29.49</v>
          </cell>
          <cell r="L598">
            <v>12.72</v>
          </cell>
          <cell r="M598">
            <v>0</v>
          </cell>
          <cell r="N598">
            <v>0</v>
          </cell>
        </row>
        <row r="599">
          <cell r="E599" t="str">
            <v>璞园-一期-非人防车位-0281</v>
          </cell>
          <cell r="F599" t="str">
            <v>车位-非人防地下车位</v>
          </cell>
          <cell r="G599" t="str">
            <v>车位</v>
          </cell>
          <cell r="H599" t="str">
            <v>待售</v>
          </cell>
          <cell r="K599">
            <v>29.49</v>
          </cell>
          <cell r="L599">
            <v>12.72</v>
          </cell>
          <cell r="M599">
            <v>0</v>
          </cell>
          <cell r="N599">
            <v>0</v>
          </cell>
        </row>
        <row r="600">
          <cell r="E600" t="str">
            <v>璞园-一期-非人防车位-0282</v>
          </cell>
          <cell r="F600" t="str">
            <v>车位-非人防地下车位</v>
          </cell>
          <cell r="G600" t="str">
            <v>车位</v>
          </cell>
          <cell r="H600" t="str">
            <v>待售</v>
          </cell>
          <cell r="K600">
            <v>29.49</v>
          </cell>
          <cell r="L600">
            <v>12.72</v>
          </cell>
          <cell r="M600">
            <v>0</v>
          </cell>
          <cell r="N600">
            <v>0</v>
          </cell>
        </row>
        <row r="601">
          <cell r="E601" t="str">
            <v>璞园-一期-非人防车位-0283</v>
          </cell>
          <cell r="F601" t="str">
            <v>车位-非人防地下车位</v>
          </cell>
          <cell r="G601" t="str">
            <v>车位</v>
          </cell>
          <cell r="H601" t="str">
            <v>待售</v>
          </cell>
          <cell r="K601">
            <v>29.49</v>
          </cell>
          <cell r="L601">
            <v>12.72</v>
          </cell>
          <cell r="M601">
            <v>0</v>
          </cell>
          <cell r="N601">
            <v>0</v>
          </cell>
        </row>
        <row r="602">
          <cell r="E602" t="str">
            <v>璞园-一期-非人防车位-0284</v>
          </cell>
          <cell r="F602" t="str">
            <v>车位-非人防地下车位</v>
          </cell>
          <cell r="G602" t="str">
            <v>车位</v>
          </cell>
          <cell r="H602" t="str">
            <v>待售</v>
          </cell>
          <cell r="K602">
            <v>29.49</v>
          </cell>
          <cell r="L602">
            <v>12.72</v>
          </cell>
          <cell r="M602">
            <v>0</v>
          </cell>
          <cell r="N602">
            <v>0</v>
          </cell>
        </row>
        <row r="603">
          <cell r="E603" t="str">
            <v>璞园-一期-非人防车位-0285</v>
          </cell>
          <cell r="F603" t="str">
            <v>车位-非人防地下车位</v>
          </cell>
          <cell r="G603" t="str">
            <v>车位</v>
          </cell>
          <cell r="H603" t="str">
            <v>待售</v>
          </cell>
          <cell r="K603">
            <v>29.49</v>
          </cell>
          <cell r="L603">
            <v>12.72</v>
          </cell>
          <cell r="M603">
            <v>0</v>
          </cell>
          <cell r="N603">
            <v>0</v>
          </cell>
        </row>
        <row r="604">
          <cell r="E604" t="str">
            <v>璞园-一期-非人防车位-0286</v>
          </cell>
          <cell r="F604" t="str">
            <v>车位-非人防地下车位</v>
          </cell>
          <cell r="G604" t="str">
            <v>车位</v>
          </cell>
          <cell r="H604" t="str">
            <v>待售</v>
          </cell>
          <cell r="K604">
            <v>29.49</v>
          </cell>
          <cell r="L604">
            <v>12.72</v>
          </cell>
          <cell r="M604">
            <v>0</v>
          </cell>
          <cell r="N604">
            <v>0</v>
          </cell>
        </row>
        <row r="605">
          <cell r="E605" t="str">
            <v>璞园-一期-非人防车位-0287</v>
          </cell>
          <cell r="F605" t="str">
            <v>车位-非人防地下车位</v>
          </cell>
          <cell r="G605" t="str">
            <v>车位</v>
          </cell>
          <cell r="H605" t="str">
            <v>待售</v>
          </cell>
          <cell r="K605">
            <v>29.49</v>
          </cell>
          <cell r="L605">
            <v>12.72</v>
          </cell>
          <cell r="M605">
            <v>0</v>
          </cell>
          <cell r="N605">
            <v>0</v>
          </cell>
        </row>
        <row r="606">
          <cell r="E606" t="str">
            <v>璞园-一期-非人防车位-0288</v>
          </cell>
          <cell r="F606" t="str">
            <v>车位-非人防地下车位</v>
          </cell>
          <cell r="G606" t="str">
            <v>车位</v>
          </cell>
          <cell r="H606" t="str">
            <v>待售</v>
          </cell>
          <cell r="K606">
            <v>29.49</v>
          </cell>
          <cell r="L606">
            <v>12.72</v>
          </cell>
          <cell r="M606">
            <v>0</v>
          </cell>
          <cell r="N606">
            <v>0</v>
          </cell>
        </row>
        <row r="607">
          <cell r="E607" t="str">
            <v>璞园-一期-非人防车位-0289</v>
          </cell>
          <cell r="F607" t="str">
            <v>车位-非人防地下车位</v>
          </cell>
          <cell r="G607" t="str">
            <v>车位</v>
          </cell>
          <cell r="H607" t="str">
            <v>待售</v>
          </cell>
          <cell r="K607">
            <v>29.49</v>
          </cell>
          <cell r="L607">
            <v>12.72</v>
          </cell>
          <cell r="M607">
            <v>0</v>
          </cell>
          <cell r="N607">
            <v>0</v>
          </cell>
        </row>
        <row r="608">
          <cell r="E608" t="str">
            <v>璞园-一期-非人防车位-0290</v>
          </cell>
          <cell r="F608" t="str">
            <v>车位-非人防地下车位</v>
          </cell>
          <cell r="G608" t="str">
            <v>车位</v>
          </cell>
          <cell r="H608" t="str">
            <v>待售</v>
          </cell>
          <cell r="K608">
            <v>29.49</v>
          </cell>
          <cell r="L608">
            <v>12.72</v>
          </cell>
          <cell r="M608">
            <v>0</v>
          </cell>
          <cell r="N608">
            <v>0</v>
          </cell>
        </row>
        <row r="609">
          <cell r="E609" t="str">
            <v>璞园-一期-非人防车位-0291</v>
          </cell>
          <cell r="F609" t="str">
            <v>车位-非人防地下车位</v>
          </cell>
          <cell r="G609" t="str">
            <v>车位</v>
          </cell>
          <cell r="H609" t="str">
            <v>待售</v>
          </cell>
          <cell r="K609">
            <v>29.49</v>
          </cell>
          <cell r="L609">
            <v>12.72</v>
          </cell>
          <cell r="M609">
            <v>0</v>
          </cell>
          <cell r="N609">
            <v>0</v>
          </cell>
        </row>
        <row r="610">
          <cell r="E610" t="str">
            <v>璞园-一期-非人防车位-0292</v>
          </cell>
          <cell r="F610" t="str">
            <v>车位-非人防地下车位</v>
          </cell>
          <cell r="G610" t="str">
            <v>车位</v>
          </cell>
          <cell r="H610" t="str">
            <v>待售</v>
          </cell>
          <cell r="K610">
            <v>29.49</v>
          </cell>
          <cell r="L610">
            <v>12.72</v>
          </cell>
          <cell r="M610">
            <v>0</v>
          </cell>
          <cell r="N610">
            <v>0</v>
          </cell>
        </row>
        <row r="611">
          <cell r="E611" t="str">
            <v>璞园-一期-非人防车位-0293</v>
          </cell>
          <cell r="F611" t="str">
            <v>车位-非人防地下车位</v>
          </cell>
          <cell r="G611" t="str">
            <v>车位</v>
          </cell>
          <cell r="H611" t="str">
            <v>待售</v>
          </cell>
          <cell r="K611">
            <v>29.49</v>
          </cell>
          <cell r="L611">
            <v>12.72</v>
          </cell>
          <cell r="M611">
            <v>0</v>
          </cell>
          <cell r="N611">
            <v>0</v>
          </cell>
        </row>
        <row r="612">
          <cell r="E612" t="str">
            <v>璞园-一期-非人防车位-0294</v>
          </cell>
          <cell r="F612" t="str">
            <v>车位-非人防地下车位</v>
          </cell>
          <cell r="G612" t="str">
            <v>车位</v>
          </cell>
          <cell r="H612" t="str">
            <v>待售</v>
          </cell>
          <cell r="K612">
            <v>29.49</v>
          </cell>
          <cell r="L612">
            <v>12.72</v>
          </cell>
          <cell r="M612">
            <v>0</v>
          </cell>
          <cell r="N612">
            <v>0</v>
          </cell>
        </row>
        <row r="613">
          <cell r="E613" t="str">
            <v>璞园-一期-非人防车位-0295</v>
          </cell>
          <cell r="F613" t="str">
            <v>车位-非人防地下车位</v>
          </cell>
          <cell r="G613" t="str">
            <v>车位</v>
          </cell>
          <cell r="H613" t="str">
            <v>待售</v>
          </cell>
          <cell r="K613">
            <v>29.49</v>
          </cell>
          <cell r="L613">
            <v>12.72</v>
          </cell>
          <cell r="M613">
            <v>0</v>
          </cell>
          <cell r="N613">
            <v>0</v>
          </cell>
        </row>
        <row r="614">
          <cell r="E614" t="str">
            <v>璞园-一期-非人防车位-0296</v>
          </cell>
          <cell r="F614" t="str">
            <v>车位-非人防地下车位</v>
          </cell>
          <cell r="G614" t="str">
            <v>车位</v>
          </cell>
          <cell r="H614" t="str">
            <v>待售</v>
          </cell>
          <cell r="K614">
            <v>29.49</v>
          </cell>
          <cell r="L614">
            <v>12.72</v>
          </cell>
          <cell r="M614">
            <v>0</v>
          </cell>
          <cell r="N614">
            <v>0</v>
          </cell>
        </row>
        <row r="615">
          <cell r="E615" t="str">
            <v>璞园-一期-非人防车位-0297</v>
          </cell>
          <cell r="F615" t="str">
            <v>车位-非人防地下车位</v>
          </cell>
          <cell r="G615" t="str">
            <v>车位</v>
          </cell>
          <cell r="H615" t="str">
            <v>待售</v>
          </cell>
          <cell r="K615">
            <v>29.49</v>
          </cell>
          <cell r="L615">
            <v>12.72</v>
          </cell>
          <cell r="M615">
            <v>0</v>
          </cell>
          <cell r="N615">
            <v>0</v>
          </cell>
        </row>
        <row r="616">
          <cell r="E616" t="str">
            <v>璞园-一期-非人防车位-0298</v>
          </cell>
          <cell r="F616" t="str">
            <v>车位-非人防地下车位</v>
          </cell>
          <cell r="G616" t="str">
            <v>车位</v>
          </cell>
          <cell r="H616" t="str">
            <v>待售</v>
          </cell>
          <cell r="K616">
            <v>29.49</v>
          </cell>
          <cell r="L616">
            <v>12.72</v>
          </cell>
          <cell r="M616">
            <v>0</v>
          </cell>
          <cell r="N616">
            <v>0</v>
          </cell>
        </row>
        <row r="617">
          <cell r="E617" t="str">
            <v>璞园-一期-非人防车位-0299</v>
          </cell>
          <cell r="F617" t="str">
            <v>车位-非人防地下车位</v>
          </cell>
          <cell r="G617" t="str">
            <v>车位</v>
          </cell>
          <cell r="H617" t="str">
            <v>待售</v>
          </cell>
          <cell r="K617">
            <v>29.49</v>
          </cell>
          <cell r="L617">
            <v>12.72</v>
          </cell>
          <cell r="M617">
            <v>0</v>
          </cell>
          <cell r="N617">
            <v>0</v>
          </cell>
        </row>
        <row r="618">
          <cell r="E618" t="str">
            <v>璞园-一期-非人防车位-0300</v>
          </cell>
          <cell r="F618" t="str">
            <v>车位-非人防地下车位</v>
          </cell>
          <cell r="G618" t="str">
            <v>车位</v>
          </cell>
          <cell r="H618" t="str">
            <v>待售</v>
          </cell>
          <cell r="K618">
            <v>29.49</v>
          </cell>
          <cell r="L618">
            <v>12.72</v>
          </cell>
          <cell r="M618">
            <v>0</v>
          </cell>
          <cell r="N618">
            <v>0</v>
          </cell>
        </row>
        <row r="619">
          <cell r="E619" t="str">
            <v>璞园-一期-非人防车位-0301</v>
          </cell>
          <cell r="F619" t="str">
            <v>车位-非人防地下车位</v>
          </cell>
          <cell r="G619" t="str">
            <v>车位</v>
          </cell>
          <cell r="H619" t="str">
            <v>待售</v>
          </cell>
          <cell r="K619">
            <v>29.49</v>
          </cell>
          <cell r="L619">
            <v>12.72</v>
          </cell>
          <cell r="M619">
            <v>0</v>
          </cell>
          <cell r="N619">
            <v>0</v>
          </cell>
        </row>
        <row r="620">
          <cell r="E620" t="str">
            <v>璞园-一期-非人防车位-0302</v>
          </cell>
          <cell r="F620" t="str">
            <v>车位-非人防地下车位</v>
          </cell>
          <cell r="G620" t="str">
            <v>车位</v>
          </cell>
          <cell r="H620" t="str">
            <v>待售</v>
          </cell>
          <cell r="K620">
            <v>29.49</v>
          </cell>
          <cell r="L620">
            <v>12.72</v>
          </cell>
          <cell r="M620">
            <v>0</v>
          </cell>
          <cell r="N620">
            <v>0</v>
          </cell>
        </row>
        <row r="621">
          <cell r="E621" t="str">
            <v>璞园-一期-非人防车位-0303</v>
          </cell>
          <cell r="F621" t="str">
            <v>车位-非人防地下车位</v>
          </cell>
          <cell r="G621" t="str">
            <v>车位</v>
          </cell>
          <cell r="H621" t="str">
            <v>待售</v>
          </cell>
          <cell r="K621">
            <v>29.49</v>
          </cell>
          <cell r="L621">
            <v>12.72</v>
          </cell>
          <cell r="M621">
            <v>0</v>
          </cell>
          <cell r="N621">
            <v>0</v>
          </cell>
        </row>
        <row r="622">
          <cell r="E622" t="str">
            <v>璞园-一期-非人防车位-0304</v>
          </cell>
          <cell r="F622" t="str">
            <v>车位-非人防地下车位</v>
          </cell>
          <cell r="G622" t="str">
            <v>车位</v>
          </cell>
          <cell r="H622" t="str">
            <v>待售</v>
          </cell>
          <cell r="K622">
            <v>29.49</v>
          </cell>
          <cell r="L622">
            <v>12.72</v>
          </cell>
          <cell r="M622">
            <v>0</v>
          </cell>
          <cell r="N622">
            <v>0</v>
          </cell>
        </row>
        <row r="623">
          <cell r="E623" t="str">
            <v>璞园-一期-非人防车位-0305</v>
          </cell>
          <cell r="F623" t="str">
            <v>车位-非人防地下车位</v>
          </cell>
          <cell r="G623" t="str">
            <v>车位</v>
          </cell>
          <cell r="H623" t="str">
            <v>待售</v>
          </cell>
          <cell r="K623">
            <v>29.49</v>
          </cell>
          <cell r="L623">
            <v>12.72</v>
          </cell>
          <cell r="M623">
            <v>0</v>
          </cell>
          <cell r="N623">
            <v>0</v>
          </cell>
        </row>
        <row r="624">
          <cell r="E624" t="str">
            <v>璞园-一期-非人防车位-0306</v>
          </cell>
          <cell r="F624" t="str">
            <v>车位-非人防地下车位</v>
          </cell>
          <cell r="G624" t="str">
            <v>车位</v>
          </cell>
          <cell r="H624" t="str">
            <v>待售</v>
          </cell>
          <cell r="K624">
            <v>29.49</v>
          </cell>
          <cell r="L624">
            <v>12.72</v>
          </cell>
          <cell r="M624">
            <v>0</v>
          </cell>
          <cell r="N624">
            <v>0</v>
          </cell>
        </row>
        <row r="625">
          <cell r="E625" t="str">
            <v>璞园-一期-非人防车位-0307</v>
          </cell>
          <cell r="F625" t="str">
            <v>车位-非人防地下车位</v>
          </cell>
          <cell r="G625" t="str">
            <v>车位</v>
          </cell>
          <cell r="H625" t="str">
            <v>待售</v>
          </cell>
          <cell r="K625">
            <v>29.49</v>
          </cell>
          <cell r="L625">
            <v>12.72</v>
          </cell>
          <cell r="M625">
            <v>0</v>
          </cell>
          <cell r="N625">
            <v>0</v>
          </cell>
        </row>
        <row r="626">
          <cell r="E626" t="str">
            <v>璞园-一期-非人防车位-0308</v>
          </cell>
          <cell r="F626" t="str">
            <v>车位-非人防地下车位</v>
          </cell>
          <cell r="G626" t="str">
            <v>车位</v>
          </cell>
          <cell r="H626" t="str">
            <v>待售</v>
          </cell>
          <cell r="K626">
            <v>29.49</v>
          </cell>
          <cell r="L626">
            <v>12.72</v>
          </cell>
          <cell r="M626">
            <v>0</v>
          </cell>
          <cell r="N626">
            <v>0</v>
          </cell>
        </row>
        <row r="627">
          <cell r="E627" t="str">
            <v>璞园-一期-非人防车位-0309</v>
          </cell>
          <cell r="F627" t="str">
            <v>车位-非人防地下车位</v>
          </cell>
          <cell r="G627" t="str">
            <v>车位</v>
          </cell>
          <cell r="H627" t="str">
            <v>待售</v>
          </cell>
          <cell r="K627">
            <v>29.49</v>
          </cell>
          <cell r="L627">
            <v>12.72</v>
          </cell>
          <cell r="M627">
            <v>0</v>
          </cell>
          <cell r="N627">
            <v>0</v>
          </cell>
        </row>
        <row r="628">
          <cell r="E628" t="str">
            <v>璞园-一期-非人防车位-0310</v>
          </cell>
          <cell r="F628" t="str">
            <v>车位-非人防地下车位</v>
          </cell>
          <cell r="G628" t="str">
            <v>车位</v>
          </cell>
          <cell r="H628" t="str">
            <v>待售</v>
          </cell>
          <cell r="K628">
            <v>29.49</v>
          </cell>
          <cell r="L628">
            <v>12.72</v>
          </cell>
          <cell r="M628">
            <v>0</v>
          </cell>
          <cell r="N628">
            <v>0</v>
          </cell>
        </row>
        <row r="629">
          <cell r="E629" t="str">
            <v>璞园-一期-非人防车位-0311</v>
          </cell>
          <cell r="F629" t="str">
            <v>车位-非人防地下车位</v>
          </cell>
          <cell r="G629" t="str">
            <v>车位</v>
          </cell>
          <cell r="H629" t="str">
            <v>待售</v>
          </cell>
          <cell r="K629">
            <v>29.49</v>
          </cell>
          <cell r="L629">
            <v>12.72</v>
          </cell>
          <cell r="M629">
            <v>0</v>
          </cell>
          <cell r="N629">
            <v>0</v>
          </cell>
        </row>
        <row r="630">
          <cell r="E630" t="str">
            <v>璞园-一期-非人防车位-0312</v>
          </cell>
          <cell r="F630" t="str">
            <v>车位-非人防地下车位</v>
          </cell>
          <cell r="G630" t="str">
            <v>车位</v>
          </cell>
          <cell r="H630" t="str">
            <v>待售</v>
          </cell>
          <cell r="K630">
            <v>29.49</v>
          </cell>
          <cell r="L630">
            <v>12.72</v>
          </cell>
          <cell r="M630">
            <v>0</v>
          </cell>
          <cell r="N630">
            <v>0</v>
          </cell>
        </row>
        <row r="631">
          <cell r="E631" t="str">
            <v>璞园-一期-非人防车位-0313</v>
          </cell>
          <cell r="F631" t="str">
            <v>车位-非人防地下车位</v>
          </cell>
          <cell r="G631" t="str">
            <v>车位</v>
          </cell>
          <cell r="H631" t="str">
            <v>待售</v>
          </cell>
          <cell r="K631">
            <v>29.49</v>
          </cell>
          <cell r="L631">
            <v>12.72</v>
          </cell>
          <cell r="M631">
            <v>0</v>
          </cell>
          <cell r="N631">
            <v>0</v>
          </cell>
        </row>
        <row r="632">
          <cell r="E632" t="str">
            <v>璞园-一期-非人防车位-0314</v>
          </cell>
          <cell r="F632" t="str">
            <v>车位-非人防地下车位</v>
          </cell>
          <cell r="G632" t="str">
            <v>车位</v>
          </cell>
          <cell r="H632" t="str">
            <v>待售</v>
          </cell>
          <cell r="K632">
            <v>29.49</v>
          </cell>
          <cell r="L632">
            <v>12.72</v>
          </cell>
          <cell r="M632">
            <v>0</v>
          </cell>
          <cell r="N632">
            <v>0</v>
          </cell>
        </row>
        <row r="633">
          <cell r="E633" t="str">
            <v>璞园-一期-非人防车位-0315</v>
          </cell>
          <cell r="F633" t="str">
            <v>车位-非人防地下车位</v>
          </cell>
          <cell r="G633" t="str">
            <v>车位</v>
          </cell>
          <cell r="H633" t="str">
            <v>待售</v>
          </cell>
          <cell r="K633">
            <v>29.49</v>
          </cell>
          <cell r="L633">
            <v>12.72</v>
          </cell>
          <cell r="M633">
            <v>0</v>
          </cell>
          <cell r="N633">
            <v>0</v>
          </cell>
        </row>
        <row r="634">
          <cell r="E634" t="str">
            <v>璞园-一期-非人防车位-0316</v>
          </cell>
          <cell r="F634" t="str">
            <v>车位-非人防地下车位</v>
          </cell>
          <cell r="G634" t="str">
            <v>车位</v>
          </cell>
          <cell r="H634" t="str">
            <v>待售</v>
          </cell>
          <cell r="K634">
            <v>29.49</v>
          </cell>
          <cell r="L634">
            <v>12.72</v>
          </cell>
          <cell r="M634">
            <v>0</v>
          </cell>
          <cell r="N634">
            <v>0</v>
          </cell>
        </row>
        <row r="635">
          <cell r="E635" t="str">
            <v>璞园-一期-非人防车位-0317</v>
          </cell>
          <cell r="F635" t="str">
            <v>车位-非人防地下车位</v>
          </cell>
          <cell r="G635" t="str">
            <v>车位</v>
          </cell>
          <cell r="H635" t="str">
            <v>待售</v>
          </cell>
          <cell r="K635">
            <v>29.49</v>
          </cell>
          <cell r="L635">
            <v>12.72</v>
          </cell>
          <cell r="M635">
            <v>0</v>
          </cell>
          <cell r="N635">
            <v>0</v>
          </cell>
        </row>
        <row r="636">
          <cell r="E636" t="str">
            <v>璞园-一期-非人防车位-0318</v>
          </cell>
          <cell r="F636" t="str">
            <v>车位-非人防地下车位</v>
          </cell>
          <cell r="G636" t="str">
            <v>车位</v>
          </cell>
          <cell r="H636" t="str">
            <v>待售</v>
          </cell>
          <cell r="K636">
            <v>29.49</v>
          </cell>
          <cell r="L636">
            <v>12.72</v>
          </cell>
          <cell r="M636">
            <v>0</v>
          </cell>
          <cell r="N636">
            <v>0</v>
          </cell>
        </row>
        <row r="637">
          <cell r="E637" t="str">
            <v>璞园-一期-非人防车位-0319</v>
          </cell>
          <cell r="F637" t="str">
            <v>车位-非人防地下车位</v>
          </cell>
          <cell r="G637" t="str">
            <v>车位</v>
          </cell>
          <cell r="H637" t="str">
            <v>待售</v>
          </cell>
          <cell r="K637">
            <v>29.49</v>
          </cell>
          <cell r="L637">
            <v>12.72</v>
          </cell>
          <cell r="M637">
            <v>0</v>
          </cell>
          <cell r="N637">
            <v>0</v>
          </cell>
        </row>
        <row r="638">
          <cell r="E638" t="str">
            <v>璞园-一期-非人防车位-0320</v>
          </cell>
          <cell r="F638" t="str">
            <v>车位-非人防地下车位</v>
          </cell>
          <cell r="G638" t="str">
            <v>车位</v>
          </cell>
          <cell r="H638" t="str">
            <v>待售</v>
          </cell>
          <cell r="K638">
            <v>29.49</v>
          </cell>
          <cell r="L638">
            <v>12.72</v>
          </cell>
          <cell r="M638">
            <v>0</v>
          </cell>
          <cell r="N638">
            <v>0</v>
          </cell>
        </row>
        <row r="639">
          <cell r="E639" t="str">
            <v>璞园-一期-非人防车位-0321</v>
          </cell>
          <cell r="F639" t="str">
            <v>车位-非人防地下车位</v>
          </cell>
          <cell r="G639" t="str">
            <v>车位</v>
          </cell>
          <cell r="H639" t="str">
            <v>签约</v>
          </cell>
          <cell r="J639" t="str">
            <v>一般客户</v>
          </cell>
          <cell r="K639">
            <v>29.49</v>
          </cell>
          <cell r="L639">
            <v>12.72</v>
          </cell>
          <cell r="M639">
            <v>0</v>
          </cell>
          <cell r="N639">
            <v>0</v>
          </cell>
        </row>
        <row r="640">
          <cell r="E640" t="str">
            <v>璞园-一期-非人防车位-0322</v>
          </cell>
          <cell r="F640" t="str">
            <v>车位-非人防地下车位</v>
          </cell>
          <cell r="G640" t="str">
            <v>车位</v>
          </cell>
          <cell r="H640" t="str">
            <v>签约</v>
          </cell>
          <cell r="J640" t="str">
            <v>一般客户</v>
          </cell>
          <cell r="K640">
            <v>29.49</v>
          </cell>
          <cell r="L640">
            <v>12.72</v>
          </cell>
          <cell r="M640">
            <v>0</v>
          </cell>
          <cell r="N640">
            <v>0</v>
          </cell>
        </row>
        <row r="641">
          <cell r="E641" t="str">
            <v>璞园-一期-非人防车位-0323</v>
          </cell>
          <cell r="F641" t="str">
            <v>车位-非人防地下车位</v>
          </cell>
          <cell r="G641" t="str">
            <v>车位</v>
          </cell>
          <cell r="H641" t="str">
            <v>签约</v>
          </cell>
          <cell r="J641" t="str">
            <v>一般客户</v>
          </cell>
          <cell r="K641">
            <v>29.49</v>
          </cell>
          <cell r="L641">
            <v>12.72</v>
          </cell>
          <cell r="M641">
            <v>0</v>
          </cell>
          <cell r="N641">
            <v>0</v>
          </cell>
        </row>
        <row r="642">
          <cell r="E642" t="str">
            <v>璞园-一期-非人防车位-0324</v>
          </cell>
          <cell r="F642" t="str">
            <v>车位-非人防地下车位</v>
          </cell>
          <cell r="G642" t="str">
            <v>车位</v>
          </cell>
          <cell r="H642" t="str">
            <v>待售</v>
          </cell>
          <cell r="K642">
            <v>29.49</v>
          </cell>
          <cell r="L642">
            <v>12.72</v>
          </cell>
          <cell r="M642">
            <v>0</v>
          </cell>
          <cell r="N642">
            <v>0</v>
          </cell>
        </row>
        <row r="643">
          <cell r="E643" t="str">
            <v>璞园-一期-非人防车位-0325</v>
          </cell>
          <cell r="F643" t="str">
            <v>车位-非人防地下车位</v>
          </cell>
          <cell r="G643" t="str">
            <v>车位</v>
          </cell>
          <cell r="H643" t="str">
            <v>待售</v>
          </cell>
          <cell r="K643">
            <v>29.49</v>
          </cell>
          <cell r="L643">
            <v>12.72</v>
          </cell>
          <cell r="M643">
            <v>0</v>
          </cell>
          <cell r="N643">
            <v>0</v>
          </cell>
        </row>
        <row r="644">
          <cell r="E644" t="str">
            <v>璞园-一期-非人防车位-0326</v>
          </cell>
          <cell r="F644" t="str">
            <v>车位-非人防地下车位</v>
          </cell>
          <cell r="G644" t="str">
            <v>车位</v>
          </cell>
          <cell r="H644" t="str">
            <v>签约</v>
          </cell>
          <cell r="J644" t="str">
            <v>一般客户</v>
          </cell>
          <cell r="K644">
            <v>29.49</v>
          </cell>
          <cell r="L644">
            <v>12.72</v>
          </cell>
          <cell r="M644">
            <v>0</v>
          </cell>
          <cell r="N644">
            <v>0</v>
          </cell>
        </row>
        <row r="645">
          <cell r="E645" t="str">
            <v>璞园-一期-非人防车位-0327</v>
          </cell>
          <cell r="F645" t="str">
            <v>车位-非人防地下车位</v>
          </cell>
          <cell r="G645" t="str">
            <v>车位</v>
          </cell>
          <cell r="H645" t="str">
            <v>待售</v>
          </cell>
          <cell r="K645">
            <v>29.49</v>
          </cell>
          <cell r="L645">
            <v>12.72</v>
          </cell>
          <cell r="M645">
            <v>0</v>
          </cell>
          <cell r="N645">
            <v>0</v>
          </cell>
        </row>
        <row r="646">
          <cell r="E646" t="str">
            <v>璞园-一期-非人防车位-0328</v>
          </cell>
          <cell r="F646" t="str">
            <v>车位-非人防地下车位</v>
          </cell>
          <cell r="G646" t="str">
            <v>车位</v>
          </cell>
          <cell r="H646" t="str">
            <v>签约</v>
          </cell>
          <cell r="J646" t="str">
            <v>一般客户</v>
          </cell>
          <cell r="K646">
            <v>29.49</v>
          </cell>
          <cell r="L646">
            <v>12.72</v>
          </cell>
          <cell r="M646">
            <v>0</v>
          </cell>
          <cell r="N646">
            <v>0</v>
          </cell>
        </row>
        <row r="647">
          <cell r="E647" t="str">
            <v>璞园-一期-非人防车位-0329</v>
          </cell>
          <cell r="F647" t="str">
            <v>车位-非人防地下车位</v>
          </cell>
          <cell r="G647" t="str">
            <v>车位</v>
          </cell>
          <cell r="H647" t="str">
            <v>待售</v>
          </cell>
          <cell r="K647">
            <v>29.49</v>
          </cell>
          <cell r="L647">
            <v>12.72</v>
          </cell>
          <cell r="M647">
            <v>0</v>
          </cell>
          <cell r="N647">
            <v>0</v>
          </cell>
        </row>
        <row r="648">
          <cell r="E648" t="str">
            <v>璞园-一期-非人防车位-0330</v>
          </cell>
          <cell r="F648" t="str">
            <v>车位-非人防地下车位</v>
          </cell>
          <cell r="G648" t="str">
            <v>车位</v>
          </cell>
          <cell r="H648" t="str">
            <v>待售</v>
          </cell>
          <cell r="K648">
            <v>29.49</v>
          </cell>
          <cell r="L648">
            <v>12.72</v>
          </cell>
          <cell r="M648">
            <v>0</v>
          </cell>
          <cell r="N648">
            <v>0</v>
          </cell>
        </row>
        <row r="649">
          <cell r="E649" t="str">
            <v>璞园-一期-非人防车位-0331</v>
          </cell>
          <cell r="F649" t="str">
            <v>车位-非人防地下车位</v>
          </cell>
          <cell r="G649" t="str">
            <v>车位</v>
          </cell>
          <cell r="H649" t="str">
            <v>签约</v>
          </cell>
          <cell r="J649" t="str">
            <v>一般客户</v>
          </cell>
          <cell r="K649">
            <v>29.49</v>
          </cell>
          <cell r="L649">
            <v>12.72</v>
          </cell>
          <cell r="M649">
            <v>0</v>
          </cell>
          <cell r="N649">
            <v>0</v>
          </cell>
        </row>
        <row r="650">
          <cell r="E650" t="str">
            <v>璞园-一期-非人防车位-0332</v>
          </cell>
          <cell r="F650" t="str">
            <v>车位-非人防地下车位</v>
          </cell>
          <cell r="G650" t="str">
            <v>车位</v>
          </cell>
          <cell r="H650" t="str">
            <v>签约</v>
          </cell>
          <cell r="J650" t="str">
            <v>一般客户</v>
          </cell>
          <cell r="K650">
            <v>29.49</v>
          </cell>
          <cell r="L650">
            <v>12.72</v>
          </cell>
          <cell r="M650">
            <v>0</v>
          </cell>
          <cell r="N650">
            <v>0</v>
          </cell>
        </row>
        <row r="651">
          <cell r="E651" t="str">
            <v>璞园-一期-非人防车位-0333</v>
          </cell>
          <cell r="F651" t="str">
            <v>车位-非人防地下车位</v>
          </cell>
          <cell r="G651" t="str">
            <v>车位</v>
          </cell>
          <cell r="H651" t="str">
            <v>签约</v>
          </cell>
          <cell r="J651" t="str">
            <v>一般客户</v>
          </cell>
          <cell r="K651">
            <v>29.49</v>
          </cell>
          <cell r="L651">
            <v>12.72</v>
          </cell>
          <cell r="M651">
            <v>0</v>
          </cell>
          <cell r="N651">
            <v>0</v>
          </cell>
        </row>
        <row r="652">
          <cell r="E652" t="str">
            <v>璞园-一期-非人防车位-0334</v>
          </cell>
          <cell r="F652" t="str">
            <v>车位-非人防地下车位</v>
          </cell>
          <cell r="G652" t="str">
            <v>车位</v>
          </cell>
          <cell r="H652" t="str">
            <v>签约</v>
          </cell>
          <cell r="J652" t="str">
            <v>一般客户</v>
          </cell>
          <cell r="K652">
            <v>29.49</v>
          </cell>
          <cell r="L652">
            <v>12.72</v>
          </cell>
          <cell r="M652">
            <v>0</v>
          </cell>
          <cell r="N652">
            <v>0</v>
          </cell>
        </row>
        <row r="653">
          <cell r="E653" t="str">
            <v>璞园-一期-非人防车位-0335</v>
          </cell>
          <cell r="F653" t="str">
            <v>车位-非人防地下车位</v>
          </cell>
          <cell r="G653" t="str">
            <v>车位</v>
          </cell>
          <cell r="H653" t="str">
            <v>签约</v>
          </cell>
          <cell r="J653" t="str">
            <v>一般客户</v>
          </cell>
          <cell r="K653">
            <v>29.49</v>
          </cell>
          <cell r="L653">
            <v>12.72</v>
          </cell>
          <cell r="M653">
            <v>0</v>
          </cell>
          <cell r="N653">
            <v>0</v>
          </cell>
        </row>
        <row r="654">
          <cell r="E654" t="str">
            <v>璞园-一期-非人防车位-0337</v>
          </cell>
          <cell r="F654" t="str">
            <v>车位-非人防地下车位</v>
          </cell>
          <cell r="G654" t="str">
            <v>车位</v>
          </cell>
          <cell r="H654" t="str">
            <v>签约</v>
          </cell>
          <cell r="J654" t="str">
            <v>一般客户</v>
          </cell>
          <cell r="K654">
            <v>29.49</v>
          </cell>
          <cell r="L654">
            <v>12.72</v>
          </cell>
          <cell r="M654">
            <v>0</v>
          </cell>
          <cell r="N654">
            <v>0</v>
          </cell>
        </row>
        <row r="655">
          <cell r="E655" t="str">
            <v>璞园-一期-非人防车位-0338</v>
          </cell>
          <cell r="F655" t="str">
            <v>车位-非人防地下车位</v>
          </cell>
          <cell r="G655" t="str">
            <v>车位</v>
          </cell>
          <cell r="H655" t="str">
            <v>待售</v>
          </cell>
          <cell r="K655">
            <v>29.49</v>
          </cell>
          <cell r="L655">
            <v>12.72</v>
          </cell>
          <cell r="M655">
            <v>0</v>
          </cell>
          <cell r="N655">
            <v>0</v>
          </cell>
        </row>
        <row r="656">
          <cell r="E656" t="str">
            <v>璞园-一期-非人防车位-0339</v>
          </cell>
          <cell r="F656" t="str">
            <v>车位-非人防地下车位</v>
          </cell>
          <cell r="G656" t="str">
            <v>车位</v>
          </cell>
          <cell r="H656" t="str">
            <v>待售</v>
          </cell>
          <cell r="K656">
            <v>29.49</v>
          </cell>
          <cell r="L656">
            <v>12.72</v>
          </cell>
          <cell r="M656">
            <v>0</v>
          </cell>
          <cell r="N656">
            <v>0</v>
          </cell>
        </row>
        <row r="657">
          <cell r="E657" t="str">
            <v>璞园-一期-非人防车位-0340</v>
          </cell>
          <cell r="F657" t="str">
            <v>车位-非人防地下车位</v>
          </cell>
          <cell r="G657" t="str">
            <v>车位</v>
          </cell>
          <cell r="H657" t="str">
            <v>待售</v>
          </cell>
          <cell r="K657">
            <v>29.49</v>
          </cell>
          <cell r="L657">
            <v>12.72</v>
          </cell>
          <cell r="M657">
            <v>0</v>
          </cell>
          <cell r="N657">
            <v>0</v>
          </cell>
        </row>
        <row r="658">
          <cell r="E658" t="str">
            <v>璞园-一期-非人防车位-0341</v>
          </cell>
          <cell r="F658" t="str">
            <v>车位-非人防地下车位</v>
          </cell>
          <cell r="G658" t="str">
            <v>车位</v>
          </cell>
          <cell r="H658" t="str">
            <v>待售</v>
          </cell>
          <cell r="K658">
            <v>29.49</v>
          </cell>
          <cell r="L658">
            <v>12.72</v>
          </cell>
          <cell r="M658">
            <v>0</v>
          </cell>
          <cell r="N658">
            <v>0</v>
          </cell>
        </row>
        <row r="659">
          <cell r="E659" t="str">
            <v>璞园-一期-非人防车位-0342</v>
          </cell>
          <cell r="F659" t="str">
            <v>车位-非人防地下车位</v>
          </cell>
          <cell r="G659" t="str">
            <v>车位</v>
          </cell>
          <cell r="H659" t="str">
            <v>待售</v>
          </cell>
          <cell r="K659">
            <v>29.49</v>
          </cell>
          <cell r="L659">
            <v>12.72</v>
          </cell>
          <cell r="M659">
            <v>0</v>
          </cell>
          <cell r="N659">
            <v>0</v>
          </cell>
        </row>
        <row r="660">
          <cell r="E660" t="str">
            <v>璞园-一期-非人防车位-0343</v>
          </cell>
          <cell r="F660" t="str">
            <v>车位-非人防地下车位</v>
          </cell>
          <cell r="G660" t="str">
            <v>车位</v>
          </cell>
          <cell r="H660" t="str">
            <v>待售</v>
          </cell>
          <cell r="K660">
            <v>29.49</v>
          </cell>
          <cell r="L660">
            <v>12.72</v>
          </cell>
          <cell r="M660">
            <v>0</v>
          </cell>
          <cell r="N660">
            <v>0</v>
          </cell>
        </row>
        <row r="661">
          <cell r="E661" t="str">
            <v>璞园-一期-非人防车位-0344</v>
          </cell>
          <cell r="F661" t="str">
            <v>车位-非人防地下车位</v>
          </cell>
          <cell r="G661" t="str">
            <v>车位</v>
          </cell>
          <cell r="H661" t="str">
            <v>待售</v>
          </cell>
          <cell r="K661">
            <v>29.49</v>
          </cell>
          <cell r="L661">
            <v>12.72</v>
          </cell>
          <cell r="M661">
            <v>0</v>
          </cell>
          <cell r="N661">
            <v>0</v>
          </cell>
        </row>
        <row r="662">
          <cell r="E662" t="str">
            <v>璞园-一期-非人防车位-0345</v>
          </cell>
          <cell r="F662" t="str">
            <v>车位-非人防地下车位</v>
          </cell>
          <cell r="G662" t="str">
            <v>车位</v>
          </cell>
          <cell r="H662" t="str">
            <v>待售</v>
          </cell>
          <cell r="K662">
            <v>29.49</v>
          </cell>
          <cell r="L662">
            <v>12.72</v>
          </cell>
          <cell r="M662">
            <v>0</v>
          </cell>
          <cell r="N662">
            <v>0</v>
          </cell>
        </row>
        <row r="663">
          <cell r="E663" t="str">
            <v>璞园-一期-非人防车位-0346</v>
          </cell>
          <cell r="F663" t="str">
            <v>车位-非人防地下车位</v>
          </cell>
          <cell r="G663" t="str">
            <v>车位</v>
          </cell>
          <cell r="H663" t="str">
            <v>待售</v>
          </cell>
          <cell r="K663">
            <v>29.49</v>
          </cell>
          <cell r="L663">
            <v>12.72</v>
          </cell>
          <cell r="M663">
            <v>0</v>
          </cell>
          <cell r="N663">
            <v>0</v>
          </cell>
        </row>
        <row r="664">
          <cell r="E664" t="str">
            <v>璞园-一期-非人防车位-0347</v>
          </cell>
          <cell r="F664" t="str">
            <v>车位-非人防地下车位</v>
          </cell>
          <cell r="G664" t="str">
            <v>车位</v>
          </cell>
          <cell r="H664" t="str">
            <v>待售</v>
          </cell>
          <cell r="K664">
            <v>29.49</v>
          </cell>
          <cell r="L664">
            <v>12.72</v>
          </cell>
          <cell r="M664">
            <v>0</v>
          </cell>
          <cell r="N664">
            <v>0</v>
          </cell>
        </row>
        <row r="665">
          <cell r="E665" t="str">
            <v>璞园-一期-非人防车位-0348</v>
          </cell>
          <cell r="F665" t="str">
            <v>车位-非人防地下车位</v>
          </cell>
          <cell r="G665" t="str">
            <v>车位</v>
          </cell>
          <cell r="H665" t="str">
            <v>待售</v>
          </cell>
          <cell r="K665">
            <v>29.49</v>
          </cell>
          <cell r="L665">
            <v>12.72</v>
          </cell>
          <cell r="M665">
            <v>0</v>
          </cell>
          <cell r="N665">
            <v>0</v>
          </cell>
        </row>
        <row r="666">
          <cell r="E666" t="str">
            <v>璞园-一期-非人防车位-0349</v>
          </cell>
          <cell r="F666" t="str">
            <v>车位-非人防地下车位</v>
          </cell>
          <cell r="G666" t="str">
            <v>车位</v>
          </cell>
          <cell r="H666" t="str">
            <v>待售</v>
          </cell>
          <cell r="K666">
            <v>29.49</v>
          </cell>
          <cell r="L666">
            <v>12.72</v>
          </cell>
          <cell r="M666">
            <v>0</v>
          </cell>
          <cell r="N666">
            <v>0</v>
          </cell>
        </row>
        <row r="667">
          <cell r="E667" t="str">
            <v>璞园-一期-非人防车位-0350</v>
          </cell>
          <cell r="F667" t="str">
            <v>车位-非人防地下车位</v>
          </cell>
          <cell r="G667" t="str">
            <v>车位</v>
          </cell>
          <cell r="H667" t="str">
            <v>待售</v>
          </cell>
          <cell r="K667">
            <v>29.49</v>
          </cell>
          <cell r="L667">
            <v>12.72</v>
          </cell>
          <cell r="M667">
            <v>0</v>
          </cell>
          <cell r="N667">
            <v>0</v>
          </cell>
        </row>
        <row r="668">
          <cell r="E668" t="str">
            <v>璞园-一期-非人防车位-0351</v>
          </cell>
          <cell r="F668" t="str">
            <v>车位-非人防地下车位</v>
          </cell>
          <cell r="G668" t="str">
            <v>车位</v>
          </cell>
          <cell r="H668" t="str">
            <v>待售</v>
          </cell>
          <cell r="K668">
            <v>29.49</v>
          </cell>
          <cell r="L668">
            <v>12.72</v>
          </cell>
          <cell r="M668">
            <v>0</v>
          </cell>
          <cell r="N668">
            <v>0</v>
          </cell>
        </row>
        <row r="669">
          <cell r="E669" t="str">
            <v>璞园-一期-非人防车位-0352</v>
          </cell>
          <cell r="F669" t="str">
            <v>车位-非人防地下车位</v>
          </cell>
          <cell r="G669" t="str">
            <v>车位</v>
          </cell>
          <cell r="H669" t="str">
            <v>待售</v>
          </cell>
          <cell r="K669">
            <v>29.49</v>
          </cell>
          <cell r="L669">
            <v>12.72</v>
          </cell>
          <cell r="M669">
            <v>0</v>
          </cell>
          <cell r="N669">
            <v>0</v>
          </cell>
        </row>
        <row r="670">
          <cell r="E670" t="str">
            <v>璞园-一期-非人防车位-0353</v>
          </cell>
          <cell r="F670" t="str">
            <v>车位-非人防地下车位</v>
          </cell>
          <cell r="G670" t="str">
            <v>车位</v>
          </cell>
          <cell r="H670" t="str">
            <v>待售</v>
          </cell>
          <cell r="K670">
            <v>33.39</v>
          </cell>
          <cell r="L670">
            <v>14.4</v>
          </cell>
          <cell r="M670">
            <v>0</v>
          </cell>
          <cell r="N670">
            <v>0</v>
          </cell>
        </row>
        <row r="671">
          <cell r="E671" t="str">
            <v>璞园-一期-非人防车位-0354</v>
          </cell>
          <cell r="F671" t="str">
            <v>车位-非人防地下车位</v>
          </cell>
          <cell r="G671" t="str">
            <v>车位</v>
          </cell>
          <cell r="H671" t="str">
            <v>待售</v>
          </cell>
          <cell r="K671">
            <v>29.49</v>
          </cell>
          <cell r="L671">
            <v>12.72</v>
          </cell>
          <cell r="M671">
            <v>0</v>
          </cell>
          <cell r="N671">
            <v>0</v>
          </cell>
        </row>
        <row r="672">
          <cell r="E672" t="str">
            <v>璞园-一期-非人防车位-0355</v>
          </cell>
          <cell r="F672" t="str">
            <v>车位-非人防地下车位</v>
          </cell>
          <cell r="G672" t="str">
            <v>车位</v>
          </cell>
          <cell r="H672" t="str">
            <v>待售</v>
          </cell>
          <cell r="K672">
            <v>29.49</v>
          </cell>
          <cell r="L672">
            <v>12.72</v>
          </cell>
          <cell r="M672">
            <v>0</v>
          </cell>
          <cell r="N672">
            <v>0</v>
          </cell>
        </row>
        <row r="673">
          <cell r="E673" t="str">
            <v>璞园-一期-非人防车位-0356</v>
          </cell>
          <cell r="F673" t="str">
            <v>车位-非人防地下车位</v>
          </cell>
          <cell r="G673" t="str">
            <v>车位</v>
          </cell>
          <cell r="H673" t="str">
            <v>待售</v>
          </cell>
          <cell r="K673">
            <v>29.49</v>
          </cell>
          <cell r="L673">
            <v>12.72</v>
          </cell>
          <cell r="M673">
            <v>0</v>
          </cell>
          <cell r="N673">
            <v>0</v>
          </cell>
        </row>
        <row r="674">
          <cell r="E674" t="str">
            <v>璞园-一期-非人防车位-0357</v>
          </cell>
          <cell r="F674" t="str">
            <v>车位-非人防地下车位</v>
          </cell>
          <cell r="G674" t="str">
            <v>车位</v>
          </cell>
          <cell r="H674" t="str">
            <v>待售</v>
          </cell>
          <cell r="K674">
            <v>29.49</v>
          </cell>
          <cell r="L674">
            <v>12.72</v>
          </cell>
          <cell r="M674">
            <v>0</v>
          </cell>
          <cell r="N674">
            <v>0</v>
          </cell>
        </row>
        <row r="675">
          <cell r="E675" t="str">
            <v>璞园-一期-非人防车位-0358</v>
          </cell>
          <cell r="F675" t="str">
            <v>车位-非人防地下车位</v>
          </cell>
          <cell r="G675" t="str">
            <v>车位</v>
          </cell>
          <cell r="H675" t="str">
            <v>待售</v>
          </cell>
          <cell r="K675">
            <v>33.39</v>
          </cell>
          <cell r="L675">
            <v>14.4</v>
          </cell>
          <cell r="M675">
            <v>0</v>
          </cell>
          <cell r="N675">
            <v>0</v>
          </cell>
        </row>
        <row r="676">
          <cell r="E676" t="str">
            <v>璞园-一期-非人防车位-0359</v>
          </cell>
          <cell r="F676" t="str">
            <v>车位-非人防地下车位</v>
          </cell>
          <cell r="G676" t="str">
            <v>车位</v>
          </cell>
          <cell r="H676" t="str">
            <v>待售</v>
          </cell>
          <cell r="K676">
            <v>29.49</v>
          </cell>
          <cell r="L676">
            <v>12.72</v>
          </cell>
          <cell r="M676">
            <v>0</v>
          </cell>
          <cell r="N676">
            <v>0</v>
          </cell>
        </row>
        <row r="677">
          <cell r="E677" t="str">
            <v>璞园-一期-非人防车位-0360</v>
          </cell>
          <cell r="F677" t="str">
            <v>车位-非人防地下车位</v>
          </cell>
          <cell r="G677" t="str">
            <v>车位</v>
          </cell>
          <cell r="H677" t="str">
            <v>待售</v>
          </cell>
          <cell r="K677">
            <v>29.49</v>
          </cell>
          <cell r="L677">
            <v>12.72</v>
          </cell>
          <cell r="M677">
            <v>0</v>
          </cell>
          <cell r="N677">
            <v>0</v>
          </cell>
        </row>
        <row r="678">
          <cell r="E678" t="str">
            <v>璞园-一期-非人防车位-0361</v>
          </cell>
          <cell r="F678" t="str">
            <v>车位-非人防地下车位</v>
          </cell>
          <cell r="G678" t="str">
            <v>车位</v>
          </cell>
          <cell r="H678" t="str">
            <v>待售</v>
          </cell>
          <cell r="K678">
            <v>29.49</v>
          </cell>
          <cell r="L678">
            <v>12.72</v>
          </cell>
          <cell r="M678">
            <v>0</v>
          </cell>
          <cell r="N678">
            <v>0</v>
          </cell>
        </row>
        <row r="679">
          <cell r="E679" t="str">
            <v>璞园-一期-非人防车位-0362</v>
          </cell>
          <cell r="F679" t="str">
            <v>车位-非人防地下车位</v>
          </cell>
          <cell r="G679" t="str">
            <v>车位</v>
          </cell>
          <cell r="H679" t="str">
            <v>待售</v>
          </cell>
          <cell r="K679">
            <v>29.49</v>
          </cell>
          <cell r="L679">
            <v>12.72</v>
          </cell>
          <cell r="M679">
            <v>0</v>
          </cell>
          <cell r="N679">
            <v>0</v>
          </cell>
        </row>
        <row r="680">
          <cell r="E680" t="str">
            <v>璞园-一期-非人防车位-0363</v>
          </cell>
          <cell r="F680" t="str">
            <v>车位-非人防地下车位</v>
          </cell>
          <cell r="G680" t="str">
            <v>车位</v>
          </cell>
          <cell r="H680" t="str">
            <v>待售</v>
          </cell>
          <cell r="K680">
            <v>29.49</v>
          </cell>
          <cell r="L680">
            <v>12.72</v>
          </cell>
          <cell r="M680">
            <v>0</v>
          </cell>
          <cell r="N680">
            <v>0</v>
          </cell>
        </row>
        <row r="681">
          <cell r="E681" t="str">
            <v>璞园-一期-非人防车位-0364</v>
          </cell>
          <cell r="F681" t="str">
            <v>车位-非人防地下车位</v>
          </cell>
          <cell r="G681" t="str">
            <v>车位</v>
          </cell>
          <cell r="H681" t="str">
            <v>签约</v>
          </cell>
          <cell r="J681" t="str">
            <v>一般客户</v>
          </cell>
          <cell r="K681">
            <v>29.49</v>
          </cell>
          <cell r="L681">
            <v>12.72</v>
          </cell>
          <cell r="M681">
            <v>0</v>
          </cell>
          <cell r="N681">
            <v>0</v>
          </cell>
        </row>
        <row r="682">
          <cell r="E682" t="str">
            <v>璞园-一期-非人防车位-0365</v>
          </cell>
          <cell r="F682" t="str">
            <v>车位-非人防地下车位</v>
          </cell>
          <cell r="G682" t="str">
            <v>车位</v>
          </cell>
          <cell r="H682" t="str">
            <v>待售</v>
          </cell>
          <cell r="K682">
            <v>29.49</v>
          </cell>
          <cell r="L682">
            <v>12.72</v>
          </cell>
          <cell r="M682">
            <v>0</v>
          </cell>
          <cell r="N682">
            <v>0</v>
          </cell>
        </row>
        <row r="683">
          <cell r="E683" t="str">
            <v>璞园-一期-非人防车位-0366</v>
          </cell>
          <cell r="F683" t="str">
            <v>车位-非人防地下车位</v>
          </cell>
          <cell r="G683" t="str">
            <v>车位</v>
          </cell>
          <cell r="H683" t="str">
            <v>待售</v>
          </cell>
          <cell r="K683">
            <v>29.49</v>
          </cell>
          <cell r="L683">
            <v>12.72</v>
          </cell>
          <cell r="M683">
            <v>0</v>
          </cell>
          <cell r="N683">
            <v>0</v>
          </cell>
        </row>
        <row r="684">
          <cell r="E684" t="str">
            <v>璞园-一期-非人防车位-0367</v>
          </cell>
          <cell r="F684" t="str">
            <v>车位-非人防地下车位</v>
          </cell>
          <cell r="G684" t="str">
            <v>车位</v>
          </cell>
          <cell r="H684" t="str">
            <v>待售</v>
          </cell>
          <cell r="K684">
            <v>29.49</v>
          </cell>
          <cell r="L684">
            <v>12.72</v>
          </cell>
          <cell r="M684">
            <v>0</v>
          </cell>
          <cell r="N684">
            <v>0</v>
          </cell>
        </row>
        <row r="685">
          <cell r="E685" t="str">
            <v>璞园-一期-非人防车位-0368</v>
          </cell>
          <cell r="F685" t="str">
            <v>车位-非人防地下车位</v>
          </cell>
          <cell r="G685" t="str">
            <v>车位</v>
          </cell>
          <cell r="H685" t="str">
            <v>待售</v>
          </cell>
          <cell r="K685">
            <v>29.49</v>
          </cell>
          <cell r="L685">
            <v>12.72</v>
          </cell>
          <cell r="M685">
            <v>0</v>
          </cell>
          <cell r="N685">
            <v>0</v>
          </cell>
        </row>
        <row r="686">
          <cell r="E686" t="str">
            <v>璞园-一期-非人防车位-0369</v>
          </cell>
          <cell r="F686" t="str">
            <v>车位-非人防地下车位</v>
          </cell>
          <cell r="G686" t="str">
            <v>车位</v>
          </cell>
          <cell r="H686" t="str">
            <v>待售</v>
          </cell>
          <cell r="K686">
            <v>29.49</v>
          </cell>
          <cell r="L686">
            <v>12.72</v>
          </cell>
          <cell r="M686">
            <v>0</v>
          </cell>
          <cell r="N686">
            <v>0</v>
          </cell>
        </row>
        <row r="687">
          <cell r="E687" t="str">
            <v>璞园-一期-非人防车位-0370</v>
          </cell>
          <cell r="F687" t="str">
            <v>车位-非人防地下车位</v>
          </cell>
          <cell r="G687" t="str">
            <v>车位</v>
          </cell>
          <cell r="H687" t="str">
            <v>待售</v>
          </cell>
          <cell r="K687">
            <v>29.49</v>
          </cell>
          <cell r="L687">
            <v>12.72</v>
          </cell>
          <cell r="M687">
            <v>0</v>
          </cell>
          <cell r="N687">
            <v>0</v>
          </cell>
        </row>
        <row r="688">
          <cell r="E688" t="str">
            <v>璞园-一期-非人防车位-0371</v>
          </cell>
          <cell r="F688" t="str">
            <v>车位-非人防地下车位</v>
          </cell>
          <cell r="G688" t="str">
            <v>车位</v>
          </cell>
          <cell r="H688" t="str">
            <v>待售</v>
          </cell>
          <cell r="K688">
            <v>29.49</v>
          </cell>
          <cell r="L688">
            <v>12.72</v>
          </cell>
          <cell r="M688">
            <v>0</v>
          </cell>
          <cell r="N688">
            <v>0</v>
          </cell>
        </row>
        <row r="689">
          <cell r="E689" t="str">
            <v>璞园-一期-非人防车位-0372</v>
          </cell>
          <cell r="F689" t="str">
            <v>车位-非人防地下车位</v>
          </cell>
          <cell r="G689" t="str">
            <v>车位</v>
          </cell>
          <cell r="H689" t="str">
            <v>待售</v>
          </cell>
          <cell r="K689">
            <v>29.49</v>
          </cell>
          <cell r="L689">
            <v>12.72</v>
          </cell>
          <cell r="M689">
            <v>0</v>
          </cell>
          <cell r="N689">
            <v>0</v>
          </cell>
        </row>
        <row r="690">
          <cell r="E690" t="str">
            <v>璞园-一期-非人防车位-0373</v>
          </cell>
          <cell r="F690" t="str">
            <v>车位-非人防地下车位</v>
          </cell>
          <cell r="G690" t="str">
            <v>车位</v>
          </cell>
          <cell r="H690" t="str">
            <v>待售</v>
          </cell>
          <cell r="K690">
            <v>29.49</v>
          </cell>
          <cell r="L690">
            <v>12.72</v>
          </cell>
          <cell r="M690">
            <v>0</v>
          </cell>
          <cell r="N690">
            <v>0</v>
          </cell>
        </row>
        <row r="691">
          <cell r="E691" t="str">
            <v>璞园-一期-非人防车位-0374</v>
          </cell>
          <cell r="F691" t="str">
            <v>车位-非人防地下车位</v>
          </cell>
          <cell r="G691" t="str">
            <v>车位</v>
          </cell>
          <cell r="H691" t="str">
            <v>待售</v>
          </cell>
          <cell r="K691">
            <v>29.49</v>
          </cell>
          <cell r="L691">
            <v>12.72</v>
          </cell>
          <cell r="M691">
            <v>0</v>
          </cell>
          <cell r="N691">
            <v>0</v>
          </cell>
        </row>
        <row r="692">
          <cell r="E692" t="str">
            <v>璞园-一期-非人防车位-0375</v>
          </cell>
          <cell r="F692" t="str">
            <v>车位-非人防地下车位</v>
          </cell>
          <cell r="G692" t="str">
            <v>车位</v>
          </cell>
          <cell r="H692" t="str">
            <v>待售</v>
          </cell>
          <cell r="K692">
            <v>29.49</v>
          </cell>
          <cell r="L692">
            <v>12.72</v>
          </cell>
          <cell r="M692">
            <v>0</v>
          </cell>
          <cell r="N692">
            <v>0</v>
          </cell>
        </row>
        <row r="693">
          <cell r="E693" t="str">
            <v>璞园-一期-非人防车位-0376</v>
          </cell>
          <cell r="F693" t="str">
            <v>车位-非人防地下车位</v>
          </cell>
          <cell r="G693" t="str">
            <v>车位</v>
          </cell>
          <cell r="H693" t="str">
            <v>待售</v>
          </cell>
          <cell r="K693">
            <v>29.49</v>
          </cell>
          <cell r="L693">
            <v>12.72</v>
          </cell>
          <cell r="M693">
            <v>0</v>
          </cell>
          <cell r="N693">
            <v>0</v>
          </cell>
        </row>
        <row r="694">
          <cell r="E694" t="str">
            <v>璞园-一期-非人防车位-0377</v>
          </cell>
          <cell r="F694" t="str">
            <v>车位-非人防地下车位</v>
          </cell>
          <cell r="G694" t="str">
            <v>车位</v>
          </cell>
          <cell r="H694" t="str">
            <v>待售</v>
          </cell>
          <cell r="K694">
            <v>29.49</v>
          </cell>
          <cell r="L694">
            <v>12.72</v>
          </cell>
          <cell r="M694">
            <v>0</v>
          </cell>
          <cell r="N694">
            <v>0</v>
          </cell>
        </row>
        <row r="695">
          <cell r="E695" t="str">
            <v>璞园-一期-非人防车位-0378</v>
          </cell>
          <cell r="F695" t="str">
            <v>车位-非人防地下车位</v>
          </cell>
          <cell r="G695" t="str">
            <v>车位</v>
          </cell>
          <cell r="H695" t="str">
            <v>待售</v>
          </cell>
          <cell r="K695">
            <v>29.49</v>
          </cell>
          <cell r="L695">
            <v>12.72</v>
          </cell>
          <cell r="M695">
            <v>0</v>
          </cell>
          <cell r="N695">
            <v>0</v>
          </cell>
        </row>
        <row r="696">
          <cell r="E696" t="str">
            <v>璞园-一期-非人防车位-0379</v>
          </cell>
          <cell r="F696" t="str">
            <v>车位-非人防地下车位</v>
          </cell>
          <cell r="G696" t="str">
            <v>车位</v>
          </cell>
          <cell r="H696" t="str">
            <v>待售</v>
          </cell>
          <cell r="K696">
            <v>29.49</v>
          </cell>
          <cell r="L696">
            <v>12.72</v>
          </cell>
          <cell r="M696">
            <v>0</v>
          </cell>
          <cell r="N696">
            <v>0</v>
          </cell>
        </row>
        <row r="697">
          <cell r="E697" t="str">
            <v>璞园-一期-非人防车位-0380</v>
          </cell>
          <cell r="F697" t="str">
            <v>车位-非人防地下车位</v>
          </cell>
          <cell r="G697" t="str">
            <v>车位</v>
          </cell>
          <cell r="H697" t="str">
            <v>待售</v>
          </cell>
          <cell r="K697">
            <v>29.49</v>
          </cell>
          <cell r="L697">
            <v>12.72</v>
          </cell>
          <cell r="M697">
            <v>0</v>
          </cell>
          <cell r="N697">
            <v>0</v>
          </cell>
        </row>
        <row r="698">
          <cell r="E698" t="str">
            <v>璞园-一期-非人防车位-0381</v>
          </cell>
          <cell r="F698" t="str">
            <v>车位-非人防地下车位</v>
          </cell>
          <cell r="G698" t="str">
            <v>车位</v>
          </cell>
          <cell r="H698" t="str">
            <v>待售</v>
          </cell>
          <cell r="K698">
            <v>29.49</v>
          </cell>
          <cell r="L698">
            <v>12.72</v>
          </cell>
          <cell r="M698">
            <v>0</v>
          </cell>
          <cell r="N698">
            <v>0</v>
          </cell>
        </row>
        <row r="699">
          <cell r="E699" t="str">
            <v>璞园-一期-非人防车位-0382</v>
          </cell>
          <cell r="F699" t="str">
            <v>车位-非人防地下车位</v>
          </cell>
          <cell r="G699" t="str">
            <v>车位</v>
          </cell>
          <cell r="H699" t="str">
            <v>待售</v>
          </cell>
          <cell r="K699">
            <v>29.49</v>
          </cell>
          <cell r="L699">
            <v>12.72</v>
          </cell>
          <cell r="M699">
            <v>0</v>
          </cell>
          <cell r="N699">
            <v>0</v>
          </cell>
        </row>
        <row r="700">
          <cell r="E700" t="str">
            <v>璞园-一期-非人防车位-0383</v>
          </cell>
          <cell r="F700" t="str">
            <v>车位-非人防地下车位</v>
          </cell>
          <cell r="G700" t="str">
            <v>车位</v>
          </cell>
          <cell r="H700" t="str">
            <v>待售</v>
          </cell>
          <cell r="K700">
            <v>29.49</v>
          </cell>
          <cell r="L700">
            <v>12.72</v>
          </cell>
          <cell r="M700">
            <v>0</v>
          </cell>
          <cell r="N700">
            <v>0</v>
          </cell>
        </row>
        <row r="701">
          <cell r="E701" t="str">
            <v>璞园-一期-非人防车位-0384</v>
          </cell>
          <cell r="F701" t="str">
            <v>车位-非人防地下车位</v>
          </cell>
          <cell r="G701" t="str">
            <v>车位</v>
          </cell>
          <cell r="H701" t="str">
            <v>待售</v>
          </cell>
          <cell r="K701">
            <v>29.49</v>
          </cell>
          <cell r="L701">
            <v>12.72</v>
          </cell>
          <cell r="M701">
            <v>0</v>
          </cell>
          <cell r="N701">
            <v>0</v>
          </cell>
        </row>
        <row r="702">
          <cell r="E702" t="str">
            <v>璞园-一期-非人防车位-0385</v>
          </cell>
          <cell r="F702" t="str">
            <v>车位-非人防地下车位</v>
          </cell>
          <cell r="G702" t="str">
            <v>车位</v>
          </cell>
          <cell r="H702" t="str">
            <v>待售</v>
          </cell>
          <cell r="K702">
            <v>29.49</v>
          </cell>
          <cell r="L702">
            <v>12.72</v>
          </cell>
          <cell r="M702">
            <v>0</v>
          </cell>
          <cell r="N702">
            <v>0</v>
          </cell>
        </row>
        <row r="703">
          <cell r="E703" t="str">
            <v>璞园-一期-非人防车位-0386</v>
          </cell>
          <cell r="F703" t="str">
            <v>车位-非人防地下车位</v>
          </cell>
          <cell r="G703" t="str">
            <v>车位</v>
          </cell>
          <cell r="H703" t="str">
            <v>待售</v>
          </cell>
          <cell r="K703">
            <v>29.49</v>
          </cell>
          <cell r="L703">
            <v>12.72</v>
          </cell>
          <cell r="M703">
            <v>0</v>
          </cell>
          <cell r="N703">
            <v>0</v>
          </cell>
        </row>
        <row r="704">
          <cell r="E704" t="str">
            <v>璞园-一期-非人防车位-0387</v>
          </cell>
          <cell r="F704" t="str">
            <v>车位-非人防地下车位</v>
          </cell>
          <cell r="G704" t="str">
            <v>车位</v>
          </cell>
          <cell r="H704" t="str">
            <v>待售</v>
          </cell>
          <cell r="K704">
            <v>29.49</v>
          </cell>
          <cell r="L704">
            <v>12.72</v>
          </cell>
          <cell r="M704">
            <v>0</v>
          </cell>
          <cell r="N704">
            <v>0</v>
          </cell>
        </row>
        <row r="705">
          <cell r="E705" t="str">
            <v>璞园-一期-非人防车位-0388</v>
          </cell>
          <cell r="F705" t="str">
            <v>车位-非人防地下车位</v>
          </cell>
          <cell r="G705" t="str">
            <v>车位</v>
          </cell>
          <cell r="H705" t="str">
            <v>待售</v>
          </cell>
          <cell r="K705">
            <v>29.49</v>
          </cell>
          <cell r="L705">
            <v>12.72</v>
          </cell>
          <cell r="M705">
            <v>0</v>
          </cell>
          <cell r="N705">
            <v>0</v>
          </cell>
        </row>
        <row r="706">
          <cell r="E706" t="str">
            <v>璞园-一期-非人防车位-0389</v>
          </cell>
          <cell r="F706" t="str">
            <v>车位-非人防地下车位</v>
          </cell>
          <cell r="G706" t="str">
            <v>车位</v>
          </cell>
          <cell r="H706" t="str">
            <v>待售</v>
          </cell>
          <cell r="K706">
            <v>29.49</v>
          </cell>
          <cell r="L706">
            <v>12.72</v>
          </cell>
          <cell r="M706">
            <v>0</v>
          </cell>
          <cell r="N706">
            <v>0</v>
          </cell>
        </row>
        <row r="707">
          <cell r="E707" t="str">
            <v>璞园-一期-非人防车位-0390</v>
          </cell>
          <cell r="F707" t="str">
            <v>车位-非人防地下车位</v>
          </cell>
          <cell r="G707" t="str">
            <v>车位</v>
          </cell>
          <cell r="H707" t="str">
            <v>待售</v>
          </cell>
          <cell r="K707">
            <v>29.49</v>
          </cell>
          <cell r="L707">
            <v>12.72</v>
          </cell>
          <cell r="M707">
            <v>0</v>
          </cell>
          <cell r="N707">
            <v>0</v>
          </cell>
        </row>
        <row r="708">
          <cell r="E708" t="str">
            <v>璞园-一期-非人防车位-0391</v>
          </cell>
          <cell r="F708" t="str">
            <v>车位-非人防地下车位</v>
          </cell>
          <cell r="G708" t="str">
            <v>车位</v>
          </cell>
          <cell r="H708" t="str">
            <v>待售</v>
          </cell>
          <cell r="K708">
            <v>29.49</v>
          </cell>
          <cell r="L708">
            <v>12.72</v>
          </cell>
          <cell r="M708">
            <v>0</v>
          </cell>
          <cell r="N708">
            <v>0</v>
          </cell>
        </row>
        <row r="709">
          <cell r="E709" t="str">
            <v>璞园-一期-非人防车位-0392</v>
          </cell>
          <cell r="F709" t="str">
            <v>车位-非人防地下车位</v>
          </cell>
          <cell r="G709" t="str">
            <v>车位</v>
          </cell>
          <cell r="H709" t="str">
            <v>待售</v>
          </cell>
          <cell r="K709">
            <v>29.49</v>
          </cell>
          <cell r="L709">
            <v>12.72</v>
          </cell>
          <cell r="M709">
            <v>0</v>
          </cell>
          <cell r="N709">
            <v>0</v>
          </cell>
        </row>
        <row r="710">
          <cell r="E710" t="str">
            <v>璞园-一期-非人防车位-0393</v>
          </cell>
          <cell r="F710" t="str">
            <v>车位-非人防地下车位</v>
          </cell>
          <cell r="G710" t="str">
            <v>车位</v>
          </cell>
          <cell r="H710" t="str">
            <v>待售</v>
          </cell>
          <cell r="K710">
            <v>29.49</v>
          </cell>
          <cell r="L710">
            <v>12.72</v>
          </cell>
          <cell r="M710">
            <v>0</v>
          </cell>
          <cell r="N710">
            <v>0</v>
          </cell>
        </row>
        <row r="711">
          <cell r="E711" t="str">
            <v>璞园-一期-非人防车位-0394</v>
          </cell>
          <cell r="F711" t="str">
            <v>车位-非人防地下车位</v>
          </cell>
          <cell r="G711" t="str">
            <v>车位</v>
          </cell>
          <cell r="H711" t="str">
            <v>待售</v>
          </cell>
          <cell r="K711">
            <v>29.49</v>
          </cell>
          <cell r="L711">
            <v>12.72</v>
          </cell>
          <cell r="M711">
            <v>0</v>
          </cell>
          <cell r="N711">
            <v>0</v>
          </cell>
        </row>
        <row r="712">
          <cell r="E712" t="str">
            <v>璞园-一期-非人防车位-0395</v>
          </cell>
          <cell r="F712" t="str">
            <v>车位-非人防地下车位</v>
          </cell>
          <cell r="G712" t="str">
            <v>车位</v>
          </cell>
          <cell r="H712" t="str">
            <v>待售</v>
          </cell>
          <cell r="K712">
            <v>29.49</v>
          </cell>
          <cell r="L712">
            <v>12.72</v>
          </cell>
          <cell r="M712">
            <v>0</v>
          </cell>
          <cell r="N712">
            <v>0</v>
          </cell>
        </row>
        <row r="713">
          <cell r="E713" t="str">
            <v>璞园-一期-非人防车位-0396</v>
          </cell>
          <cell r="F713" t="str">
            <v>车位-非人防地下车位</v>
          </cell>
          <cell r="G713" t="str">
            <v>车位</v>
          </cell>
          <cell r="H713" t="str">
            <v>待售</v>
          </cell>
          <cell r="K713">
            <v>29.49</v>
          </cell>
          <cell r="L713">
            <v>12.72</v>
          </cell>
          <cell r="M713">
            <v>0</v>
          </cell>
          <cell r="N713">
            <v>0</v>
          </cell>
        </row>
        <row r="714">
          <cell r="E714" t="str">
            <v>璞园-一期-非人防车位-0397</v>
          </cell>
          <cell r="F714" t="str">
            <v>车位-非人防地下车位</v>
          </cell>
          <cell r="G714" t="str">
            <v>车位</v>
          </cell>
          <cell r="H714" t="str">
            <v>待售</v>
          </cell>
          <cell r="K714">
            <v>29.49</v>
          </cell>
          <cell r="L714">
            <v>12.72</v>
          </cell>
          <cell r="M714">
            <v>0</v>
          </cell>
          <cell r="N714">
            <v>0</v>
          </cell>
        </row>
        <row r="715">
          <cell r="E715" t="str">
            <v>璞园-一期-非人防车位-0398</v>
          </cell>
          <cell r="F715" t="str">
            <v>车位-非人防地下车位</v>
          </cell>
          <cell r="G715" t="str">
            <v>车位</v>
          </cell>
          <cell r="H715" t="str">
            <v>待售</v>
          </cell>
          <cell r="K715">
            <v>29.49</v>
          </cell>
          <cell r="L715">
            <v>12.72</v>
          </cell>
          <cell r="M715">
            <v>0</v>
          </cell>
          <cell r="N715">
            <v>0</v>
          </cell>
        </row>
        <row r="716">
          <cell r="E716" t="str">
            <v>璞园-一期-非人防车位-0399</v>
          </cell>
          <cell r="F716" t="str">
            <v>车位-非人防地下车位</v>
          </cell>
          <cell r="G716" t="str">
            <v>车位</v>
          </cell>
          <cell r="H716" t="str">
            <v>待售</v>
          </cell>
          <cell r="K716">
            <v>29.49</v>
          </cell>
          <cell r="L716">
            <v>12.72</v>
          </cell>
          <cell r="M716">
            <v>0</v>
          </cell>
          <cell r="N716">
            <v>0</v>
          </cell>
        </row>
        <row r="717">
          <cell r="E717" t="str">
            <v>璞园-一期-非人防车位-0400</v>
          </cell>
          <cell r="F717" t="str">
            <v>车位-非人防地下车位</v>
          </cell>
          <cell r="G717" t="str">
            <v>车位</v>
          </cell>
          <cell r="H717" t="str">
            <v>待售</v>
          </cell>
          <cell r="K717">
            <v>29.49</v>
          </cell>
          <cell r="L717">
            <v>12.72</v>
          </cell>
          <cell r="M717">
            <v>0</v>
          </cell>
          <cell r="N717">
            <v>0</v>
          </cell>
        </row>
        <row r="718">
          <cell r="E718" t="str">
            <v>璞园-一期-非人防车位-0401</v>
          </cell>
          <cell r="F718" t="str">
            <v>车位-非人防地下车位</v>
          </cell>
          <cell r="G718" t="str">
            <v>车位</v>
          </cell>
          <cell r="H718" t="str">
            <v>待售</v>
          </cell>
          <cell r="K718">
            <v>29.49</v>
          </cell>
          <cell r="L718">
            <v>12.72</v>
          </cell>
          <cell r="M718">
            <v>0</v>
          </cell>
          <cell r="N718">
            <v>0</v>
          </cell>
        </row>
        <row r="719">
          <cell r="E719" t="str">
            <v>璞园-一期-非人防车位-0402</v>
          </cell>
          <cell r="F719" t="str">
            <v>车位-非人防地下车位</v>
          </cell>
          <cell r="G719" t="str">
            <v>车位</v>
          </cell>
          <cell r="H719" t="str">
            <v>待售</v>
          </cell>
          <cell r="K719">
            <v>29.49</v>
          </cell>
          <cell r="L719">
            <v>12.72</v>
          </cell>
          <cell r="M719">
            <v>0</v>
          </cell>
          <cell r="N719">
            <v>0</v>
          </cell>
        </row>
        <row r="720">
          <cell r="E720" t="str">
            <v>璞园-一期-非人防车位-0403</v>
          </cell>
          <cell r="F720" t="str">
            <v>车位-非人防地下车位</v>
          </cell>
          <cell r="G720" t="str">
            <v>车位</v>
          </cell>
          <cell r="H720" t="str">
            <v>待售</v>
          </cell>
          <cell r="K720">
            <v>29.49</v>
          </cell>
          <cell r="L720">
            <v>12.72</v>
          </cell>
          <cell r="M720">
            <v>0</v>
          </cell>
          <cell r="N720">
            <v>0</v>
          </cell>
        </row>
        <row r="721">
          <cell r="E721" t="str">
            <v>璞园-一期-非人防车位-0404</v>
          </cell>
          <cell r="F721" t="str">
            <v>车位-非人防地下车位</v>
          </cell>
          <cell r="G721" t="str">
            <v>车位</v>
          </cell>
          <cell r="H721" t="str">
            <v>待售</v>
          </cell>
          <cell r="K721">
            <v>29.49</v>
          </cell>
          <cell r="L721">
            <v>12.72</v>
          </cell>
          <cell r="M721">
            <v>0</v>
          </cell>
          <cell r="N721">
            <v>0</v>
          </cell>
        </row>
        <row r="722">
          <cell r="E722" t="str">
            <v>璞园-一期-非人防车位-0405</v>
          </cell>
          <cell r="F722" t="str">
            <v>车位-非人防地下车位</v>
          </cell>
          <cell r="G722" t="str">
            <v>车位</v>
          </cell>
          <cell r="H722" t="str">
            <v>待售</v>
          </cell>
          <cell r="K722">
            <v>29.49</v>
          </cell>
          <cell r="L722">
            <v>12.72</v>
          </cell>
          <cell r="M722">
            <v>0</v>
          </cell>
          <cell r="N722">
            <v>0</v>
          </cell>
        </row>
        <row r="723">
          <cell r="E723" t="str">
            <v>璞园-一期-非人防车位-0406</v>
          </cell>
          <cell r="F723" t="str">
            <v>车位-非人防地下车位</v>
          </cell>
          <cell r="G723" t="str">
            <v>车位</v>
          </cell>
          <cell r="H723" t="str">
            <v>待售</v>
          </cell>
          <cell r="K723">
            <v>29.49</v>
          </cell>
          <cell r="L723">
            <v>12.72</v>
          </cell>
          <cell r="M723">
            <v>0</v>
          </cell>
          <cell r="N723">
            <v>0</v>
          </cell>
        </row>
        <row r="724">
          <cell r="E724" t="str">
            <v>璞园-一期-非人防车位-0407</v>
          </cell>
          <cell r="F724" t="str">
            <v>车位-非人防地下车位</v>
          </cell>
          <cell r="G724" t="str">
            <v>车位</v>
          </cell>
          <cell r="H724" t="str">
            <v>待售</v>
          </cell>
          <cell r="K724">
            <v>29.49</v>
          </cell>
          <cell r="L724">
            <v>12.72</v>
          </cell>
          <cell r="M724">
            <v>0</v>
          </cell>
          <cell r="N724">
            <v>0</v>
          </cell>
        </row>
        <row r="725">
          <cell r="E725" t="str">
            <v>璞园-一期-非人防车位-0408</v>
          </cell>
          <cell r="F725" t="str">
            <v>车位-非人防地下车位</v>
          </cell>
          <cell r="G725" t="str">
            <v>车位</v>
          </cell>
          <cell r="H725" t="str">
            <v>待售</v>
          </cell>
          <cell r="K725">
            <v>29.49</v>
          </cell>
          <cell r="L725">
            <v>12.72</v>
          </cell>
          <cell r="M725">
            <v>0</v>
          </cell>
          <cell r="N725">
            <v>0</v>
          </cell>
        </row>
        <row r="726">
          <cell r="E726" t="str">
            <v>璞园-一期-非人防车位-0411</v>
          </cell>
          <cell r="F726" t="str">
            <v>车位-非人防地下车位</v>
          </cell>
          <cell r="G726" t="str">
            <v>车位</v>
          </cell>
          <cell r="H726" t="str">
            <v>待售</v>
          </cell>
          <cell r="K726">
            <v>29.49</v>
          </cell>
          <cell r="L726">
            <v>12.72</v>
          </cell>
          <cell r="M726">
            <v>0</v>
          </cell>
          <cell r="N726">
            <v>0</v>
          </cell>
        </row>
        <row r="727">
          <cell r="E727" t="str">
            <v>璞园-一期-非人防车位-0412</v>
          </cell>
          <cell r="F727" t="str">
            <v>车位-非人防地下车位</v>
          </cell>
          <cell r="G727" t="str">
            <v>车位</v>
          </cell>
          <cell r="H727" t="str">
            <v>待售</v>
          </cell>
          <cell r="K727">
            <v>29.49</v>
          </cell>
          <cell r="L727">
            <v>12.72</v>
          </cell>
          <cell r="M727">
            <v>0</v>
          </cell>
          <cell r="N727">
            <v>0</v>
          </cell>
        </row>
        <row r="728">
          <cell r="E728" t="str">
            <v>璞园-一期-非人防车位-0413</v>
          </cell>
          <cell r="F728" t="str">
            <v>车位-非人防地下车位</v>
          </cell>
          <cell r="G728" t="str">
            <v>车位</v>
          </cell>
          <cell r="H728" t="str">
            <v>待售</v>
          </cell>
          <cell r="K728">
            <v>58.98</v>
          </cell>
          <cell r="L728">
            <v>25.44</v>
          </cell>
          <cell r="M728">
            <v>0</v>
          </cell>
          <cell r="N728">
            <v>0</v>
          </cell>
        </row>
        <row r="729">
          <cell r="E729" t="str">
            <v>璞园-一期-非人防车位-0414</v>
          </cell>
          <cell r="F729" t="str">
            <v>车位-非人防地下车位</v>
          </cell>
          <cell r="G729" t="str">
            <v>车位</v>
          </cell>
          <cell r="H729" t="str">
            <v>待售</v>
          </cell>
          <cell r="K729">
            <v>58.98</v>
          </cell>
          <cell r="L729">
            <v>25.44</v>
          </cell>
          <cell r="M729">
            <v>0</v>
          </cell>
          <cell r="N729">
            <v>0</v>
          </cell>
        </row>
        <row r="730">
          <cell r="E730" t="str">
            <v>璞园-一期-非人防车位-0415</v>
          </cell>
          <cell r="F730" t="str">
            <v>车位-非人防地下车位</v>
          </cell>
          <cell r="G730" t="str">
            <v>车位</v>
          </cell>
          <cell r="H730" t="str">
            <v>签约</v>
          </cell>
          <cell r="J730" t="str">
            <v>一般客户</v>
          </cell>
          <cell r="K730">
            <v>29.49</v>
          </cell>
          <cell r="L730">
            <v>12.72</v>
          </cell>
          <cell r="M730">
            <v>0</v>
          </cell>
          <cell r="N730">
            <v>0</v>
          </cell>
        </row>
        <row r="731">
          <cell r="E731" t="str">
            <v>璞园-一期-非人防车位-0417</v>
          </cell>
          <cell r="F731" t="str">
            <v>车位-非人防地下车位</v>
          </cell>
          <cell r="G731" t="str">
            <v>车位</v>
          </cell>
          <cell r="H731" t="str">
            <v>待售</v>
          </cell>
          <cell r="K731">
            <v>58.98</v>
          </cell>
          <cell r="L731">
            <v>25.44</v>
          </cell>
          <cell r="M731">
            <v>0</v>
          </cell>
          <cell r="N731">
            <v>0</v>
          </cell>
        </row>
        <row r="732">
          <cell r="E732" t="str">
            <v>璞园-一期-非人防车位-0418</v>
          </cell>
          <cell r="F732" t="str">
            <v>车位-非人防地下车位</v>
          </cell>
          <cell r="G732" t="str">
            <v>车位</v>
          </cell>
          <cell r="H732" t="str">
            <v>待售</v>
          </cell>
          <cell r="K732">
            <v>58.98</v>
          </cell>
          <cell r="L732">
            <v>25.44</v>
          </cell>
          <cell r="M732">
            <v>0</v>
          </cell>
          <cell r="N732">
            <v>0</v>
          </cell>
        </row>
        <row r="733">
          <cell r="E733" t="str">
            <v>璞园-一期-非人防车位-0419</v>
          </cell>
          <cell r="F733" t="str">
            <v>车位-非人防地下车位</v>
          </cell>
          <cell r="G733" t="str">
            <v>车位</v>
          </cell>
          <cell r="H733" t="str">
            <v>待售</v>
          </cell>
          <cell r="K733">
            <v>58.98</v>
          </cell>
          <cell r="L733">
            <v>25.44</v>
          </cell>
          <cell r="M733">
            <v>0</v>
          </cell>
          <cell r="N733">
            <v>0</v>
          </cell>
        </row>
        <row r="734">
          <cell r="E734" t="str">
            <v>璞园-一期-非人防车位-0420</v>
          </cell>
          <cell r="F734" t="str">
            <v>车位-非人防地下车位</v>
          </cell>
          <cell r="G734" t="str">
            <v>车位</v>
          </cell>
          <cell r="H734" t="str">
            <v>待售</v>
          </cell>
          <cell r="K734">
            <v>58.98</v>
          </cell>
          <cell r="L734">
            <v>25.44</v>
          </cell>
          <cell r="M734">
            <v>0</v>
          </cell>
          <cell r="N734">
            <v>0</v>
          </cell>
        </row>
        <row r="735">
          <cell r="E735" t="str">
            <v>璞园-一期-非人防车位-0422</v>
          </cell>
          <cell r="F735" t="str">
            <v>车位-非人防地下车位</v>
          </cell>
          <cell r="G735" t="str">
            <v>车位</v>
          </cell>
          <cell r="H735" t="str">
            <v>待售</v>
          </cell>
          <cell r="K735">
            <v>29.49</v>
          </cell>
          <cell r="L735">
            <v>12.72</v>
          </cell>
          <cell r="M735">
            <v>0</v>
          </cell>
          <cell r="N735">
            <v>0</v>
          </cell>
        </row>
        <row r="736">
          <cell r="E736" t="str">
            <v>璞园-一期-非人防车位-0423</v>
          </cell>
          <cell r="F736" t="str">
            <v>车位-非人防地下车位</v>
          </cell>
          <cell r="G736" t="str">
            <v>车位</v>
          </cell>
          <cell r="H736" t="str">
            <v>待售</v>
          </cell>
          <cell r="K736">
            <v>29.49</v>
          </cell>
          <cell r="L736">
            <v>12.72</v>
          </cell>
          <cell r="M736">
            <v>0</v>
          </cell>
          <cell r="N736">
            <v>0</v>
          </cell>
        </row>
        <row r="737">
          <cell r="E737" t="str">
            <v>璞园-一期-非人防车位-0424</v>
          </cell>
          <cell r="F737" t="str">
            <v>车位-非人防地下车位</v>
          </cell>
          <cell r="G737" t="str">
            <v>车位</v>
          </cell>
          <cell r="H737" t="str">
            <v>待售</v>
          </cell>
          <cell r="K737">
            <v>29.49</v>
          </cell>
          <cell r="L737">
            <v>12.72</v>
          </cell>
          <cell r="M737">
            <v>0</v>
          </cell>
          <cell r="N737">
            <v>0</v>
          </cell>
        </row>
        <row r="738">
          <cell r="E738" t="str">
            <v>璞园-一期-非人防车位-0425</v>
          </cell>
          <cell r="F738" t="str">
            <v>车位-非人防地下车位</v>
          </cell>
          <cell r="G738" t="str">
            <v>车位</v>
          </cell>
          <cell r="H738" t="str">
            <v>待售</v>
          </cell>
          <cell r="K738">
            <v>29.49</v>
          </cell>
          <cell r="L738">
            <v>12.72</v>
          </cell>
          <cell r="M738">
            <v>0</v>
          </cell>
          <cell r="N738">
            <v>0</v>
          </cell>
        </row>
        <row r="739">
          <cell r="E739" t="str">
            <v>璞园-一期-非人防车位-0426</v>
          </cell>
          <cell r="F739" t="str">
            <v>车位-非人防地下车位</v>
          </cell>
          <cell r="G739" t="str">
            <v>车位</v>
          </cell>
          <cell r="H739" t="str">
            <v>待售</v>
          </cell>
          <cell r="K739">
            <v>29.49</v>
          </cell>
          <cell r="L739">
            <v>12.72</v>
          </cell>
          <cell r="M739">
            <v>0</v>
          </cell>
          <cell r="N739">
            <v>0</v>
          </cell>
        </row>
        <row r="740">
          <cell r="E740" t="str">
            <v>璞园-一期-非人防车位-0427</v>
          </cell>
          <cell r="F740" t="str">
            <v>车位-非人防地下车位</v>
          </cell>
          <cell r="G740" t="str">
            <v>车位</v>
          </cell>
          <cell r="H740" t="str">
            <v>待售</v>
          </cell>
          <cell r="K740">
            <v>29.49</v>
          </cell>
          <cell r="L740">
            <v>12.72</v>
          </cell>
          <cell r="M740">
            <v>0</v>
          </cell>
          <cell r="N740">
            <v>0</v>
          </cell>
        </row>
        <row r="741">
          <cell r="E741" t="str">
            <v>璞园-一期-非人防车位-0428</v>
          </cell>
          <cell r="F741" t="str">
            <v>车位-非人防地下车位</v>
          </cell>
          <cell r="G741" t="str">
            <v>车位</v>
          </cell>
          <cell r="H741" t="str">
            <v>待售</v>
          </cell>
          <cell r="K741">
            <v>29.49</v>
          </cell>
          <cell r="L741">
            <v>12.72</v>
          </cell>
          <cell r="M741">
            <v>0</v>
          </cell>
          <cell r="N741">
            <v>0</v>
          </cell>
        </row>
        <row r="742">
          <cell r="E742" t="str">
            <v>璞园-一期-非人防车位-0429</v>
          </cell>
          <cell r="F742" t="str">
            <v>车位-非人防地下车位</v>
          </cell>
          <cell r="G742" t="str">
            <v>车位</v>
          </cell>
          <cell r="H742" t="str">
            <v>待售</v>
          </cell>
          <cell r="K742">
            <v>29.49</v>
          </cell>
          <cell r="L742">
            <v>12.72</v>
          </cell>
          <cell r="M742">
            <v>0</v>
          </cell>
          <cell r="N742">
            <v>0</v>
          </cell>
        </row>
        <row r="743">
          <cell r="E743" t="str">
            <v>璞园-一期-非人防车位-0430</v>
          </cell>
          <cell r="F743" t="str">
            <v>车位-非人防地下车位</v>
          </cell>
          <cell r="G743" t="str">
            <v>车位</v>
          </cell>
          <cell r="H743" t="str">
            <v>待售</v>
          </cell>
          <cell r="K743">
            <v>29.49</v>
          </cell>
          <cell r="L743">
            <v>12.72</v>
          </cell>
          <cell r="M743">
            <v>0</v>
          </cell>
          <cell r="N743">
            <v>0</v>
          </cell>
        </row>
        <row r="744">
          <cell r="E744" t="str">
            <v>璞园-一期-非人防车位-0431</v>
          </cell>
          <cell r="F744" t="str">
            <v>车位-非人防地下车位</v>
          </cell>
          <cell r="G744" t="str">
            <v>车位</v>
          </cell>
          <cell r="H744" t="str">
            <v>待售</v>
          </cell>
          <cell r="K744">
            <v>29.49</v>
          </cell>
          <cell r="L744">
            <v>12.72</v>
          </cell>
          <cell r="M744">
            <v>0</v>
          </cell>
          <cell r="N744">
            <v>0</v>
          </cell>
        </row>
        <row r="745">
          <cell r="E745" t="str">
            <v>璞园-一期-非人防车位-0432</v>
          </cell>
          <cell r="F745" t="str">
            <v>车位-非人防地下车位</v>
          </cell>
          <cell r="G745" t="str">
            <v>车位</v>
          </cell>
          <cell r="H745" t="str">
            <v>待售</v>
          </cell>
          <cell r="K745">
            <v>29.49</v>
          </cell>
          <cell r="L745">
            <v>12.72</v>
          </cell>
          <cell r="M745">
            <v>0</v>
          </cell>
          <cell r="N745">
            <v>0</v>
          </cell>
        </row>
        <row r="746">
          <cell r="E746" t="str">
            <v>璞园-一期-非人防车位-0433</v>
          </cell>
          <cell r="F746" t="str">
            <v>车位-非人防地下车位</v>
          </cell>
          <cell r="G746" t="str">
            <v>车位</v>
          </cell>
          <cell r="H746" t="str">
            <v>待售</v>
          </cell>
          <cell r="K746">
            <v>29.49</v>
          </cell>
          <cell r="L746">
            <v>12.72</v>
          </cell>
          <cell r="M746">
            <v>0</v>
          </cell>
          <cell r="N746">
            <v>0</v>
          </cell>
        </row>
        <row r="747">
          <cell r="E747" t="str">
            <v>璞园-一期-非人防车位-0434</v>
          </cell>
          <cell r="F747" t="str">
            <v>车位-非人防地下车位</v>
          </cell>
          <cell r="G747" t="str">
            <v>车位</v>
          </cell>
          <cell r="H747" t="str">
            <v>待售</v>
          </cell>
          <cell r="K747">
            <v>29.49</v>
          </cell>
          <cell r="L747">
            <v>12.72</v>
          </cell>
          <cell r="M747">
            <v>0</v>
          </cell>
          <cell r="N747">
            <v>0</v>
          </cell>
        </row>
        <row r="748">
          <cell r="E748" t="str">
            <v>璞园-一期-非人防车位-0435</v>
          </cell>
          <cell r="F748" t="str">
            <v>车位-非人防地下车位</v>
          </cell>
          <cell r="G748" t="str">
            <v>车位</v>
          </cell>
          <cell r="H748" t="str">
            <v>待售</v>
          </cell>
          <cell r="K748">
            <v>29.49</v>
          </cell>
          <cell r="L748">
            <v>12.72</v>
          </cell>
          <cell r="M748">
            <v>0</v>
          </cell>
          <cell r="N748">
            <v>0</v>
          </cell>
        </row>
        <row r="749">
          <cell r="E749" t="str">
            <v>璞园-一期-非人防车位-0436</v>
          </cell>
          <cell r="F749" t="str">
            <v>车位-非人防地下车位</v>
          </cell>
          <cell r="G749" t="str">
            <v>车位</v>
          </cell>
          <cell r="H749" t="str">
            <v>待售</v>
          </cell>
          <cell r="K749">
            <v>29.49</v>
          </cell>
          <cell r="L749">
            <v>12.72</v>
          </cell>
          <cell r="M749">
            <v>0</v>
          </cell>
          <cell r="N749">
            <v>0</v>
          </cell>
        </row>
        <row r="750">
          <cell r="E750" t="str">
            <v>璞园-一期-非人防车位-0439</v>
          </cell>
          <cell r="F750" t="str">
            <v>车位-非人防地下车位</v>
          </cell>
          <cell r="G750" t="str">
            <v>车位</v>
          </cell>
          <cell r="H750" t="str">
            <v>待售</v>
          </cell>
          <cell r="K750">
            <v>58.98</v>
          </cell>
          <cell r="L750">
            <v>25.44</v>
          </cell>
          <cell r="M750">
            <v>0</v>
          </cell>
          <cell r="N750">
            <v>0</v>
          </cell>
        </row>
        <row r="751">
          <cell r="E751" t="str">
            <v>璞园-一期-非人防车位-0440</v>
          </cell>
          <cell r="F751" t="str">
            <v>车位-非人防地下车位</v>
          </cell>
          <cell r="G751" t="str">
            <v>车位</v>
          </cell>
          <cell r="H751" t="str">
            <v>待售</v>
          </cell>
          <cell r="K751">
            <v>29.49</v>
          </cell>
          <cell r="L751">
            <v>12.72</v>
          </cell>
          <cell r="M751">
            <v>0</v>
          </cell>
          <cell r="N751">
            <v>0</v>
          </cell>
        </row>
        <row r="752">
          <cell r="E752" t="str">
            <v>璞园-一期-非人防车位-0441</v>
          </cell>
          <cell r="F752" t="str">
            <v>车位-非人防地下车位</v>
          </cell>
          <cell r="G752" t="str">
            <v>车位</v>
          </cell>
          <cell r="H752" t="str">
            <v>待售</v>
          </cell>
          <cell r="K752">
            <v>29.49</v>
          </cell>
          <cell r="L752">
            <v>12.72</v>
          </cell>
          <cell r="M752">
            <v>0</v>
          </cell>
          <cell r="N752">
            <v>0</v>
          </cell>
        </row>
        <row r="753">
          <cell r="E753" t="str">
            <v>璞园-一期-非人防车位-0442</v>
          </cell>
          <cell r="F753" t="str">
            <v>车位-非人防地下车位</v>
          </cell>
          <cell r="G753" t="str">
            <v>车位</v>
          </cell>
          <cell r="H753" t="str">
            <v>待售</v>
          </cell>
          <cell r="K753">
            <v>29.49</v>
          </cell>
          <cell r="L753">
            <v>12.72</v>
          </cell>
          <cell r="M753">
            <v>0</v>
          </cell>
          <cell r="N753">
            <v>0</v>
          </cell>
        </row>
        <row r="754">
          <cell r="E754" t="str">
            <v>璞园-一期-非人防车位-0445</v>
          </cell>
          <cell r="F754" t="str">
            <v>车位-非人防地下车位</v>
          </cell>
          <cell r="G754" t="str">
            <v>车位</v>
          </cell>
          <cell r="H754" t="str">
            <v>待售</v>
          </cell>
          <cell r="K754">
            <v>29.49</v>
          </cell>
          <cell r="L754">
            <v>12.72</v>
          </cell>
          <cell r="M754">
            <v>0</v>
          </cell>
          <cell r="N754">
            <v>0</v>
          </cell>
        </row>
        <row r="755">
          <cell r="E755" t="str">
            <v>璞园-一期-非人防车位-0446</v>
          </cell>
          <cell r="F755" t="str">
            <v>车位-非人防地下车位</v>
          </cell>
          <cell r="G755" t="str">
            <v>车位</v>
          </cell>
          <cell r="H755" t="str">
            <v>待售</v>
          </cell>
          <cell r="K755">
            <v>29.49</v>
          </cell>
          <cell r="L755">
            <v>12.72</v>
          </cell>
          <cell r="M755">
            <v>0</v>
          </cell>
          <cell r="N755">
            <v>0</v>
          </cell>
        </row>
        <row r="756">
          <cell r="E756" t="str">
            <v>璞园-一期-非人防车位-0447</v>
          </cell>
          <cell r="F756" t="str">
            <v>车位-非人防地下车位</v>
          </cell>
          <cell r="G756" t="str">
            <v>车位</v>
          </cell>
          <cell r="H756" t="str">
            <v>待售</v>
          </cell>
          <cell r="K756">
            <v>29.49</v>
          </cell>
          <cell r="L756">
            <v>12.72</v>
          </cell>
          <cell r="M756">
            <v>0</v>
          </cell>
          <cell r="N756">
            <v>0</v>
          </cell>
        </row>
        <row r="757">
          <cell r="E757" t="str">
            <v>璞园-一期-非人防车位-0448</v>
          </cell>
          <cell r="F757" t="str">
            <v>车位-非人防地下车位</v>
          </cell>
          <cell r="G757" t="str">
            <v>车位</v>
          </cell>
          <cell r="H757" t="str">
            <v>待售</v>
          </cell>
          <cell r="K757">
            <v>29.49</v>
          </cell>
          <cell r="L757">
            <v>12.72</v>
          </cell>
          <cell r="M757">
            <v>0</v>
          </cell>
          <cell r="N757">
            <v>0</v>
          </cell>
        </row>
        <row r="758">
          <cell r="E758" t="str">
            <v>璞园-一期-非人防车位-0449</v>
          </cell>
          <cell r="F758" t="str">
            <v>车位-非人防地下车位</v>
          </cell>
          <cell r="G758" t="str">
            <v>车位</v>
          </cell>
          <cell r="H758" t="str">
            <v>待售</v>
          </cell>
          <cell r="K758">
            <v>29.49</v>
          </cell>
          <cell r="L758">
            <v>12.72</v>
          </cell>
          <cell r="M758">
            <v>0</v>
          </cell>
          <cell r="N758">
            <v>0</v>
          </cell>
        </row>
        <row r="759">
          <cell r="E759" t="str">
            <v>璞园-一期-非人防车位-0450</v>
          </cell>
          <cell r="F759" t="str">
            <v>车位-非人防地下车位</v>
          </cell>
          <cell r="G759" t="str">
            <v>车位</v>
          </cell>
          <cell r="H759" t="str">
            <v>待售</v>
          </cell>
          <cell r="K759">
            <v>29.49</v>
          </cell>
          <cell r="L759">
            <v>12.72</v>
          </cell>
          <cell r="M759">
            <v>0</v>
          </cell>
          <cell r="N759">
            <v>0</v>
          </cell>
        </row>
        <row r="760">
          <cell r="E760" t="str">
            <v>璞园-一期-非人防车位-0478</v>
          </cell>
          <cell r="F760" t="str">
            <v>车位-非人防地下车位</v>
          </cell>
          <cell r="G760" t="str">
            <v>车位</v>
          </cell>
          <cell r="H760" t="str">
            <v>待售</v>
          </cell>
          <cell r="K760">
            <v>29.49</v>
          </cell>
          <cell r="L760">
            <v>12.72</v>
          </cell>
          <cell r="M760">
            <v>0</v>
          </cell>
          <cell r="N760">
            <v>0</v>
          </cell>
        </row>
        <row r="761">
          <cell r="E761" t="str">
            <v>璞园-一期-非人防车位-0479</v>
          </cell>
          <cell r="F761" t="str">
            <v>车位-非人防地下车位</v>
          </cell>
          <cell r="G761" t="str">
            <v>车位</v>
          </cell>
          <cell r="H761" t="str">
            <v>待售</v>
          </cell>
          <cell r="K761">
            <v>29.49</v>
          </cell>
          <cell r="L761">
            <v>12.72</v>
          </cell>
          <cell r="M761">
            <v>0</v>
          </cell>
          <cell r="N761">
            <v>0</v>
          </cell>
        </row>
        <row r="762">
          <cell r="E762" t="str">
            <v>璞园-一期-非人防车位-0489</v>
          </cell>
          <cell r="F762" t="str">
            <v>车位-非人防地下车位</v>
          </cell>
          <cell r="G762" t="str">
            <v>车位</v>
          </cell>
          <cell r="H762" t="str">
            <v>待售</v>
          </cell>
          <cell r="K762">
            <v>37.159999999999997</v>
          </cell>
          <cell r="L762">
            <v>12.72</v>
          </cell>
          <cell r="M762">
            <v>0</v>
          </cell>
          <cell r="N762">
            <v>0</v>
          </cell>
        </row>
        <row r="763">
          <cell r="E763" t="str">
            <v>璞园-一期-非人防车位-0490</v>
          </cell>
          <cell r="F763" t="str">
            <v>车位-非人防地下车位</v>
          </cell>
          <cell r="G763" t="str">
            <v>车位</v>
          </cell>
          <cell r="H763" t="str">
            <v>待售</v>
          </cell>
          <cell r="K763">
            <v>9.56</v>
          </cell>
          <cell r="L763">
            <v>9.4600000000000009</v>
          </cell>
          <cell r="M763">
            <v>0</v>
          </cell>
          <cell r="N763">
            <v>0</v>
          </cell>
        </row>
        <row r="764">
          <cell r="E764" t="str">
            <v>璞园-一期-非人防车位-0491</v>
          </cell>
          <cell r="F764" t="str">
            <v>车位-非人防地下车位</v>
          </cell>
          <cell r="G764" t="str">
            <v>车位</v>
          </cell>
          <cell r="H764" t="str">
            <v>待售</v>
          </cell>
          <cell r="K764">
            <v>21.93</v>
          </cell>
          <cell r="L764">
            <v>9.4600000000000009</v>
          </cell>
          <cell r="M764">
            <v>0</v>
          </cell>
          <cell r="N764">
            <v>0</v>
          </cell>
        </row>
        <row r="765">
          <cell r="E765" t="str">
            <v>璞园-一期-非人防车位-0492</v>
          </cell>
          <cell r="F765" t="str">
            <v>车位-非人防地下车位</v>
          </cell>
          <cell r="G765" t="str">
            <v>车位</v>
          </cell>
          <cell r="H765" t="str">
            <v>待售</v>
          </cell>
          <cell r="K765">
            <v>21.93</v>
          </cell>
          <cell r="L765">
            <v>9.4600000000000009</v>
          </cell>
          <cell r="M765">
            <v>0</v>
          </cell>
          <cell r="N765">
            <v>0</v>
          </cell>
        </row>
        <row r="766">
          <cell r="E766" t="str">
            <v>璞园-一期-非人防车位-0493</v>
          </cell>
          <cell r="F766" t="str">
            <v>车位-非人防地下车位</v>
          </cell>
          <cell r="G766" t="str">
            <v>车位</v>
          </cell>
          <cell r="H766" t="str">
            <v>待售</v>
          </cell>
          <cell r="K766">
            <v>21.93</v>
          </cell>
          <cell r="L766">
            <v>9.4600000000000009</v>
          </cell>
          <cell r="M766">
            <v>0</v>
          </cell>
          <cell r="N766">
            <v>0</v>
          </cell>
        </row>
        <row r="767">
          <cell r="E767" t="str">
            <v>璞园-一期-非人防车位-0494</v>
          </cell>
          <cell r="F767" t="str">
            <v>车位-非人防地下车位</v>
          </cell>
          <cell r="G767" t="str">
            <v>车位</v>
          </cell>
          <cell r="H767" t="str">
            <v>待售</v>
          </cell>
          <cell r="K767">
            <v>21.93</v>
          </cell>
          <cell r="L767">
            <v>9.4600000000000009</v>
          </cell>
          <cell r="M767">
            <v>0</v>
          </cell>
          <cell r="N767">
            <v>0</v>
          </cell>
        </row>
        <row r="768">
          <cell r="E768" t="str">
            <v>璞园-一期-非人防车位-0495</v>
          </cell>
          <cell r="F768" t="str">
            <v>车位-非人防地下车位</v>
          </cell>
          <cell r="G768" t="str">
            <v>车位</v>
          </cell>
          <cell r="H768" t="str">
            <v>待售</v>
          </cell>
          <cell r="K768">
            <v>21.93</v>
          </cell>
          <cell r="L768">
            <v>9.4600000000000009</v>
          </cell>
          <cell r="M768">
            <v>0</v>
          </cell>
          <cell r="N768">
            <v>0</v>
          </cell>
        </row>
        <row r="769">
          <cell r="E769" t="str">
            <v>璞园-一期-非人防车位-0496</v>
          </cell>
          <cell r="F769" t="str">
            <v>车位-非人防地下车位</v>
          </cell>
          <cell r="G769" t="str">
            <v>车位</v>
          </cell>
          <cell r="H769" t="str">
            <v>待售</v>
          </cell>
          <cell r="K769">
            <v>21.93</v>
          </cell>
          <cell r="L769">
            <v>9.4600000000000009</v>
          </cell>
          <cell r="M769">
            <v>0</v>
          </cell>
          <cell r="N769">
            <v>0</v>
          </cell>
        </row>
        <row r="770">
          <cell r="E770" t="str">
            <v>璞园-一期-非人防车位-0497</v>
          </cell>
          <cell r="F770" t="str">
            <v>车位-非人防地下车位</v>
          </cell>
          <cell r="G770" t="str">
            <v>车位</v>
          </cell>
          <cell r="H770" t="str">
            <v>待售</v>
          </cell>
          <cell r="K770">
            <v>21.93</v>
          </cell>
          <cell r="L770">
            <v>9.4600000000000009</v>
          </cell>
          <cell r="M770">
            <v>0</v>
          </cell>
          <cell r="N770">
            <v>0</v>
          </cell>
        </row>
        <row r="771">
          <cell r="E771" t="str">
            <v>璞园-一期-非人防车位-0498</v>
          </cell>
          <cell r="F771" t="str">
            <v>车位-非人防地下车位</v>
          </cell>
          <cell r="G771" t="str">
            <v>车位</v>
          </cell>
          <cell r="H771" t="str">
            <v>待售</v>
          </cell>
          <cell r="K771">
            <v>21.93</v>
          </cell>
          <cell r="L771">
            <v>9.4600000000000009</v>
          </cell>
          <cell r="M771">
            <v>0</v>
          </cell>
          <cell r="N771">
            <v>0</v>
          </cell>
        </row>
        <row r="772">
          <cell r="K772">
            <v>64869.89</v>
          </cell>
          <cell r="L772">
            <v>46155.24</v>
          </cell>
          <cell r="M772">
            <v>0</v>
          </cell>
          <cell r="N772">
            <v>0</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出让国有建设用地使用权及在建建筑物房地产抵押价值预评估</v>
      </c>
    </row>
    <row r="3" spans="1:2" s="1317" customFormat="1">
      <c r="A3" s="1315" t="s">
        <v>948</v>
      </c>
      <c r="B3" s="1316">
        <f>'预评函-封皮'!B40</f>
        <v>0</v>
      </c>
    </row>
    <row r="4" spans="1:2" s="1317" customFormat="1">
      <c r="A4" s="1315" t="s">
        <v>949</v>
      </c>
      <c r="B4" s="1316" t="str">
        <f>'预评函-封皮'!B46</f>
        <v>（注册号：0)、（注册号：0)</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受贵公司委托，我公司对出让国有建设用地使用权及在建建筑物房地产抵押价值进行了预评估。</v>
      </c>
    </row>
    <row r="7" spans="1:2" s="1317" customFormat="1">
      <c r="A7" s="1315" t="s">
        <v>991</v>
      </c>
      <c r="B7" s="1316" t="str">
        <f>'预评函-1'!A7</f>
        <v>估价对象为出让国有建设用地使用权及在建建筑物房地产，为所有。根据《国有土地使用证》[]，估价对象（分摊）出让国有建设用地使用权面积为4132.73平方米，建筑面积为6199.09平方米。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出让国有建设用地使用权及在建建筑物房地产,属开发建设的，该项目尚在开发建设中。根据《国有土地使用证》[]，估价对象（分摊）出让国有建设用地使用权面积为4132.73平方米，规划建筑面积为6199.09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2022年12月20日（评估专业人员实地查勘之日）</v>
      </c>
    </row>
    <row r="13" spans="1:2" s="1317" customFormat="1">
      <c r="A13" s="1315" t="s">
        <v>954</v>
      </c>
      <c r="B13" s="1316" t="str">
        <f>'预评函-1'!A18</f>
        <v>本次估价的“房地产价值”是指在正常市场情况下，在价值时点2022年12月20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
      </c>
    </row>
    <row r="18" spans="1:2" s="1311" customFormat="1" ht="15" thickBot="1">
      <c r="A18" s="1318" t="s">
        <v>959</v>
      </c>
      <c r="B18" s="1319" t="str">
        <f>'预评函-1'!A24</f>
        <v>本次评估采用的主估价方法为成本法和假设开发法。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8729</v>
      </c>
    </row>
    <row r="21" spans="1:2" s="1317" customFormat="1">
      <c r="A21" s="1315" t="s">
        <v>962</v>
      </c>
      <c r="B21" s="1316">
        <f ca="1">'预评函-2'!D7</f>
        <v>14081</v>
      </c>
    </row>
    <row r="22" spans="1:2" s="1317" customFormat="1">
      <c r="A22" s="1315" t="s">
        <v>963</v>
      </c>
      <c r="B22" s="1316" t="str">
        <f ca="1">'预评函-2'!D6</f>
        <v>捌仟柒佰贰拾玖万元整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8729</v>
      </c>
    </row>
    <row r="31" spans="1:2" s="1317" customFormat="1">
      <c r="A31" s="1315" t="s">
        <v>1001</v>
      </c>
      <c r="B31" s="1316">
        <f ca="1">'预评函-2'!D15</f>
        <v>14081</v>
      </c>
    </row>
    <row r="32" spans="1:2" s="1317" customFormat="1">
      <c r="A32" s="1315" t="s">
        <v>968</v>
      </c>
      <c r="B32" s="1316" t="str">
        <f ca="1">'预评函-2'!D14</f>
        <v>捌仟柒佰贰拾玖万元整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出让国有建设用地使用权及在建建筑物房地产</v>
      </c>
    </row>
    <row r="42" spans="1:2" s="1317" customFormat="1">
      <c r="A42" s="1315" t="s">
        <v>1015</v>
      </c>
      <c r="B42" s="1316" t="str">
        <f>'预评函-3'!B2</f>
        <v>建筑面积</v>
      </c>
    </row>
    <row r="43" spans="1:2" s="1317" customFormat="1">
      <c r="A43" s="1315" t="s">
        <v>1016</v>
      </c>
      <c r="B43" s="1316">
        <f>'预评函-3'!B4</f>
        <v>6199.09</v>
      </c>
    </row>
    <row r="44" spans="1:2" s="1317" customFormat="1">
      <c r="A44" s="1315" t="s">
        <v>1000</v>
      </c>
      <c r="B44" s="1316" t="str">
        <f>'预评函-3'!C2</f>
        <v>(分摊)土地面积</v>
      </c>
    </row>
    <row r="45" spans="1:2" s="1317" customFormat="1">
      <c r="A45" s="1315" t="s">
        <v>972</v>
      </c>
      <c r="B45" s="1316">
        <f>'预评函-3'!C4</f>
        <v>4132.7299999999996</v>
      </c>
    </row>
    <row r="46" spans="1:2" s="1317" customFormat="1">
      <c r="A46" s="1315" t="s">
        <v>998</v>
      </c>
      <c r="B46" s="1316" t="str">
        <f>'预评函-3'!D2</f>
        <v>出让国有建设用地使用权价值</v>
      </c>
    </row>
    <row r="47" spans="1:2" s="1317" customFormat="1">
      <c r="A47" s="1315" t="s">
        <v>973</v>
      </c>
      <c r="B47" s="1316">
        <f ca="1">'预评函-3'!D4</f>
        <v>6905</v>
      </c>
    </row>
    <row r="48" spans="1:2" s="1317" customFormat="1">
      <c r="A48" s="1315" t="s">
        <v>974</v>
      </c>
      <c r="B48" s="1316">
        <f ca="1">'预评函-3'!E4</f>
        <v>11139</v>
      </c>
    </row>
    <row r="49" spans="1:2" s="1317" customFormat="1">
      <c r="A49" s="1315" t="s">
        <v>975</v>
      </c>
      <c r="B49" s="1316" t="str">
        <f ca="1">'预评函-3'!D5</f>
        <v>陆仟玖佰零伍万元整</v>
      </c>
    </row>
    <row r="50" spans="1:2" s="1317" customFormat="1">
      <c r="A50" s="1315" t="s">
        <v>999</v>
      </c>
      <c r="B50" s="1316" t="str">
        <f>'预评函-3'!F2</f>
        <v>在建建筑物价值</v>
      </c>
    </row>
    <row r="51" spans="1:2" s="1317" customFormat="1">
      <c r="A51" s="1315" t="s">
        <v>976</v>
      </c>
      <c r="B51" s="1316">
        <f ca="1">'预评函-3'!F4</f>
        <v>1824</v>
      </c>
    </row>
    <row r="52" spans="1:2" s="1317" customFormat="1">
      <c r="A52" s="1315" t="s">
        <v>977</v>
      </c>
      <c r="B52" s="1316">
        <f ca="1">'预评函-3'!G4</f>
        <v>2942</v>
      </c>
    </row>
    <row r="53" spans="1:2" s="1317" customFormat="1">
      <c r="A53" s="1315" t="s">
        <v>1005</v>
      </c>
      <c r="B53" s="1316" t="str">
        <f ca="1">'预评函-3'!F5</f>
        <v>壹仟捌佰贰拾肆万元整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f>'预评函-4'!A4</f>
        <v>0</v>
      </c>
    </row>
    <row r="71" spans="1:2">
      <c r="A71" s="1315" t="s">
        <v>988</v>
      </c>
      <c r="B71" s="1316">
        <f>'预评函-4'!B4</f>
        <v>0</v>
      </c>
    </row>
    <row r="72" spans="1:2">
      <c r="A72" s="1315" t="s">
        <v>989</v>
      </c>
      <c r="B72" s="1324">
        <f>'预评函-4'!A5</f>
        <v>0</v>
      </c>
    </row>
    <row r="73" spans="1:2" s="1311" customFormat="1" ht="15" thickBot="1">
      <c r="A73" s="1318" t="s">
        <v>990</v>
      </c>
      <c r="B73" s="1319">
        <f>'预评函-4'!B5</f>
        <v>0</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2783</v>
      </c>
      <c r="C17" s="1682"/>
    </row>
    <row r="18" spans="1:3">
      <c r="A18" s="1681" t="s">
        <v>1491</v>
      </c>
      <c r="B18" s="1681" t="s">
        <v>2927</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300"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1689" t="s">
        <v>651</v>
      </c>
      <c r="C54" s="1686" t="s">
        <v>1008</v>
      </c>
    </row>
    <row r="55" spans="1:4">
      <c r="A55" s="3300"/>
      <c r="B55" s="1689" t="s">
        <v>652</v>
      </c>
      <c r="C55" s="1686" t="s">
        <v>1009</v>
      </c>
    </row>
    <row r="56" spans="1:4">
      <c r="A56" s="3300"/>
      <c r="B56" s="1689" t="s">
        <v>653</v>
      </c>
      <c r="C56" s="1686" t="s">
        <v>1013</v>
      </c>
    </row>
    <row r="57" spans="1:4">
      <c r="A57" s="3300"/>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
  <sheetViews>
    <sheetView workbookViewId="0">
      <selection activeCell="E7" sqref="E7"/>
    </sheetView>
  </sheetViews>
  <sheetFormatPr defaultColWidth="9" defaultRowHeight="13.5"/>
  <cols>
    <col min="1" max="1" width="9" style="3240"/>
    <col min="2" max="2" width="23.125" style="3240" customWidth="1"/>
    <col min="3" max="3" width="16.5" style="3240" customWidth="1"/>
    <col min="4" max="4" width="16.875" style="3240" customWidth="1"/>
    <col min="5" max="5" width="11.375" style="3240" customWidth="1"/>
    <col min="6" max="6" width="13.375" style="3240" customWidth="1"/>
    <col min="7" max="7" width="9" style="3240"/>
    <col min="8" max="8" width="19.25" style="3240" bestFit="1" customWidth="1"/>
    <col min="9" max="16384" width="9" style="3240"/>
  </cols>
  <sheetData>
    <row r="1" spans="1:9" ht="14.25">
      <c r="A1" s="3250" t="s">
        <v>3448</v>
      </c>
      <c r="B1" s="3250" t="s">
        <v>3447</v>
      </c>
      <c r="C1" s="3250" t="s">
        <v>3446</v>
      </c>
      <c r="D1" s="3250" t="s">
        <v>3445</v>
      </c>
      <c r="E1" s="3250" t="s">
        <v>3444</v>
      </c>
      <c r="F1" s="3250" t="s">
        <v>3443</v>
      </c>
      <c r="G1" s="3250" t="s">
        <v>3442</v>
      </c>
    </row>
    <row r="2" spans="1:9" s="3243" customFormat="1">
      <c r="A2" s="3247">
        <v>1</v>
      </c>
      <c r="B2" s="3247" t="s">
        <v>3441</v>
      </c>
      <c r="C2" s="3247" t="s">
        <v>3404</v>
      </c>
      <c r="D2" s="3247">
        <v>3771407</v>
      </c>
      <c r="E2" s="3243">
        <f>VLOOKUP(B2,[2]房间明细表!$E$1:$N$65536,7,0)</f>
        <v>142.91</v>
      </c>
      <c r="F2" s="3247"/>
      <c r="G2" s="3243">
        <f t="shared" ref="G2:G33" si="0">D2/E2</f>
        <v>26390.084668672593</v>
      </c>
      <c r="H2" s="3243" t="s">
        <v>3440</v>
      </c>
      <c r="I2" s="3243" t="s">
        <v>3439</v>
      </c>
    </row>
    <row r="3" spans="1:9" s="3243" customFormat="1">
      <c r="A3" s="3247">
        <v>2</v>
      </c>
      <c r="B3" s="3247" t="s">
        <v>3438</v>
      </c>
      <c r="C3" s="3247" t="s">
        <v>3404</v>
      </c>
      <c r="D3" s="3247">
        <v>3668366</v>
      </c>
      <c r="E3" s="3243">
        <f>VLOOKUP(B3,[2]房间明细表!$E$1:$N$65536,7,0)</f>
        <v>140.15</v>
      </c>
      <c r="F3" s="3247"/>
      <c r="G3" s="3243">
        <f t="shared" si="0"/>
        <v>26174.570103460577</v>
      </c>
    </row>
    <row r="4" spans="1:9" s="3243" customFormat="1">
      <c r="A4" s="3247">
        <v>3</v>
      </c>
      <c r="B4" s="3247" t="s">
        <v>3437</v>
      </c>
      <c r="C4" s="3247" t="s">
        <v>3404</v>
      </c>
      <c r="D4" s="3247">
        <v>3597212</v>
      </c>
      <c r="E4" s="3243">
        <f>VLOOKUP(B4,[2]房间明细表!$E$1:$N$65536,7,0)</f>
        <v>140.32</v>
      </c>
      <c r="F4" s="3247"/>
      <c r="G4" s="3243">
        <f t="shared" si="0"/>
        <v>25635.77537058153</v>
      </c>
    </row>
    <row r="5" spans="1:9" s="3243" customFormat="1">
      <c r="A5" s="3247">
        <v>4</v>
      </c>
      <c r="B5" s="3247" t="s">
        <v>3436</v>
      </c>
      <c r="C5" s="3247" t="s">
        <v>3404</v>
      </c>
      <c r="D5" s="3247">
        <v>3530268</v>
      </c>
      <c r="E5" s="3243">
        <f>VLOOKUP(B5,[2]房间明细表!$E$1:$N$65536,7,0)</f>
        <v>145.61000000000001</v>
      </c>
      <c r="F5" s="3247"/>
      <c r="G5" s="3243">
        <f t="shared" si="0"/>
        <v>24244.680997184256</v>
      </c>
    </row>
    <row r="6" spans="1:9" s="3243" customFormat="1">
      <c r="A6" s="3247">
        <v>5</v>
      </c>
      <c r="B6" s="3247" t="s">
        <v>3435</v>
      </c>
      <c r="C6" s="3247" t="s">
        <v>3404</v>
      </c>
      <c r="D6" s="3247">
        <v>3841010</v>
      </c>
      <c r="E6" s="3243">
        <f>VLOOKUP(B6,[2]房间明细表!$E$1:$N$65536,7,0)</f>
        <v>146.83000000000001</v>
      </c>
      <c r="F6" s="3247"/>
      <c r="G6" s="3243">
        <f t="shared" si="0"/>
        <v>26159.572294490226</v>
      </c>
      <c r="H6" s="3243" t="s">
        <v>3434</v>
      </c>
    </row>
    <row r="7" spans="1:9" s="3243" customFormat="1">
      <c r="A7" s="3247">
        <v>6</v>
      </c>
      <c r="B7" s="3247" t="s">
        <v>3433</v>
      </c>
      <c r="C7" s="3247" t="s">
        <v>3404</v>
      </c>
      <c r="D7" s="3247">
        <v>3774155</v>
      </c>
      <c r="E7" s="3243">
        <f>VLOOKUP(B7,[2]房间明细表!$E$1:$N$65536,7,0)</f>
        <v>146.66</v>
      </c>
      <c r="F7" s="3247"/>
      <c r="G7" s="3243">
        <f t="shared" si="0"/>
        <v>25734.044729305879</v>
      </c>
    </row>
    <row r="8" spans="1:9" s="3243" customFormat="1">
      <c r="A8" s="3247">
        <v>7</v>
      </c>
      <c r="B8" s="3247" t="s">
        <v>3432</v>
      </c>
      <c r="C8" s="3247" t="s">
        <v>3404</v>
      </c>
      <c r="D8" s="3247">
        <v>3722909</v>
      </c>
      <c r="E8" s="3243">
        <f>VLOOKUP(B8,[2]房间明细表!$E$1:$N$65536,7,0)</f>
        <v>140.6</v>
      </c>
      <c r="F8" s="3247"/>
      <c r="G8" s="3243">
        <f t="shared" si="0"/>
        <v>26478.726884779517</v>
      </c>
    </row>
    <row r="9" spans="1:9" s="3248" customFormat="1">
      <c r="A9" s="3249">
        <v>8</v>
      </c>
      <c r="B9" s="3249" t="s">
        <v>3431</v>
      </c>
      <c r="C9" s="3249" t="s">
        <v>3406</v>
      </c>
      <c r="D9" s="3249">
        <v>2696563</v>
      </c>
      <c r="E9" s="3248">
        <f>VLOOKUP(B9,[2]房间明细表!$E$1:$N$65536,7,0)</f>
        <v>127.64</v>
      </c>
      <c r="F9" s="3249"/>
      <c r="G9" s="3248">
        <f t="shared" si="0"/>
        <v>21126.316201817612</v>
      </c>
    </row>
    <row r="10" spans="1:9" s="3248" customFormat="1">
      <c r="A10" s="3249">
        <v>9</v>
      </c>
      <c r="B10" s="3249" t="s">
        <v>3430</v>
      </c>
      <c r="C10" s="3249" t="s">
        <v>3406</v>
      </c>
      <c r="D10" s="3249">
        <v>2728809</v>
      </c>
      <c r="E10" s="3248">
        <f>VLOOKUP(B10,[2]房间明细表!$E$1:$N$65536,7,0)</f>
        <v>127.64</v>
      </c>
      <c r="F10" s="3249"/>
      <c r="G10" s="3248">
        <f t="shared" si="0"/>
        <v>21378.948605452835</v>
      </c>
    </row>
    <row r="11" spans="1:9" s="3248" customFormat="1">
      <c r="A11" s="3249">
        <v>10</v>
      </c>
      <c r="B11" s="3249" t="s">
        <v>3429</v>
      </c>
      <c r="C11" s="3249" t="s">
        <v>3406</v>
      </c>
      <c r="D11" s="3249">
        <v>2685610</v>
      </c>
      <c r="E11" s="3248">
        <f>VLOOKUP(B11,[2]房间明细表!$E$1:$N$65536,7,0)</f>
        <v>128.79</v>
      </c>
      <c r="F11" s="3249"/>
      <c r="G11" s="3248">
        <f t="shared" si="0"/>
        <v>20852.628309651373</v>
      </c>
    </row>
    <row r="12" spans="1:9" s="3248" customFormat="1">
      <c r="A12" s="3249">
        <v>11</v>
      </c>
      <c r="B12" s="3249" t="s">
        <v>3428</v>
      </c>
      <c r="C12" s="3249" t="s">
        <v>3406</v>
      </c>
      <c r="D12" s="3249">
        <v>2704624</v>
      </c>
      <c r="E12" s="3248">
        <f>VLOOKUP(B12,[2]房间明细表!$E$1:$N$65536,7,0)</f>
        <v>127.64</v>
      </c>
      <c r="F12" s="3249"/>
      <c r="G12" s="3248">
        <f t="shared" si="0"/>
        <v>21189.470385459103</v>
      </c>
    </row>
    <row r="13" spans="1:9" s="3248" customFormat="1">
      <c r="A13" s="3249">
        <v>12</v>
      </c>
      <c r="B13" s="3249" t="s">
        <v>3427</v>
      </c>
      <c r="C13" s="3249" t="s">
        <v>3406</v>
      </c>
      <c r="D13" s="3249">
        <v>2766429</v>
      </c>
      <c r="E13" s="3248">
        <f>VLOOKUP(B13,[2]房间明细表!$E$1:$N$65536,7,0)</f>
        <v>127.64</v>
      </c>
      <c r="F13" s="3249"/>
      <c r="G13" s="3248">
        <f t="shared" si="0"/>
        <v>21673.683798182388</v>
      </c>
    </row>
    <row r="14" spans="1:9" s="3248" customFormat="1">
      <c r="A14" s="3249">
        <v>13</v>
      </c>
      <c r="B14" s="3249" t="s">
        <v>3426</v>
      </c>
      <c r="C14" s="3249" t="s">
        <v>3406</v>
      </c>
      <c r="D14" s="3249">
        <v>2723570</v>
      </c>
      <c r="E14" s="3248">
        <f>VLOOKUP(B14,[2]房间明细表!$E$1:$N$65536,7,0)</f>
        <v>128.79</v>
      </c>
      <c r="F14" s="3249"/>
      <c r="G14" s="3248">
        <f t="shared" si="0"/>
        <v>21147.371690348631</v>
      </c>
    </row>
    <row r="15" spans="1:9" s="3248" customFormat="1">
      <c r="A15" s="3249">
        <v>14</v>
      </c>
      <c r="B15" s="3249" t="s">
        <v>3425</v>
      </c>
      <c r="C15" s="3249" t="s">
        <v>3406</v>
      </c>
      <c r="D15" s="3249">
        <v>2528351</v>
      </c>
      <c r="E15" s="3248">
        <f>VLOOKUP(B15,[2]房间明细表!$E$1:$N$65536,7,0)</f>
        <v>128.79</v>
      </c>
      <c r="F15" s="3249"/>
      <c r="G15" s="3248">
        <f t="shared" si="0"/>
        <v>19631.578538706424</v>
      </c>
    </row>
    <row r="16" spans="1:9" s="3248" customFormat="1">
      <c r="A16" s="3249">
        <v>15</v>
      </c>
      <c r="B16" s="3249" t="s">
        <v>3424</v>
      </c>
      <c r="C16" s="3249" t="s">
        <v>3406</v>
      </c>
      <c r="D16" s="3249">
        <v>2586389</v>
      </c>
      <c r="E16" s="3248">
        <f>VLOOKUP(B16,[2]房间明细表!$E$1:$N$65536,7,0)</f>
        <v>127.64</v>
      </c>
      <c r="F16" s="3249"/>
      <c r="G16" s="3248">
        <f t="shared" si="0"/>
        <v>20263.154183641491</v>
      </c>
    </row>
    <row r="17" spans="1:7" s="3248" customFormat="1">
      <c r="A17" s="3249">
        <v>16</v>
      </c>
      <c r="B17" s="3249" t="s">
        <v>3423</v>
      </c>
      <c r="C17" s="3249" t="s">
        <v>3406</v>
      </c>
      <c r="D17" s="3249">
        <v>2631383</v>
      </c>
      <c r="E17" s="3248">
        <f>VLOOKUP(B17,[2]房间明细表!$E$1:$N$65536,7,0)</f>
        <v>128.79</v>
      </c>
      <c r="F17" s="3249"/>
      <c r="G17" s="3248">
        <f t="shared" si="0"/>
        <v>20431.578538706424</v>
      </c>
    </row>
    <row r="18" spans="1:7" s="3248" customFormat="1">
      <c r="A18" s="3249">
        <v>17</v>
      </c>
      <c r="B18" s="3249" t="s">
        <v>3422</v>
      </c>
      <c r="C18" s="3249" t="s">
        <v>3406</v>
      </c>
      <c r="D18" s="3249">
        <v>2642229</v>
      </c>
      <c r="E18" s="3248">
        <f>VLOOKUP(B18,[2]房间明细表!$E$1:$N$65536,7,0)</f>
        <v>128.79</v>
      </c>
      <c r="F18" s="3249"/>
      <c r="G18" s="3248">
        <f t="shared" si="0"/>
        <v>20515.79315164221</v>
      </c>
    </row>
    <row r="19" spans="1:7" s="3243" customFormat="1">
      <c r="A19" s="3247">
        <v>18</v>
      </c>
      <c r="B19" s="3247" t="s">
        <v>3421</v>
      </c>
      <c r="C19" s="3247" t="s">
        <v>3404</v>
      </c>
      <c r="D19" s="3247">
        <v>3683312</v>
      </c>
      <c r="E19" s="3243">
        <f>VLOOKUP(B19,[2]房间明细表!$E$1:$N$65536,7,0)</f>
        <v>143.19999999999999</v>
      </c>
      <c r="F19" s="3247"/>
      <c r="G19" s="3243">
        <f t="shared" si="0"/>
        <v>25721.452513966484</v>
      </c>
    </row>
    <row r="20" spans="1:7" s="3243" customFormat="1">
      <c r="A20" s="3247">
        <v>19</v>
      </c>
      <c r="B20" s="3247" t="s">
        <v>3420</v>
      </c>
      <c r="C20" s="3247" t="s">
        <v>3404</v>
      </c>
      <c r="D20" s="3247">
        <v>3517284</v>
      </c>
      <c r="E20" s="3243">
        <f>VLOOKUP(B20,[2]房间明细表!$E$1:$N$65536,7,0)</f>
        <v>146.83000000000001</v>
      </c>
      <c r="F20" s="3247"/>
      <c r="G20" s="3243">
        <f t="shared" si="0"/>
        <v>23954.804876387658</v>
      </c>
    </row>
    <row r="21" spans="1:7" s="3243" customFormat="1">
      <c r="A21" s="3247">
        <v>20</v>
      </c>
      <c r="B21" s="3247" t="s">
        <v>3419</v>
      </c>
      <c r="C21" s="3247" t="s">
        <v>3404</v>
      </c>
      <c r="D21" s="3247">
        <v>3415182</v>
      </c>
      <c r="E21" s="3243">
        <f>VLOOKUP(B21,[2]房间明细表!$E$1:$N$65536,7,0)</f>
        <v>140.6</v>
      </c>
      <c r="F21" s="3247"/>
      <c r="G21" s="3243">
        <f t="shared" si="0"/>
        <v>24290.056899004267</v>
      </c>
    </row>
    <row r="22" spans="1:7" s="3248" customFormat="1">
      <c r="A22" s="3249">
        <v>21</v>
      </c>
      <c r="B22" s="3249" t="s">
        <v>3418</v>
      </c>
      <c r="C22" s="3249" t="s">
        <v>3406</v>
      </c>
      <c r="D22" s="3249">
        <v>2648632</v>
      </c>
      <c r="E22" s="3248">
        <f>VLOOKUP(B22,[2]房间明细表!$E$1:$N$65536,7,0)</f>
        <v>128.79</v>
      </c>
      <c r="F22" s="3249"/>
      <c r="G22" s="3248">
        <f t="shared" si="0"/>
        <v>20565.509744545387</v>
      </c>
    </row>
    <row r="23" spans="1:7" s="3248" customFormat="1">
      <c r="A23" s="3249">
        <v>22</v>
      </c>
      <c r="B23" s="3249" t="s">
        <v>3417</v>
      </c>
      <c r="C23" s="3249" t="s">
        <v>3406</v>
      </c>
      <c r="D23" s="3249">
        <v>2618221</v>
      </c>
      <c r="E23" s="3248">
        <f>VLOOKUP(B23,[2]房间明细表!$E$1:$N$65536,7,0)</f>
        <v>127.64</v>
      </c>
      <c r="F23" s="3249"/>
      <c r="G23" s="3248">
        <f t="shared" si="0"/>
        <v>20512.543089940456</v>
      </c>
    </row>
    <row r="24" spans="1:7" s="3248" customFormat="1">
      <c r="A24" s="3249">
        <v>23</v>
      </c>
      <c r="B24" s="3249" t="s">
        <v>3416</v>
      </c>
      <c r="C24" s="3249" t="s">
        <v>3406</v>
      </c>
      <c r="D24" s="3249">
        <v>2655634</v>
      </c>
      <c r="E24" s="3248">
        <f>VLOOKUP(B24,[2]房间明细表!$E$1:$N$65536,7,0)</f>
        <v>128.79</v>
      </c>
      <c r="F24" s="3249"/>
      <c r="G24" s="3248">
        <f t="shared" si="0"/>
        <v>20619.877319667678</v>
      </c>
    </row>
    <row r="25" spans="1:7" s="3248" customFormat="1">
      <c r="A25" s="3249">
        <v>24</v>
      </c>
      <c r="B25" s="3249" t="s">
        <v>3415</v>
      </c>
      <c r="C25" s="3249" t="s">
        <v>3406</v>
      </c>
      <c r="D25" s="3249">
        <v>2634628</v>
      </c>
      <c r="E25" s="3248">
        <f>VLOOKUP(B25,[2]房间明细表!$E$1:$N$65536,7,0)</f>
        <v>128.79</v>
      </c>
      <c r="F25" s="3249"/>
      <c r="G25" s="3248">
        <f t="shared" si="0"/>
        <v>20456.774594300801</v>
      </c>
    </row>
    <row r="26" spans="1:7" s="3248" customFormat="1">
      <c r="A26" s="3249">
        <v>25</v>
      </c>
      <c r="B26" s="3249" t="s">
        <v>3414</v>
      </c>
      <c r="C26" s="3249" t="s">
        <v>3406</v>
      </c>
      <c r="D26" s="3249">
        <v>2669637</v>
      </c>
      <c r="E26" s="3248">
        <f>VLOOKUP(B26,[2]房间明细表!$E$1:$N$65536,7,0)</f>
        <v>128.79</v>
      </c>
      <c r="F26" s="3249"/>
      <c r="G26" s="3248">
        <f t="shared" si="0"/>
        <v>20728.604705334266</v>
      </c>
    </row>
    <row r="27" spans="1:7" s="3248" customFormat="1">
      <c r="A27" s="3249">
        <v>26</v>
      </c>
      <c r="B27" s="3249" t="s">
        <v>3413</v>
      </c>
      <c r="C27" s="3249" t="s">
        <v>3406</v>
      </c>
      <c r="D27" s="3249">
        <v>2639039</v>
      </c>
      <c r="E27" s="3248">
        <f>VLOOKUP(B27,[2]房间明细表!$E$1:$N$65536,7,0)</f>
        <v>127.64</v>
      </c>
      <c r="F27" s="3249"/>
      <c r="G27" s="3248">
        <f t="shared" si="0"/>
        <v>20675.642431839547</v>
      </c>
    </row>
    <row r="28" spans="1:7" s="3248" customFormat="1">
      <c r="A28" s="3249">
        <v>27</v>
      </c>
      <c r="B28" s="3249" t="s">
        <v>3412</v>
      </c>
      <c r="C28" s="3249" t="s">
        <v>3406</v>
      </c>
      <c r="D28" s="3249">
        <v>2690643</v>
      </c>
      <c r="E28" s="3248">
        <f>VLOOKUP(B28,[2]房间明细表!$E$1:$N$65536,7,0)</f>
        <v>128.79</v>
      </c>
      <c r="F28" s="3249"/>
      <c r="G28" s="3248">
        <f t="shared" si="0"/>
        <v>20891.707430701143</v>
      </c>
    </row>
    <row r="29" spans="1:7" s="3248" customFormat="1">
      <c r="A29" s="3249">
        <v>28</v>
      </c>
      <c r="B29" s="3249" t="s">
        <v>3411</v>
      </c>
      <c r="C29" s="3249" t="s">
        <v>3406</v>
      </c>
      <c r="D29" s="3249">
        <v>2564610</v>
      </c>
      <c r="E29" s="3248">
        <f>VLOOKUP(B29,[2]房间明细表!$E$1:$N$65536,7,0)</f>
        <v>128.79</v>
      </c>
      <c r="F29" s="3249"/>
      <c r="G29" s="3248">
        <f t="shared" si="0"/>
        <v>19913.114372233871</v>
      </c>
    </row>
    <row r="30" spans="1:7" s="3248" customFormat="1">
      <c r="A30" s="3249">
        <v>29</v>
      </c>
      <c r="B30" s="3249" t="s">
        <v>3410</v>
      </c>
      <c r="C30" s="3249" t="s">
        <v>3406</v>
      </c>
      <c r="D30" s="3249">
        <v>2632099</v>
      </c>
      <c r="E30" s="3248">
        <f>VLOOKUP(B30,[2]房间明细表!$E$1:$N$65536,7,0)</f>
        <v>127.64</v>
      </c>
      <c r="F30" s="3249"/>
      <c r="G30" s="3248">
        <f t="shared" si="0"/>
        <v>20621.270761516767</v>
      </c>
    </row>
    <row r="31" spans="1:7" s="3248" customFormat="1">
      <c r="A31" s="3249">
        <v>30</v>
      </c>
      <c r="B31" s="3249" t="s">
        <v>3409</v>
      </c>
      <c r="C31" s="3249" t="s">
        <v>3406</v>
      </c>
      <c r="D31" s="3249">
        <v>2634628</v>
      </c>
      <c r="E31" s="3248">
        <f>VLOOKUP(B31,[2]房间明细表!$E$1:$N$65536,7,0)</f>
        <v>128.79</v>
      </c>
      <c r="F31" s="3249"/>
      <c r="G31" s="3248">
        <f t="shared" si="0"/>
        <v>20456.774594300801</v>
      </c>
    </row>
    <row r="32" spans="1:7" s="3248" customFormat="1">
      <c r="A32" s="3249">
        <v>31</v>
      </c>
      <c r="B32" s="3249" t="s">
        <v>3408</v>
      </c>
      <c r="C32" s="3249" t="s">
        <v>3406</v>
      </c>
      <c r="D32" s="3249">
        <v>2604342</v>
      </c>
      <c r="E32" s="3248">
        <f>VLOOKUP(B32,[2]房间明细表!$E$1:$N$65536,7,0)</f>
        <v>127.64</v>
      </c>
      <c r="F32" s="3249"/>
      <c r="G32" s="3248">
        <f t="shared" si="0"/>
        <v>20403.807583829519</v>
      </c>
    </row>
    <row r="33" spans="1:8" s="3248" customFormat="1">
      <c r="A33" s="3249">
        <v>32</v>
      </c>
      <c r="B33" s="3249" t="s">
        <v>3407</v>
      </c>
      <c r="C33" s="3249" t="s">
        <v>3406</v>
      </c>
      <c r="D33" s="3249">
        <v>2639039</v>
      </c>
      <c r="E33" s="3248">
        <f>VLOOKUP(B33,[2]房间明细表!$E$1:$N$65536,7,0)</f>
        <v>127.64</v>
      </c>
      <c r="F33" s="3249"/>
      <c r="G33" s="3248">
        <f t="shared" si="0"/>
        <v>20675.642431839547</v>
      </c>
    </row>
    <row r="34" spans="1:8" s="3243" customFormat="1">
      <c r="A34" s="3247">
        <v>33</v>
      </c>
      <c r="B34" s="3247" t="s">
        <v>3405</v>
      </c>
      <c r="C34" s="3247" t="s">
        <v>3404</v>
      </c>
      <c r="D34" s="3247">
        <v>3765680</v>
      </c>
      <c r="E34" s="3243">
        <f>VLOOKUP(B34,[2]房间明细表!$E$1:$N$65536,7,0)</f>
        <v>143.19999999999999</v>
      </c>
      <c r="F34" s="3247"/>
      <c r="G34" s="3243">
        <f t="shared" ref="G34:G52" si="1">D34/E34</f>
        <v>26296.648044692738</v>
      </c>
    </row>
    <row r="35" spans="1:8" s="3245" customFormat="1">
      <c r="A35" s="3246">
        <v>34</v>
      </c>
      <c r="B35" s="3246" t="s">
        <v>3403</v>
      </c>
      <c r="C35" s="3246" t="s">
        <v>3385</v>
      </c>
      <c r="D35" s="3246"/>
      <c r="E35" s="3251">
        <v>92.23</v>
      </c>
      <c r="F35" s="3246" t="s">
        <v>3384</v>
      </c>
      <c r="G35" s="3245">
        <f t="shared" si="1"/>
        <v>0</v>
      </c>
      <c r="H35" s="3245" t="s">
        <v>3450</v>
      </c>
    </row>
    <row r="36" spans="1:8" s="3245" customFormat="1">
      <c r="A36" s="3246">
        <v>35</v>
      </c>
      <c r="B36" s="3246" t="s">
        <v>3402</v>
      </c>
      <c r="C36" s="3246" t="s">
        <v>3385</v>
      </c>
      <c r="D36" s="3246"/>
      <c r="E36" s="3251">
        <v>92.23</v>
      </c>
      <c r="F36" s="3246" t="s">
        <v>3384</v>
      </c>
      <c r="G36" s="3245">
        <f t="shared" si="1"/>
        <v>0</v>
      </c>
      <c r="H36" s="3245" t="s">
        <v>3450</v>
      </c>
    </row>
    <row r="37" spans="1:8" s="3245" customFormat="1">
      <c r="A37" s="3246">
        <v>36</v>
      </c>
      <c r="B37" s="3246" t="s">
        <v>3401</v>
      </c>
      <c r="C37" s="3246" t="s">
        <v>3385</v>
      </c>
      <c r="D37" s="3246">
        <v>2349522</v>
      </c>
      <c r="E37" s="3245">
        <f>VLOOKUP(B37,[2]房间明细表!$E$1:$N$65536,7,0)</f>
        <v>109.75</v>
      </c>
      <c r="F37" s="3246"/>
      <c r="G37" s="3245">
        <f t="shared" si="1"/>
        <v>21407.945330296126</v>
      </c>
    </row>
    <row r="38" spans="1:8" s="3245" customFormat="1">
      <c r="A38" s="3246">
        <v>37</v>
      </c>
      <c r="B38" s="3246" t="s">
        <v>3400</v>
      </c>
      <c r="C38" s="3246" t="s">
        <v>3385</v>
      </c>
      <c r="D38" s="3246">
        <v>2301788</v>
      </c>
      <c r="E38" s="3245">
        <f>VLOOKUP(B38,[2]房间明细表!$E$1:$N$65536,7,0)</f>
        <v>109.75</v>
      </c>
      <c r="F38" s="3246"/>
      <c r="G38" s="3245">
        <f t="shared" si="1"/>
        <v>20973.011389521642</v>
      </c>
    </row>
    <row r="39" spans="1:8" s="3245" customFormat="1">
      <c r="A39" s="3246">
        <v>38</v>
      </c>
      <c r="B39" s="3246" t="s">
        <v>3399</v>
      </c>
      <c r="C39" s="3246" t="s">
        <v>3385</v>
      </c>
      <c r="D39" s="3246">
        <v>2337589</v>
      </c>
      <c r="E39" s="3245">
        <f>VLOOKUP(B39,[2]房间明细表!$E$1:$N$65536,7,0)</f>
        <v>109.75</v>
      </c>
      <c r="F39" s="3246"/>
      <c r="G39" s="3245">
        <f t="shared" si="1"/>
        <v>21299.216400911162</v>
      </c>
    </row>
    <row r="40" spans="1:8" s="3245" customFormat="1">
      <c r="A40" s="3246">
        <v>39</v>
      </c>
      <c r="B40" s="3246" t="s">
        <v>3398</v>
      </c>
      <c r="C40" s="3246" t="s">
        <v>3385</v>
      </c>
      <c r="D40" s="3246">
        <v>2409189</v>
      </c>
      <c r="E40" s="3245">
        <f>VLOOKUP(B40,[2]房间明细表!$E$1:$N$65536,7,0)</f>
        <v>109.75</v>
      </c>
      <c r="F40" s="3246"/>
      <c r="G40" s="3245">
        <f t="shared" si="1"/>
        <v>21951.608200455579</v>
      </c>
    </row>
    <row r="41" spans="1:8" s="3245" customFormat="1">
      <c r="A41" s="3246">
        <v>40</v>
      </c>
      <c r="B41" s="3246" t="s">
        <v>3397</v>
      </c>
      <c r="C41" s="3246" t="s">
        <v>3385</v>
      </c>
      <c r="D41" s="3246"/>
      <c r="E41" s="3251">
        <v>92.23</v>
      </c>
      <c r="F41" s="3246" t="s">
        <v>3384</v>
      </c>
      <c r="G41" s="3245">
        <f t="shared" si="1"/>
        <v>0</v>
      </c>
      <c r="H41" s="3245" t="s">
        <v>3450</v>
      </c>
    </row>
    <row r="42" spans="1:8" s="3245" customFormat="1">
      <c r="A42" s="3246">
        <v>41</v>
      </c>
      <c r="B42" s="3246" t="s">
        <v>3396</v>
      </c>
      <c r="C42" s="3246" t="s">
        <v>3385</v>
      </c>
      <c r="D42" s="3246"/>
      <c r="E42" s="3251">
        <v>92.23</v>
      </c>
      <c r="F42" s="3246" t="s">
        <v>3384</v>
      </c>
      <c r="G42" s="3245">
        <f t="shared" si="1"/>
        <v>0</v>
      </c>
      <c r="H42" s="3245" t="s">
        <v>3450</v>
      </c>
    </row>
    <row r="43" spans="1:8" s="3245" customFormat="1">
      <c r="A43" s="3246">
        <v>42</v>
      </c>
      <c r="B43" s="3246" t="s">
        <v>3395</v>
      </c>
      <c r="C43" s="3246" t="s">
        <v>3385</v>
      </c>
      <c r="D43" s="3246">
        <v>1797136</v>
      </c>
      <c r="E43" s="3245">
        <f>VLOOKUP(B43,[2]房间明细表!$E$1:$N$65536,7,0)</f>
        <v>92.23</v>
      </c>
      <c r="F43" s="3246"/>
      <c r="G43" s="3245">
        <f t="shared" si="1"/>
        <v>19485.373522714952</v>
      </c>
    </row>
    <row r="44" spans="1:8" s="3245" customFormat="1">
      <c r="A44" s="3246">
        <v>43</v>
      </c>
      <c r="B44" s="3246" t="s">
        <v>3394</v>
      </c>
      <c r="C44" s="3246" t="s">
        <v>3385</v>
      </c>
      <c r="D44" s="3246">
        <v>2265988</v>
      </c>
      <c r="E44" s="3245">
        <f>VLOOKUP(B44,[2]房间明细表!$E$1:$N$65536,7,0)</f>
        <v>109.75</v>
      </c>
      <c r="F44" s="3246"/>
      <c r="G44" s="3245">
        <f t="shared" si="1"/>
        <v>20646.815489749431</v>
      </c>
    </row>
    <row r="45" spans="1:8" s="3245" customFormat="1">
      <c r="A45" s="3246">
        <v>44</v>
      </c>
      <c r="B45" s="3246" t="s">
        <v>3393</v>
      </c>
      <c r="C45" s="3246" t="s">
        <v>3385</v>
      </c>
      <c r="D45" s="3246">
        <v>2254055</v>
      </c>
      <c r="E45" s="3245">
        <f>VLOOKUP(B45,[2]房间明细表!$E$1:$N$65536,7,0)</f>
        <v>109.75</v>
      </c>
      <c r="F45" s="3246"/>
      <c r="G45" s="3245">
        <f t="shared" si="1"/>
        <v>20538.086560364463</v>
      </c>
    </row>
    <row r="46" spans="1:8" s="3245" customFormat="1">
      <c r="A46" s="3246">
        <v>45</v>
      </c>
      <c r="B46" s="3246" t="s">
        <v>3392</v>
      </c>
      <c r="C46" s="3246" t="s">
        <v>3385</v>
      </c>
      <c r="D46" s="3246">
        <v>2283888</v>
      </c>
      <c r="E46" s="3245">
        <f>VLOOKUP(B46,[2]房间明细表!$E$1:$N$65536,7,0)</f>
        <v>109.75</v>
      </c>
      <c r="F46" s="3246"/>
      <c r="G46" s="3245">
        <f t="shared" si="1"/>
        <v>20809.913439635537</v>
      </c>
    </row>
    <row r="47" spans="1:8" s="3245" customFormat="1">
      <c r="A47" s="3246">
        <v>46</v>
      </c>
      <c r="B47" s="3246" t="s">
        <v>3391</v>
      </c>
      <c r="C47" s="3246" t="s">
        <v>3385</v>
      </c>
      <c r="D47" s="3246">
        <v>2325655</v>
      </c>
      <c r="E47" s="3245">
        <f>VLOOKUP(B47,[2]房间明细表!$E$1:$N$65536,7,0)</f>
        <v>109.75</v>
      </c>
      <c r="F47" s="3246"/>
      <c r="G47" s="3245">
        <f t="shared" si="1"/>
        <v>21190.478359908884</v>
      </c>
    </row>
    <row r="48" spans="1:8">
      <c r="A48" s="3241">
        <v>47</v>
      </c>
      <c r="B48" s="3244" t="s">
        <v>3390</v>
      </c>
      <c r="C48" s="3241" t="s">
        <v>3385</v>
      </c>
      <c r="D48" s="3241"/>
      <c r="E48" s="3251">
        <v>92.23</v>
      </c>
      <c r="F48" s="3244" t="s">
        <v>3384</v>
      </c>
      <c r="G48" s="3243">
        <f t="shared" si="1"/>
        <v>0</v>
      </c>
      <c r="H48" s="3245" t="s">
        <v>3450</v>
      </c>
    </row>
    <row r="49" spans="1:8">
      <c r="A49" s="3241">
        <v>48</v>
      </c>
      <c r="B49" s="3244" t="s">
        <v>3389</v>
      </c>
      <c r="C49" s="3241" t="s">
        <v>3385</v>
      </c>
      <c r="D49" s="3241"/>
      <c r="E49" s="3251">
        <v>92.23</v>
      </c>
      <c r="F49" s="3244" t="s">
        <v>3384</v>
      </c>
      <c r="G49" s="3243">
        <f t="shared" si="1"/>
        <v>0</v>
      </c>
      <c r="H49" s="3245" t="s">
        <v>3450</v>
      </c>
    </row>
    <row r="50" spans="1:8">
      <c r="A50" s="3241">
        <v>49</v>
      </c>
      <c r="B50" s="3244" t="s">
        <v>3388</v>
      </c>
      <c r="C50" s="3241" t="s">
        <v>3385</v>
      </c>
      <c r="D50" s="3241"/>
      <c r="E50" s="3251">
        <v>92.23</v>
      </c>
      <c r="F50" s="3244" t="s">
        <v>3384</v>
      </c>
      <c r="G50" s="3243">
        <f t="shared" si="1"/>
        <v>0</v>
      </c>
      <c r="H50" s="3245" t="s">
        <v>3450</v>
      </c>
    </row>
    <row r="51" spans="1:8">
      <c r="A51" s="3241">
        <v>50</v>
      </c>
      <c r="B51" s="3244" t="s">
        <v>3387</v>
      </c>
      <c r="C51" s="3241" t="s">
        <v>3385</v>
      </c>
      <c r="D51" s="3241"/>
      <c r="E51" s="3251">
        <v>92.23</v>
      </c>
      <c r="F51" s="3244" t="s">
        <v>3384</v>
      </c>
      <c r="G51" s="3243">
        <f t="shared" si="1"/>
        <v>0</v>
      </c>
      <c r="H51" s="3245" t="s">
        <v>3450</v>
      </c>
    </row>
    <row r="52" spans="1:8">
      <c r="A52" s="3241">
        <v>51</v>
      </c>
      <c r="B52" s="3244" t="s">
        <v>3386</v>
      </c>
      <c r="C52" s="3241" t="s">
        <v>3385</v>
      </c>
      <c r="D52" s="3241"/>
      <c r="E52" s="3251">
        <v>92.23</v>
      </c>
      <c r="F52" s="3244" t="s">
        <v>3384</v>
      </c>
      <c r="G52" s="3243">
        <f t="shared" si="1"/>
        <v>0</v>
      </c>
      <c r="H52" s="3245" t="s">
        <v>3450</v>
      </c>
    </row>
    <row r="53" spans="1:8">
      <c r="A53" s="3242" t="s">
        <v>37</v>
      </c>
      <c r="D53" s="3241">
        <f>SUM(D2:D52)</f>
        <v>118936704</v>
      </c>
    </row>
  </sheetData>
  <phoneticPr fontId="1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31" sqref="H31"/>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3" customWidth="1"/>
    <col min="12" max="13" width="10" style="2804"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8" t="s">
        <v>2667</v>
      </c>
      <c r="B1" s="3301" t="str">
        <f>IF(B10="北京市","北京市",C10)&amp;F10&amp;IF(结果表!G1="在建","出让国有建设用地使用权及在建建筑物",IF(结果表!G1="土地","出让国有建设用地使用权",))&amp;B9&amp;"预评估"</f>
        <v>出让国有建设用地使用权及在建建筑物房地产抵押价值预评估</v>
      </c>
      <c r="C1" s="3302"/>
      <c r="D1" s="3302"/>
      <c r="E1" s="3302"/>
      <c r="F1" s="3302"/>
      <c r="G1" s="3302"/>
      <c r="H1" s="3302"/>
      <c r="I1" s="3303"/>
      <c r="J1" s="2645"/>
      <c r="K1" s="2540"/>
      <c r="L1" s="2541"/>
      <c r="M1" s="2541"/>
      <c r="N1" s="2542"/>
      <c r="O1" s="1711"/>
      <c r="P1" s="2542"/>
      <c r="Q1" s="2542"/>
      <c r="R1" s="2542"/>
      <c r="S1" s="1818" t="str">
        <f>IF(B10="北京市","北京市",C10)&amp;F10&amp;IF(结果表!G1="在建","出让国有建设用地使用权及在建建筑物房地产抵押价值",IF(结果表!G1="土地","出让国有建设用地使用权抵押价值",B9))</f>
        <v>出让国有建设用地使用权及在建建筑物房地产抵押价值</v>
      </c>
      <c r="T1" s="1881"/>
      <c r="U1" s="1881"/>
      <c r="V1" s="1881"/>
      <c r="W1" s="1881"/>
      <c r="X1" s="1881"/>
      <c r="Y1" s="1881"/>
      <c r="Z1" s="1881"/>
      <c r="AA1" s="1881"/>
      <c r="AB1" s="1881"/>
    </row>
    <row r="2" spans="1:28">
      <c r="A2" s="2539" t="s">
        <v>2668</v>
      </c>
      <c r="B2" s="2543"/>
      <c r="C2" s="2544"/>
      <c r="D2" s="2847"/>
      <c r="E2" s="2837"/>
      <c r="F2" s="2837"/>
      <c r="G2" s="2838"/>
      <c r="H2" s="2838"/>
      <c r="I2" s="2838"/>
      <c r="J2" s="2645"/>
      <c r="K2" s="2540"/>
      <c r="L2" s="2541"/>
      <c r="M2" s="2541"/>
      <c r="N2" s="2542"/>
      <c r="O2" s="1711"/>
      <c r="P2" s="2542"/>
      <c r="Q2" s="2542"/>
      <c r="R2" s="2542"/>
      <c r="S2" s="1818" t="str">
        <f>IF(B10="北京市","北京市",C10)&amp;F10&amp;IF(结果表!G1="在建","出让国有建设用地使用权及在建建筑物房地产",IF(结果表!G1="土地","出让国有建设用地使用权","房地产"))</f>
        <v>出让国有建设用地使用权及在建建筑物房地产</v>
      </c>
      <c r="T2" s="1881"/>
      <c r="U2" s="1881"/>
      <c r="V2" s="1881"/>
      <c r="W2" s="1881"/>
      <c r="X2" s="1881"/>
      <c r="Y2" s="1881"/>
      <c r="Z2" s="1881"/>
      <c r="AA2" s="1881"/>
      <c r="AB2" s="1881"/>
    </row>
    <row r="3" spans="1:28">
      <c r="A3" s="308" t="s">
        <v>2669</v>
      </c>
      <c r="B3" s="2545">
        <v>44915</v>
      </c>
      <c r="C3" s="2546" t="s">
        <v>2670</v>
      </c>
      <c r="D3" s="2545">
        <f>B3</f>
        <v>44915</v>
      </c>
      <c r="E3" s="2838"/>
      <c r="F3" s="2838"/>
      <c r="G3" s="2838"/>
      <c r="H3" s="2838"/>
      <c r="I3" s="2838"/>
      <c r="J3" s="2645"/>
      <c r="K3" s="2540"/>
      <c r="L3" s="2541"/>
      <c r="M3" s="2541"/>
      <c r="N3" s="2542"/>
      <c r="O3" s="1711"/>
      <c r="P3" s="2542"/>
      <c r="Q3" s="2542"/>
      <c r="R3" s="2542"/>
      <c r="S3" s="1818"/>
      <c r="T3" s="1881"/>
      <c r="U3" s="1881"/>
      <c r="V3" s="1881"/>
      <c r="W3" s="1881"/>
      <c r="X3" s="1881"/>
      <c r="Y3" s="1881"/>
      <c r="Z3" s="1881"/>
      <c r="AA3" s="1881"/>
      <c r="AB3" s="1881"/>
    </row>
    <row r="4" spans="1:28" ht="13.5" thickBot="1">
      <c r="A4" s="1203" t="s">
        <v>2671</v>
      </c>
      <c r="B4" s="2547"/>
      <c r="C4" s="2548">
        <f>SUMIF(注册房地产估价师,B4,估价师及机构信息!B3:B24)</f>
        <v>0</v>
      </c>
      <c r="D4" s="2547"/>
      <c r="E4" s="2549">
        <f>SUMIF(注册房地产估价师,D4,估价师及机构信息!B3:B24)</f>
        <v>0</v>
      </c>
      <c r="F4" s="2547"/>
      <c r="G4" s="2549">
        <f>SUMIF(注册房地产估价师,F4,估价师及机构信息!B3:B24)</f>
        <v>0</v>
      </c>
      <c r="H4" s="2547"/>
      <c r="I4" s="2549">
        <f>SUMIF(注册房地产估价师,H4,估价师及机构信息!B3:B24)</f>
        <v>0</v>
      </c>
      <c r="J4" s="2613"/>
      <c r="K4" s="2550" t="str">
        <f>CONCATENATE(B4,"（注册号：",C4,")、",D4,"（注册号：",E4,")")</f>
        <v>（注册号：0)、（注册号：0)</v>
      </c>
      <c r="L4" s="2541"/>
      <c r="M4" s="2541"/>
      <c r="N4" s="2542"/>
      <c r="O4" s="1711"/>
      <c r="P4" s="2542"/>
      <c r="Q4" s="2542"/>
      <c r="R4" s="2542"/>
      <c r="S4" s="1818"/>
      <c r="T4" s="1881"/>
      <c r="U4" s="1881"/>
      <c r="V4" s="1881"/>
      <c r="W4" s="1881"/>
      <c r="X4" s="1881"/>
      <c r="Y4" s="1881"/>
      <c r="Z4" s="1881"/>
      <c r="AA4" s="1881"/>
      <c r="AB4" s="1881"/>
    </row>
    <row r="5" spans="1:28" ht="13.5" thickTop="1">
      <c r="A5" s="2551" t="s">
        <v>2672</v>
      </c>
      <c r="B5" s="2552"/>
      <c r="C5" s="2553"/>
      <c r="D5" s="2554"/>
      <c r="E5" s="2839"/>
      <c r="F5" s="2839"/>
      <c r="G5" s="2839"/>
      <c r="H5" s="2839"/>
      <c r="I5" s="2839"/>
      <c r="J5" s="2613"/>
      <c r="K5" s="2550" t="str">
        <f>IF(F4="——","",IF(H4="——",F4&amp;"（注册号："&amp;G4&amp;")",CONCATENATE(F4,"（注册号：",G4,")、",H4,"（注册号：",I4,")")))</f>
        <v>（注册号：0)、（注册号：0)</v>
      </c>
      <c r="L5" s="2541"/>
      <c r="M5" s="2541"/>
      <c r="N5" s="2542"/>
      <c r="O5" s="1711"/>
      <c r="P5" s="2542"/>
      <c r="Q5" s="2542"/>
      <c r="R5" s="2542"/>
      <c r="S5" s="1881"/>
      <c r="T5" s="1881"/>
      <c r="U5" s="1881"/>
      <c r="V5" s="1881"/>
      <c r="W5" s="1881"/>
      <c r="X5" s="1881"/>
      <c r="Y5" s="1881"/>
      <c r="Z5" s="1881"/>
      <c r="AA5" s="1881"/>
      <c r="AB5" s="1881"/>
    </row>
    <row r="6" spans="1:28">
      <c r="A6" s="2555" t="s">
        <v>2673</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2674</v>
      </c>
      <c r="B7" s="2559"/>
      <c r="C7" s="2557"/>
      <c r="D7" s="2558"/>
      <c r="E7" s="2837"/>
      <c r="F7" s="2839"/>
      <c r="G7" s="2839"/>
      <c r="H7" s="2839"/>
      <c r="I7" s="2839"/>
      <c r="J7" s="2613"/>
      <c r="K7" s="2790"/>
      <c r="L7" s="2787"/>
      <c r="M7" s="2787"/>
      <c r="N7" s="2613"/>
      <c r="O7" s="2624"/>
      <c r="P7" s="2613"/>
      <c r="Q7" s="2613"/>
      <c r="R7" s="2613"/>
    </row>
    <row r="8" spans="1:28">
      <c r="A8" s="2560" t="s">
        <v>2675</v>
      </c>
      <c r="B8" s="2561" t="s">
        <v>3452</v>
      </c>
      <c r="C8" s="2562"/>
      <c r="D8" s="3304" t="s">
        <v>2676</v>
      </c>
      <c r="E8" s="2563" t="s">
        <v>3453</v>
      </c>
      <c r="F8" s="2564"/>
      <c r="G8" s="2838"/>
      <c r="H8" s="2838"/>
      <c r="I8" s="2838"/>
      <c r="J8" s="2613"/>
      <c r="K8" s="2788"/>
      <c r="L8" s="2787"/>
      <c r="M8" s="2787"/>
      <c r="N8" s="2613"/>
      <c r="O8" s="2624"/>
      <c r="P8" s="2613"/>
      <c r="Q8" s="2613"/>
      <c r="R8" s="2613"/>
    </row>
    <row r="9" spans="1:28" ht="13.5" thickBot="1">
      <c r="A9" s="2565" t="s">
        <v>2677</v>
      </c>
      <c r="B9" s="2566" t="s">
        <v>3453</v>
      </c>
      <c r="C9" s="2567"/>
      <c r="D9" s="3305"/>
      <c r="E9" s="2566" t="s">
        <v>70</v>
      </c>
      <c r="F9" s="2568"/>
      <c r="G9" s="2840"/>
      <c r="H9" s="2840"/>
      <c r="I9" s="2840"/>
      <c r="J9" s="2613"/>
      <c r="K9" s="2790"/>
      <c r="L9" s="2787"/>
      <c r="M9" s="2787"/>
      <c r="N9" s="2613"/>
      <c r="O9" s="2624"/>
      <c r="P9" s="2613"/>
      <c r="Q9" s="2613"/>
      <c r="R9" s="2613"/>
    </row>
    <row r="10" spans="1:28" ht="13.5" thickTop="1">
      <c r="A10" s="2569" t="s">
        <v>2678</v>
      </c>
      <c r="B10" s="2570" t="s">
        <v>3454</v>
      </c>
      <c r="C10" s="2571"/>
      <c r="D10" s="2554"/>
      <c r="E10" s="2572" t="s">
        <v>2679</v>
      </c>
      <c r="F10" s="2841"/>
      <c r="G10" s="2842"/>
      <c r="H10" s="2843"/>
      <c r="I10" s="2844"/>
      <c r="J10" s="2613"/>
      <c r="K10" s="2790"/>
      <c r="L10" s="2787"/>
      <c r="M10" s="2787"/>
      <c r="N10" s="2613"/>
      <c r="O10" s="2624"/>
      <c r="P10" s="2613"/>
      <c r="Q10" s="2613"/>
      <c r="R10" s="2613"/>
    </row>
    <row r="11" spans="1:28">
      <c r="A11" s="2573" t="s">
        <v>2680</v>
      </c>
      <c r="B11" s="2574" t="s">
        <v>3455</v>
      </c>
      <c r="C11" s="2575"/>
      <c r="D11" s="2576"/>
      <c r="E11" s="2542"/>
      <c r="F11" s="2542"/>
      <c r="G11" s="2542"/>
      <c r="H11" s="2542"/>
      <c r="I11" s="2542"/>
      <c r="J11" s="2613"/>
      <c r="K11" s="2790"/>
      <c r="L11" s="2787"/>
      <c r="M11" s="2787"/>
      <c r="N11" s="2613"/>
      <c r="O11" s="2624"/>
      <c r="P11" s="2613"/>
      <c r="Q11" s="2613"/>
      <c r="R11" s="2613"/>
    </row>
    <row r="12" spans="1:28">
      <c r="A12" s="2577" t="s">
        <v>2681</v>
      </c>
      <c r="B12" s="2574" t="s">
        <v>3451</v>
      </c>
      <c r="C12" s="329" t="s">
        <v>2682</v>
      </c>
      <c r="D12" s="2578" t="s">
        <v>2683</v>
      </c>
      <c r="E12" s="2578" t="s">
        <v>2684</v>
      </c>
      <c r="F12" s="2578" t="s">
        <v>2685</v>
      </c>
      <c r="G12" s="2578" t="s">
        <v>2686</v>
      </c>
      <c r="H12" s="2578" t="s">
        <v>2687</v>
      </c>
      <c r="I12" s="2578" t="s">
        <v>2688</v>
      </c>
      <c r="J12" s="2613"/>
      <c r="K12" s="2790"/>
      <c r="L12" s="2787"/>
      <c r="M12" s="2787"/>
      <c r="N12" s="2613"/>
      <c r="O12" s="2624"/>
      <c r="P12" s="2613"/>
      <c r="Q12" s="2613"/>
      <c r="R12" s="2613"/>
    </row>
    <row r="13" spans="1:28">
      <c r="A13" s="1194"/>
      <c r="B13" s="2579"/>
      <c r="C13" s="2580" t="s">
        <v>2689</v>
      </c>
      <c r="D13" s="946">
        <v>69684</v>
      </c>
      <c r="E13" s="946"/>
      <c r="F13" s="946"/>
      <c r="G13" s="946"/>
      <c r="H13" s="946"/>
      <c r="I13" s="946"/>
      <c r="J13" s="2613"/>
      <c r="K13" s="2790"/>
      <c r="L13" s="2787"/>
      <c r="M13" s="2787"/>
      <c r="N13" s="2613"/>
      <c r="O13" s="2624"/>
      <c r="P13" s="2613"/>
      <c r="Q13" s="2613"/>
      <c r="R13" s="2613"/>
    </row>
    <row r="14" spans="1:28">
      <c r="A14" s="1194"/>
      <c r="B14" s="2579"/>
      <c r="C14" s="2580" t="s">
        <v>2690</v>
      </c>
      <c r="D14" s="2581">
        <v>70</v>
      </c>
      <c r="E14" s="2581"/>
      <c r="F14" s="2581"/>
      <c r="G14" s="2581"/>
      <c r="H14" s="2581"/>
      <c r="I14" s="2581"/>
      <c r="J14" s="2613"/>
      <c r="K14" s="2791"/>
      <c r="L14" s="2787"/>
      <c r="M14" s="2787"/>
      <c r="N14" s="2613"/>
      <c r="O14" s="2624"/>
      <c r="P14" s="2613"/>
      <c r="Q14" s="2613"/>
      <c r="R14" s="2613"/>
    </row>
    <row r="15" spans="1:28">
      <c r="A15" s="326"/>
      <c r="B15" s="2582"/>
      <c r="C15" s="2583" t="s">
        <v>2691</v>
      </c>
      <c r="D15" s="2584">
        <f>IF(B12="出让",IF(D13="","",ROUNDDOWN(MIN((D13-$D$3)/365,D14),2)),D14)</f>
        <v>67.86</v>
      </c>
      <c r="E15" s="2584" t="str">
        <f>IF(B12="出让",IF(E13="","",ROUNDDOWN(MIN((E13-$D$3)/365,E14),2)),E14)</f>
        <v/>
      </c>
      <c r="F15" s="2584" t="str">
        <f>IF(B12="出让",IF(F13="","",ROUNDDOWN(MIN((F13-$D$3)/365,F14),2)),F14)</f>
        <v/>
      </c>
      <c r="G15" s="2584" t="str">
        <f>IF(B12="出让",IF(G13="","",ROUNDDOWN(MIN((G13-$D$3)/365,G14),2)),G14)</f>
        <v/>
      </c>
      <c r="H15" s="2584" t="str">
        <f>IF(B12="出让",IF(H13="","",ROUNDDOWN(MIN((H13-$D$3)/365,H14),2)),H14)</f>
        <v/>
      </c>
      <c r="I15" s="2584" t="str">
        <f>IF(B12="出让",IF(I13="","",ROUNDDOWN(MIN((I13-$D$3)/365,I14),2)),I14)</f>
        <v/>
      </c>
      <c r="J15" s="2613"/>
      <c r="K15" s="2792"/>
      <c r="L15" s="2625"/>
      <c r="M15" s="2625"/>
      <c r="N15" s="2683"/>
      <c r="O15" s="2625"/>
      <c r="P15" s="2683"/>
      <c r="Q15" s="2613"/>
      <c r="R15" s="2613"/>
    </row>
    <row r="16" spans="1:28">
      <c r="A16" s="2572" t="s">
        <v>2692</v>
      </c>
      <c r="B16" s="3311"/>
      <c r="C16" s="3312"/>
      <c r="D16" s="3313"/>
      <c r="E16" s="2587" t="s">
        <v>2693</v>
      </c>
      <c r="F16" s="3314"/>
      <c r="G16" s="3315"/>
      <c r="H16" s="3315"/>
      <c r="I16" s="3316"/>
      <c r="J16" s="2613"/>
      <c r="K16" s="2792"/>
      <c r="L16" s="2625"/>
      <c r="M16" s="2625"/>
      <c r="N16" s="2683"/>
      <c r="O16" s="2625"/>
      <c r="P16" s="2683"/>
      <c r="Q16" s="2613"/>
      <c r="R16" s="2613"/>
    </row>
    <row r="17" spans="1:28">
      <c r="A17" s="319" t="s">
        <v>2694</v>
      </c>
      <c r="B17" s="308" t="s">
        <v>2695</v>
      </c>
      <c r="C17" s="11">
        <f>'数据-汇总表'!E3</f>
        <v>6199.09</v>
      </c>
      <c r="D17" s="2494" t="s">
        <v>2696</v>
      </c>
      <c r="E17" s="3317" t="s">
        <v>2697</v>
      </c>
      <c r="F17" s="3318"/>
      <c r="G17" s="3318"/>
      <c r="H17" s="3318"/>
      <c r="I17" s="3319"/>
      <c r="J17" s="2613"/>
      <c r="K17" s="2793"/>
      <c r="L17" s="2625"/>
      <c r="M17" s="2625"/>
      <c r="N17" s="2683"/>
      <c r="O17" s="2625"/>
      <c r="P17" s="2683"/>
      <c r="Q17" s="2613"/>
      <c r="R17" s="2613"/>
      <c r="S17" s="2613"/>
      <c r="T17" s="2613"/>
      <c r="U17" s="2613"/>
      <c r="V17" s="2613"/>
    </row>
    <row r="18" spans="1:28" ht="24.75" thickBot="1">
      <c r="A18" s="2588" t="s">
        <v>2698</v>
      </c>
      <c r="B18" s="1203" t="s">
        <v>2699</v>
      </c>
      <c r="C18" s="2589">
        <f>'数据-汇总表'!D3</f>
        <v>4132.7299999999996</v>
      </c>
      <c r="D18" s="1205" t="s">
        <v>2700</v>
      </c>
      <c r="E18" s="3320" t="s">
        <v>2701</v>
      </c>
      <c r="F18" s="3321"/>
      <c r="G18" s="3321"/>
      <c r="H18" s="3321"/>
      <c r="I18" s="3322"/>
      <c r="J18" s="2613"/>
      <c r="K18" s="2793"/>
      <c r="L18" s="2625"/>
      <c r="M18" s="2625"/>
      <c r="N18" s="2683"/>
      <c r="O18" s="2625"/>
      <c r="P18" s="2683"/>
      <c r="Q18" s="2613"/>
      <c r="R18" s="2613"/>
      <c r="S18" s="2613"/>
      <c r="T18" s="2613"/>
      <c r="U18" s="2613"/>
      <c r="V18" s="2613"/>
    </row>
    <row r="19" spans="1:28" ht="37.5" thickTop="1" thickBot="1">
      <c r="A19" s="333" t="s">
        <v>1500</v>
      </c>
      <c r="B19" s="313" t="s">
        <v>2702</v>
      </c>
      <c r="C19" s="1698"/>
      <c r="D19" s="1699" t="s">
        <v>2703</v>
      </c>
      <c r="E19" s="1700"/>
      <c r="F19" s="1701" t="str">
        <f>IF(AND(C19="是",E19="否"),"是否提供他项权证或相关说明","")</f>
        <v/>
      </c>
      <c r="G19" s="1702"/>
      <c r="H19" s="2839"/>
      <c r="I19" s="2839"/>
      <c r="J19" s="2613"/>
      <c r="K19" s="2790"/>
      <c r="L19" s="2787"/>
      <c r="M19" s="2787"/>
      <c r="N19" s="2683"/>
      <c r="O19" s="2625"/>
      <c r="P19" s="2683"/>
      <c r="Q19" s="2613"/>
      <c r="R19" s="2613"/>
      <c r="S19" s="2613"/>
      <c r="T19" s="2613"/>
      <c r="U19" s="2613"/>
      <c r="V19" s="2613"/>
    </row>
    <row r="20" spans="1:28">
      <c r="A20" s="2807" t="s">
        <v>2704</v>
      </c>
      <c r="B20" s="3307" t="s">
        <v>2705</v>
      </c>
      <c r="C20" s="3308"/>
      <c r="D20" s="3309" t="s">
        <v>2706</v>
      </c>
      <c r="E20" s="3310"/>
      <c r="F20" s="2822" t="s">
        <v>1501</v>
      </c>
      <c r="G20" s="2839"/>
      <c r="H20" s="2839"/>
      <c r="I20" s="2839"/>
      <c r="J20" s="2613"/>
      <c r="K20" s="3306"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1"/>
      <c r="X20" s="1881"/>
      <c r="Y20" s="1881"/>
      <c r="Z20" s="1881"/>
      <c r="AA20" s="1881"/>
      <c r="AB20" s="1881"/>
    </row>
    <row r="21" spans="1:28" ht="24.75" thickBot="1">
      <c r="A21" s="2807"/>
      <c r="B21" s="2808" t="s">
        <v>2708</v>
      </c>
      <c r="C21" s="2809" t="s">
        <v>1502</v>
      </c>
      <c r="D21" s="1703" t="s">
        <v>2709</v>
      </c>
      <c r="E21" s="2810" t="s">
        <v>1502</v>
      </c>
      <c r="F21" s="2823"/>
      <c r="G21" s="2839"/>
      <c r="H21" s="2839"/>
      <c r="I21" s="2839"/>
      <c r="J21" s="2613"/>
      <c r="K21" s="330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1"/>
      <c r="X21" s="1881"/>
      <c r="Y21" s="1881"/>
      <c r="Z21" s="1881"/>
      <c r="AA21" s="1881"/>
      <c r="AB21" s="1881"/>
    </row>
    <row r="22" spans="1:28" ht="24.75" thickBot="1">
      <c r="A22" s="2807"/>
      <c r="B22" s="2811" t="s">
        <v>2710</v>
      </c>
      <c r="C22" s="2809" t="s">
        <v>1503</v>
      </c>
      <c r="D22" s="2838"/>
      <c r="E22" s="2838"/>
      <c r="F22" s="2838"/>
      <c r="G22" s="2839"/>
      <c r="H22" s="2839"/>
      <c r="I22" s="2839"/>
      <c r="J22" s="2613"/>
      <c r="K22" s="330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1"/>
      <c r="X22" s="1881"/>
      <c r="Y22" s="1881"/>
      <c r="Z22" s="1881"/>
      <c r="AA22" s="1881"/>
      <c r="AB22" s="1881"/>
    </row>
    <row r="23" spans="1:28">
      <c r="A23" s="2812" t="s">
        <v>2711</v>
      </c>
      <c r="B23" s="2676" t="s">
        <v>2712</v>
      </c>
      <c r="C23" s="2813"/>
      <c r="D23" s="2814" t="s">
        <v>2712</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24" t="s">
        <v>2713</v>
      </c>
      <c r="B27" s="326" t="s">
        <v>2714</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24"/>
      <c r="B28" s="308" t="s">
        <v>2715</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24"/>
      <c r="B29" s="308" t="s">
        <v>2716</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25"/>
      <c r="B30" s="308" t="s">
        <v>2717</v>
      </c>
      <c r="C30" s="3326"/>
      <c r="D30" s="3327"/>
      <c r="E30" s="2839"/>
      <c r="F30" s="2839"/>
      <c r="G30" s="2839"/>
      <c r="H30" s="2839"/>
      <c r="I30" s="2839"/>
      <c r="J30" s="2613"/>
      <c r="K30" s="2790"/>
      <c r="L30" s="2787"/>
      <c r="M30" s="2787"/>
      <c r="N30" s="2613"/>
      <c r="O30" s="2624"/>
      <c r="P30" s="2613"/>
      <c r="Q30" s="2613"/>
      <c r="R30" s="2613"/>
      <c r="S30" s="2613"/>
      <c r="T30" s="2613"/>
      <c r="U30" s="2613"/>
      <c r="V30" s="2613"/>
    </row>
    <row r="31" spans="1:28">
      <c r="A31" s="3328" t="s">
        <v>2718</v>
      </c>
      <c r="B31" s="2596"/>
      <c r="C31" s="2495" t="str">
        <f>IF(B31="现房","成新及维护状况正常否",IF(B31="在建","工程状态是否正常",IF(B31="土地","是否闲置","-")))</f>
        <v>-</v>
      </c>
      <c r="D31" s="1507"/>
      <c r="E31" s="2597"/>
      <c r="F31" s="2839"/>
      <c r="G31" s="2839"/>
      <c r="H31" s="2839"/>
      <c r="I31" s="2839"/>
      <c r="J31" s="2613"/>
      <c r="K31" s="2789"/>
      <c r="L31" s="2787"/>
      <c r="M31" s="2787"/>
      <c r="N31" s="2613"/>
      <c r="O31" s="2624"/>
      <c r="P31" s="2613"/>
      <c r="Q31" s="2613"/>
      <c r="R31" s="2613"/>
      <c r="S31" s="2613"/>
      <c r="T31" s="2613"/>
      <c r="U31" s="2613"/>
      <c r="V31" s="2613"/>
    </row>
    <row r="32" spans="1:28">
      <c r="A32" s="3329"/>
      <c r="B32" s="2596"/>
      <c r="C32" s="2495" t="str">
        <f>IF(B32="现房","成新及维护状况是否正常",IF(B32="在建","工程状态是否正常",IF(B32="土地","是否闲置","-")))</f>
        <v>-</v>
      </c>
      <c r="D32" s="1507"/>
      <c r="E32" s="2597"/>
      <c r="F32" s="2839"/>
      <c r="G32" s="2839"/>
      <c r="H32" s="2839"/>
      <c r="I32" s="2839"/>
      <c r="J32" s="2613"/>
      <c r="K32" s="2790"/>
      <c r="L32" s="2787"/>
      <c r="M32" s="2787"/>
      <c r="N32" s="2613"/>
      <c r="O32" s="2624"/>
      <c r="P32" s="2613"/>
      <c r="Q32" s="2613"/>
      <c r="R32" s="2613"/>
      <c r="S32" s="2613"/>
      <c r="T32" s="2613"/>
      <c r="U32" s="2613"/>
      <c r="V32" s="2613"/>
    </row>
    <row r="33" spans="1:30">
      <c r="A33" s="3329"/>
      <c r="B33" s="2599"/>
      <c r="C33" s="1725" t="str">
        <f>IF(B33="现房","成新及维护状况是否正常",IF(B33="在建","工程状态是否正常",IF(B33="土地","是否闲置","-")))</f>
        <v>-</v>
      </c>
      <c r="D33" s="1499"/>
      <c r="E33" s="2600"/>
      <c r="F33" s="2839"/>
      <c r="G33" s="2839"/>
      <c r="H33" s="2839"/>
      <c r="I33" s="2839"/>
      <c r="J33" s="2613"/>
      <c r="K33" s="2790"/>
      <c r="L33" s="2787"/>
      <c r="M33" s="2787"/>
      <c r="N33" s="2613"/>
      <c r="O33" s="2624"/>
      <c r="P33" s="2613"/>
      <c r="Q33" s="2613"/>
      <c r="R33" s="2613"/>
      <c r="S33" s="2613"/>
      <c r="T33" s="2613"/>
      <c r="U33" s="2613"/>
      <c r="V33" s="2613"/>
    </row>
    <row r="34" spans="1:30">
      <c r="A34" s="308" t="s">
        <v>2719</v>
      </c>
      <c r="B34" s="2163"/>
      <c r="C34" s="2163"/>
      <c r="D34" s="2163"/>
      <c r="E34" s="2163"/>
      <c r="F34" s="2163"/>
      <c r="G34" s="2163"/>
      <c r="H34" s="2163"/>
      <c r="I34" s="2839"/>
      <c r="J34" s="2613"/>
      <c r="K34" s="2601">
        <f>COUNTIF(B34:H34,"——")</f>
        <v>0</v>
      </c>
      <c r="L34" s="329" t="s">
        <v>2720</v>
      </c>
      <c r="M34" s="329" t="s">
        <v>2721</v>
      </c>
      <c r="N34" s="329" t="s">
        <v>2722</v>
      </c>
      <c r="O34" s="329" t="s">
        <v>2723</v>
      </c>
      <c r="P34" s="329" t="s">
        <v>2724</v>
      </c>
      <c r="Q34" s="329" t="s">
        <v>2725</v>
      </c>
      <c r="R34" s="329" t="s">
        <v>2726</v>
      </c>
      <c r="S34" s="3323" t="s">
        <v>2727</v>
      </c>
      <c r="T34" s="2602" t="str">
        <f>NUMBERSTRING(7-K34,1)&amp;"通"</f>
        <v>七通</v>
      </c>
      <c r="U34" s="2613"/>
      <c r="V34" s="2613"/>
    </row>
    <row r="35" spans="1:30">
      <c r="A35" s="2603"/>
      <c r="B35" s="3330" t="s">
        <v>2728</v>
      </c>
      <c r="C35" s="3330"/>
      <c r="D35" s="3330"/>
      <c r="E35" s="3330"/>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23"/>
      <c r="T35" s="335" t="str">
        <f>IF(T34="一通",L35,IF(T34="二通",M35,IF(T34="三通",N35,IF(T34="四通",O35,IF(T34="五通",P35,IF(T34="六通",Q35,R35))))))</f>
        <v>、、、、、、</v>
      </c>
      <c r="U35" s="2613"/>
      <c r="V35" s="2613"/>
    </row>
    <row r="36" spans="1:30">
      <c r="A36" s="2604"/>
      <c r="B36" s="673" t="s">
        <v>2684</v>
      </c>
      <c r="C36" s="673" t="s">
        <v>2685</v>
      </c>
      <c r="D36" s="673" t="s">
        <v>2683</v>
      </c>
      <c r="E36" s="673" t="s">
        <v>2688</v>
      </c>
      <c r="F36" s="2845"/>
      <c r="G36" s="2839"/>
      <c r="H36" s="2839"/>
      <c r="I36" s="2839"/>
      <c r="J36" s="2613"/>
      <c r="K36" s="2790"/>
      <c r="L36" s="2787"/>
      <c r="M36" s="2787"/>
      <c r="N36" s="2613"/>
      <c r="O36" s="2624"/>
      <c r="P36" s="2613"/>
      <c r="Q36" s="2613"/>
      <c r="R36" s="2613"/>
      <c r="S36" s="2613"/>
      <c r="T36" s="2613"/>
      <c r="U36" s="2613"/>
      <c r="V36" s="2613"/>
    </row>
    <row r="37" spans="1:30">
      <c r="A37" s="2805" t="s">
        <v>2729</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2730</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2731</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3"/>
      <c r="J40" s="2683"/>
      <c r="K40" s="2789"/>
      <c r="L40" s="2625"/>
      <c r="M40" s="2625"/>
      <c r="N40" s="2683"/>
      <c r="O40" s="2625"/>
      <c r="P40" s="2613"/>
      <c r="Q40" s="2613"/>
      <c r="R40" s="2613"/>
      <c r="S40" s="2613"/>
      <c r="T40" s="2613"/>
      <c r="U40" s="2613"/>
      <c r="V40" s="2613"/>
    </row>
    <row r="41" spans="1:30">
      <c r="A41" s="2610" t="s">
        <v>2732</v>
      </c>
      <c r="B41" s="1893"/>
      <c r="C41" s="1507"/>
      <c r="D41" s="2542"/>
      <c r="E41" s="2542"/>
      <c r="F41" s="2542"/>
      <c r="G41" s="2542"/>
      <c r="H41" s="2542"/>
      <c r="I41" s="1711"/>
      <c r="J41" s="2613"/>
      <c r="K41" s="2790"/>
      <c r="L41" s="2787"/>
      <c r="M41" s="2787"/>
      <c r="N41" s="2613"/>
      <c r="O41" s="2624"/>
      <c r="P41" s="2613"/>
      <c r="Q41" s="2613"/>
      <c r="R41" s="2613"/>
      <c r="S41" s="2613"/>
      <c r="T41" s="2613"/>
      <c r="U41" s="2613"/>
      <c r="V41" s="2613"/>
    </row>
    <row r="42" spans="1:30" ht="25.5">
      <c r="A42" s="329" t="s">
        <v>2733</v>
      </c>
      <c r="B42" s="11" t="s">
        <v>2734</v>
      </c>
      <c r="C42" s="11" t="s">
        <v>2735</v>
      </c>
      <c r="D42" s="11" t="s">
        <v>2736</v>
      </c>
      <c r="E42" s="11" t="s">
        <v>2737</v>
      </c>
      <c r="F42" s="11" t="s">
        <v>2738</v>
      </c>
      <c r="G42" s="11" t="s">
        <v>2739</v>
      </c>
      <c r="H42" s="11" t="s">
        <v>2740</v>
      </c>
      <c r="I42" s="11" t="s">
        <v>2741</v>
      </c>
      <c r="J42" s="2801" t="s">
        <v>2742</v>
      </c>
      <c r="K42" s="2802" t="s">
        <v>2743</v>
      </c>
      <c r="L42" s="2802" t="s">
        <v>2744</v>
      </c>
      <c r="M42" s="2802" t="s">
        <v>2745</v>
      </c>
      <c r="N42" s="2795" t="s">
        <v>2746</v>
      </c>
      <c r="O42" s="2795" t="s">
        <v>2747</v>
      </c>
      <c r="P42" s="2795" t="s">
        <v>2748</v>
      </c>
      <c r="Q42" s="2796" t="s">
        <v>2749</v>
      </c>
      <c r="R42" s="2796" t="s">
        <v>2750</v>
      </c>
      <c r="S42" s="2613"/>
      <c r="T42" s="2613"/>
      <c r="U42" s="2613"/>
      <c r="V42" s="2613"/>
    </row>
    <row r="43" spans="1:30" s="1879"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9"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9"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9"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9"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9"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9"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9"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9" customFormat="1">
      <c r="A51" s="1705"/>
      <c r="B51" s="1705"/>
      <c r="C51" s="1163"/>
      <c r="D51" s="1163"/>
      <c r="E51" s="1163"/>
      <c r="F51" s="1163"/>
      <c r="G51" s="1163"/>
      <c r="H51" s="1163"/>
      <c r="I51" s="1163"/>
      <c r="J51" s="2611"/>
      <c r="K51" s="2612"/>
      <c r="L51" s="2612"/>
      <c r="M51" s="1163"/>
      <c r="N51" s="1163"/>
      <c r="O51" s="1163"/>
      <c r="P51" s="1163"/>
      <c r="Q51" s="1163"/>
      <c r="R51" s="1163"/>
    </row>
    <row r="52" spans="1:22" s="1879" customFormat="1">
      <c r="A52" s="1705"/>
      <c r="B52" s="1705"/>
      <c r="C52" s="1705"/>
      <c r="D52" s="1705"/>
      <c r="E52" s="1705"/>
      <c r="F52" s="1163"/>
      <c r="G52" s="1705"/>
      <c r="H52" s="1705"/>
      <c r="I52" s="1705"/>
      <c r="J52" s="2614"/>
      <c r="K52" s="2612"/>
      <c r="L52" s="2612"/>
      <c r="M52" s="2612"/>
      <c r="N52" s="1705"/>
      <c r="O52" s="1705"/>
      <c r="P52" s="1705"/>
      <c r="Q52" s="1705"/>
      <c r="R52" s="1705"/>
    </row>
    <row r="53" spans="1:22" s="1879" customFormat="1">
      <c r="A53" s="1705"/>
      <c r="B53" s="1705"/>
      <c r="C53" s="1705"/>
      <c r="D53" s="1705"/>
      <c r="E53" s="1705"/>
      <c r="F53" s="1163"/>
      <c r="G53" s="1705"/>
      <c r="H53" s="1705"/>
      <c r="I53" s="1705"/>
      <c r="J53" s="2614"/>
      <c r="K53" s="2612"/>
      <c r="L53" s="2612"/>
      <c r="M53" s="2612"/>
      <c r="N53" s="1705"/>
      <c r="O53" s="1705"/>
      <c r="P53" s="1705"/>
      <c r="Q53" s="1705"/>
      <c r="R53" s="1705"/>
    </row>
    <row r="54" spans="1:22" s="1879" customFormat="1">
      <c r="A54" s="1705"/>
      <c r="B54" s="1705"/>
      <c r="C54" s="1705"/>
      <c r="D54" s="1705"/>
      <c r="E54" s="1705"/>
      <c r="F54" s="1163"/>
      <c r="G54" s="1705"/>
      <c r="H54" s="1705"/>
      <c r="I54" s="1705"/>
      <c r="J54" s="2614"/>
      <c r="K54" s="2612"/>
      <c r="L54" s="2612"/>
      <c r="M54" s="2612"/>
      <c r="N54" s="1705"/>
      <c r="O54" s="1705"/>
      <c r="P54" s="1705"/>
      <c r="Q54" s="1705"/>
      <c r="R54" s="1705"/>
    </row>
    <row r="55" spans="1:22" s="1879" customFormat="1">
      <c r="A55" s="1705"/>
      <c r="B55" s="1705"/>
      <c r="C55" s="1705"/>
      <c r="D55" s="1705"/>
      <c r="E55" s="1705"/>
      <c r="F55" s="1163"/>
      <c r="G55" s="1705"/>
      <c r="H55" s="1705"/>
      <c r="I55" s="1705"/>
      <c r="J55" s="2614"/>
      <c r="K55" s="2612"/>
      <c r="L55" s="2612"/>
      <c r="M55" s="2612"/>
      <c r="N55" s="1705"/>
      <c r="O55" s="1705"/>
      <c r="P55" s="1705"/>
      <c r="Q55" s="1705"/>
      <c r="R55" s="1705"/>
    </row>
    <row r="56" spans="1:22" s="1879"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36913</v>
      </c>
      <c r="B3" s="14">
        <f>IF(C3="否",G5-AT5,G5)</f>
        <v>55369.5</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55369.5</v>
      </c>
      <c r="H5" s="16">
        <f t="shared" ref="H5:AT5" si="0">SUM(H13:H656)</f>
        <v>55369.5</v>
      </c>
      <c r="I5" s="16">
        <f t="shared" si="0"/>
        <v>55369.5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6199.09</v>
      </c>
      <c r="BA5" s="18">
        <f t="shared" si="1"/>
        <v>6199.09</v>
      </c>
      <c r="BB5" s="18">
        <f t="shared" si="1"/>
        <v>6199.09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36913</v>
      </c>
      <c r="F6" s="16" t="s">
        <v>1</v>
      </c>
      <c r="G6" s="16" t="s">
        <v>2</v>
      </c>
      <c r="H6" s="20">
        <f>SUMIF(I$12:AB$12,"总值",I6:AB6)</f>
        <v>36913</v>
      </c>
      <c r="I6" s="16">
        <f t="shared" ref="I6:AB6" si="2">ROUND($A$3*I5/$B$3,2)</f>
        <v>36913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4132.7299999999996</v>
      </c>
      <c r="AZ6" s="16" t="s">
        <v>3</v>
      </c>
      <c r="BA6" s="16">
        <f>ROUND($AY$6*BA5/$AZ$5,2)</f>
        <v>4132.7299999999996</v>
      </c>
      <c r="BB6" s="16">
        <f>ROUND($AY$6*BB5/$AZ$5,2)</f>
        <v>4132.7299999999996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9" t="s">
        <v>1531</v>
      </c>
      <c r="AD8" s="1735"/>
      <c r="AE8" s="1727"/>
      <c r="AF8" s="1494"/>
      <c r="AG8" s="1494"/>
      <c r="AH8" s="1494"/>
      <c r="AI8" s="1494"/>
      <c r="AJ8" s="1494"/>
      <c r="AK8" s="1494"/>
      <c r="AL8" s="1494"/>
      <c r="AM8" s="1494"/>
      <c r="AN8" s="1494"/>
      <c r="AO8" s="1494"/>
      <c r="AP8" s="1494"/>
      <c r="AQ8" s="1494"/>
      <c r="AR8" s="1494"/>
      <c r="AS8" s="1494"/>
      <c r="AT8" s="1183" t="s">
        <v>1532</v>
      </c>
      <c r="AU8" s="1729" t="s">
        <v>1533</v>
      </c>
      <c r="AV8" s="1183"/>
      <c r="AW8" s="1712"/>
      <c r="AX8" s="1183"/>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1536</v>
      </c>
      <c r="I9" s="1738" t="s">
        <v>3459</v>
      </c>
      <c r="J9" s="899"/>
      <c r="K9" s="1738"/>
      <c r="L9" s="899"/>
      <c r="M9" s="1738"/>
      <c r="N9" s="899"/>
      <c r="O9" s="1738"/>
      <c r="P9" s="899"/>
      <c r="Q9" s="1738"/>
      <c r="R9" s="899"/>
      <c r="S9" s="1738"/>
      <c r="T9" s="899"/>
      <c r="U9" s="1738"/>
      <c r="V9" s="899"/>
      <c r="W9" s="1738"/>
      <c r="X9" s="1739"/>
      <c r="Y9" s="1738"/>
      <c r="Z9" s="899"/>
      <c r="AA9" s="1738"/>
      <c r="AB9" s="899"/>
      <c r="AC9" s="1730"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0"/>
      <c r="AT9" s="1729"/>
      <c r="AU9" s="1729" t="s">
        <v>1539</v>
      </c>
      <c r="AV9" s="1183"/>
      <c r="AW9" s="1712"/>
      <c r="AX9" s="1183"/>
      <c r="AY9" s="28"/>
      <c r="AZ9" s="28" t="s">
        <v>1529</v>
      </c>
      <c r="BA9" s="1741" t="s">
        <v>1540</v>
      </c>
      <c r="BB9" s="1742"/>
      <c r="BC9" s="1201"/>
      <c r="BD9" s="1201"/>
      <c r="BE9" s="1201"/>
      <c r="BF9" s="1201"/>
      <c r="BG9" s="1201"/>
      <c r="BH9" s="1201"/>
      <c r="BI9" s="1201"/>
      <c r="BJ9" s="1201"/>
      <c r="BK9" s="1743"/>
      <c r="BL9" s="15" t="s">
        <v>1541</v>
      </c>
      <c r="BM9" s="1494"/>
      <c r="BN9" s="1732"/>
      <c r="BO9" s="1494"/>
      <c r="BP9" s="1494"/>
      <c r="BQ9" s="1494"/>
      <c r="BR9" s="1494"/>
      <c r="BS9" s="1494"/>
      <c r="BT9" s="26"/>
    </row>
    <row r="10" spans="1:72" s="1736" customFormat="1" ht="12.75">
      <c r="A10" s="1729"/>
      <c r="B10" s="1729"/>
      <c r="C10" s="1729"/>
      <c r="D10" s="1729"/>
      <c r="E10" s="1729"/>
      <c r="F10" s="1729"/>
      <c r="G10" s="1183"/>
      <c r="H10" s="28"/>
      <c r="I10" s="1738"/>
      <c r="J10" s="899"/>
      <c r="K10" s="1744"/>
      <c r="L10" s="899"/>
      <c r="M10" s="1744"/>
      <c r="N10" s="899"/>
      <c r="O10" s="1744"/>
      <c r="P10" s="899"/>
      <c r="Q10" s="1744"/>
      <c r="R10" s="899"/>
      <c r="S10" s="1744"/>
      <c r="T10" s="899"/>
      <c r="U10" s="1744"/>
      <c r="V10" s="899"/>
      <c r="W10" s="1744"/>
      <c r="X10" s="899"/>
      <c r="Y10" s="1744"/>
      <c r="Z10" s="899"/>
      <c r="AA10" s="1744"/>
      <c r="AB10" s="899"/>
      <c r="AC10" s="1183"/>
      <c r="AD10" s="15" t="s">
        <v>1542</v>
      </c>
      <c r="AE10" s="1745"/>
      <c r="AF10" s="15" t="s">
        <v>1542</v>
      </c>
      <c r="AG10" s="1745"/>
      <c r="AH10" s="15" t="s">
        <v>1543</v>
      </c>
      <c r="AI10" s="1745"/>
      <c r="AJ10" s="15" t="s">
        <v>1543</v>
      </c>
      <c r="AK10" s="1745"/>
      <c r="AL10" s="15" t="s">
        <v>1544</v>
      </c>
      <c r="AM10" s="1189"/>
      <c r="AN10" s="15" t="s">
        <v>1544</v>
      </c>
      <c r="AO10" s="1189"/>
      <c r="AP10" s="15" t="s">
        <v>1545</v>
      </c>
      <c r="AQ10" s="1189"/>
      <c r="AR10" s="15" t="s">
        <v>1545</v>
      </c>
      <c r="AS10" s="1189"/>
      <c r="AT10" s="1729"/>
      <c r="AU10" s="1729"/>
      <c r="AV10" s="1183"/>
      <c r="AW10" s="1712"/>
      <c r="AX10" s="1183"/>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3"/>
      <c r="AW11" s="1712"/>
      <c r="AX11" s="1183"/>
      <c r="AY11" s="28"/>
      <c r="AZ11" s="28"/>
      <c r="BA11" s="28"/>
      <c r="BB11" s="1734">
        <f>I10</f>
        <v>0</v>
      </c>
      <c r="BC11" s="1734">
        <f>K10</f>
        <v>0</v>
      </c>
      <c r="BD11" s="1734">
        <f>M10</f>
        <v>0</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3252" t="s">
        <v>3488</v>
      </c>
      <c r="D13" s="1760" t="s">
        <v>3458</v>
      </c>
      <c r="E13" s="16">
        <f>IF($C$3="是",ROUND($A$3*G13/$B$3,2),ROUND($A$3*(G13-AT13)/$B$3,2))</f>
        <v>1051.27</v>
      </c>
      <c r="F13" s="32"/>
      <c r="G13" s="33">
        <f>H13+AC13+AT13</f>
        <v>1576.91</v>
      </c>
      <c r="H13" s="20">
        <f>SUMIF(I$12:AB$12,"总值",I13:AB13)</f>
        <v>1576.91</v>
      </c>
      <c r="I13" s="1761">
        <f>SUM(已查封房产!E2:E8)+SUM(已查封房产!E19:E21)+已查封房产!E34</f>
        <v>1576.91</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t="str">
        <f t="shared" si="6"/>
        <v>叠墅</v>
      </c>
      <c r="AY13" s="1483">
        <f>ROUND($AY$6*AZ13/$AZ$5,2)</f>
        <v>1051.27</v>
      </c>
      <c r="AZ13" s="16">
        <f>BA13+BL13</f>
        <v>1576.91</v>
      </c>
      <c r="BA13" s="16">
        <f>SUM(BB13:BK13)</f>
        <v>1576.91</v>
      </c>
      <c r="BB13" s="16">
        <f>IF($D13="是",I13-J13,0)</f>
        <v>1576.91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3253" t="s">
        <v>3456</v>
      </c>
      <c r="D14" s="1760" t="s">
        <v>3458</v>
      </c>
      <c r="E14" s="16">
        <f>IF($C$3="是",ROUND($A$3*G14/$B$3,2),ROUND($A$3*(G14-AT14)/$B$3,2))</f>
        <v>1200.2</v>
      </c>
      <c r="F14" s="32"/>
      <c r="G14" s="33">
        <f>H14+AC14+AT14</f>
        <v>1800.3000000000002</v>
      </c>
      <c r="H14" s="20">
        <f>SUMIF(I$12:AB$12,"总值",I14:AB14)</f>
        <v>1800.3000000000002</v>
      </c>
      <c r="I14" s="1761">
        <f>SUM(已查封房产!E35:E52)</f>
        <v>1800.3000000000002</v>
      </c>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t="str">
        <f t="shared" si="6"/>
        <v>小高层</v>
      </c>
      <c r="AY14" s="1483">
        <f>ROUND($AY$6*AZ14/$AZ$5,2)</f>
        <v>1200.2</v>
      </c>
      <c r="AZ14" s="16">
        <f>BA14+BL14</f>
        <v>1800.3000000000002</v>
      </c>
      <c r="BA14" s="16">
        <f>SUM(BB14:BK14)</f>
        <v>1800.3000000000002</v>
      </c>
      <c r="BB14" s="16">
        <f>IF($D14="是",I14-J14,0)</f>
        <v>1800.3000000000002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3253" t="s">
        <v>3457</v>
      </c>
      <c r="D15" s="1760" t="s">
        <v>3458</v>
      </c>
      <c r="E15" s="16">
        <f>IF($C$3="是",ROUND($A$3*G15/$B$3,2),ROUND($A$3*(G15-AT15)/$B$3,2))</f>
        <v>1881.25</v>
      </c>
      <c r="F15" s="32"/>
      <c r="G15" s="33">
        <f>H15+AC15+AT15</f>
        <v>2821.88</v>
      </c>
      <c r="H15" s="20">
        <f>SUMIF(I$12:AB$12,"总值",I15:AB15)</f>
        <v>2821.88</v>
      </c>
      <c r="I15" s="1761">
        <f>SUM(已查封房产!E9:E18)+SUM(已查封房产!E22:E33)</f>
        <v>2821.88</v>
      </c>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t="str">
        <f t="shared" si="6"/>
        <v>高层</v>
      </c>
      <c r="AY15" s="1483">
        <f>ROUND($AY$6*AZ15/$AZ$5,2)</f>
        <v>1881.25</v>
      </c>
      <c r="AZ15" s="16">
        <f>BA15+BL15</f>
        <v>2821.88</v>
      </c>
      <c r="BA15" s="16">
        <f>SUM(BB15:BK15)</f>
        <v>2821.88</v>
      </c>
      <c r="BB15" s="16">
        <f>IF($D15="是",I15-J15,0)</f>
        <v>2821.88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3253" t="s">
        <v>3460</v>
      </c>
      <c r="D16" s="1760" t="s">
        <v>3461</v>
      </c>
      <c r="E16" s="16">
        <f>IF($C$3="是",ROUND($A$3*G16/$B$3,2),ROUND($A$3*(G16-AT16)/$B$3,2))</f>
        <v>32780.269999999997</v>
      </c>
      <c r="F16" s="32"/>
      <c r="G16" s="33">
        <f>H16+AC16+AT16</f>
        <v>49170.41</v>
      </c>
      <c r="H16" s="20">
        <f>SUMIF(I$12:AB$12,"总值",I16:AB16)</f>
        <v>49170.41</v>
      </c>
      <c r="I16" s="1761">
        <f>ROUND(A3*1.5-I13-I14-I15,2)</f>
        <v>49170.41</v>
      </c>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t="str">
        <f t="shared" si="6"/>
        <v>其余</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1" t="s">
        <v>0</v>
      </c>
      <c r="B1" s="3331" t="s">
        <v>4</v>
      </c>
      <c r="C1" s="3331" t="s">
        <v>5</v>
      </c>
      <c r="D1" s="3332" t="s">
        <v>53</v>
      </c>
      <c r="E1" s="3332" t="s">
        <v>54</v>
      </c>
      <c r="F1" s="3332"/>
      <c r="G1" s="3332"/>
      <c r="H1" s="3332"/>
      <c r="I1" s="3332"/>
      <c r="J1" s="3332"/>
      <c r="K1" s="3332"/>
      <c r="L1" s="3332"/>
      <c r="M1" s="3332"/>
    </row>
    <row r="2" spans="1:13" ht="27" customHeight="1">
      <c r="A2" s="3331"/>
      <c r="B2" s="3331"/>
      <c r="C2" s="3331"/>
      <c r="D2" s="3332"/>
      <c r="E2" s="3332" t="s">
        <v>37</v>
      </c>
      <c r="F2" s="3332" t="s">
        <v>38</v>
      </c>
      <c r="G2" s="3332"/>
      <c r="H2" s="3332"/>
      <c r="I2" s="3332"/>
      <c r="J2" s="3332" t="s">
        <v>39</v>
      </c>
      <c r="K2" s="3332"/>
      <c r="L2" s="3332"/>
      <c r="M2" s="3332"/>
    </row>
    <row r="3" spans="1:13" ht="28.5">
      <c r="A3" s="3331"/>
      <c r="B3" s="3331"/>
      <c r="C3" s="3331"/>
      <c r="D3" s="3332"/>
      <c r="E3" s="33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2" t="s">
        <v>55</v>
      </c>
      <c r="B9" s="3332"/>
      <c r="C9" s="33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2" sqref="F22"/>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4"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4"/>
      <c r="C1" s="1254"/>
      <c r="D1" s="1254"/>
      <c r="E1" s="1254"/>
      <c r="F1" s="1254"/>
      <c r="G1" s="1254"/>
      <c r="H1" s="1254"/>
      <c r="I1" s="1254"/>
      <c r="J1" s="1254"/>
      <c r="K1" s="1254"/>
      <c r="L1" s="1254"/>
      <c r="M1" s="1254"/>
      <c r="N1" s="1254"/>
      <c r="O1" s="1254"/>
      <c r="P1" s="1254"/>
    </row>
    <row r="2" spans="1:16" ht="15">
      <c r="A2" s="3342" t="s">
        <v>1576</v>
      </c>
      <c r="B2" s="3342"/>
      <c r="C2" s="3342"/>
      <c r="D2" s="885" t="s">
        <v>1552</v>
      </c>
      <c r="E2" s="1774" t="s">
        <v>1553</v>
      </c>
      <c r="F2" s="2834"/>
      <c r="G2" s="2825"/>
      <c r="H2" s="2826"/>
      <c r="I2" s="2497" t="s">
        <v>1577</v>
      </c>
      <c r="J2" s="2834"/>
      <c r="K2" s="2834"/>
      <c r="L2" s="2834"/>
      <c r="M2" s="2834"/>
      <c r="N2" s="2836"/>
      <c r="O2" s="2834"/>
      <c r="P2" s="2834"/>
    </row>
    <row r="3" spans="1:16" ht="15.75" thickBot="1">
      <c r="A3" s="3343" t="s">
        <v>1550</v>
      </c>
      <c r="B3" s="3343"/>
      <c r="C3" s="3343"/>
      <c r="D3" s="46">
        <f>'数据-基础表'!AY6</f>
        <v>4132.7299999999996</v>
      </c>
      <c r="E3" s="46">
        <f>'数据-基础表'!AZ5</f>
        <v>6199.09</v>
      </c>
      <c r="F3" s="2834"/>
      <c r="G3" s="1260"/>
      <c r="H3" s="1138" t="s">
        <v>1551</v>
      </c>
      <c r="I3" s="945">
        <f>ROUND('数据-基础表'!B3/'数据-基础表'!A3,2)</f>
        <v>1.5</v>
      </c>
      <c r="J3" s="2834"/>
      <c r="K3" s="2834"/>
      <c r="L3" s="2834"/>
      <c r="M3" s="2834"/>
      <c r="N3" s="2836"/>
      <c r="O3" s="2834"/>
      <c r="P3" s="2834"/>
    </row>
    <row r="4" spans="1:16" ht="15">
      <c r="A4" s="3344"/>
      <c r="B4" s="3345"/>
      <c r="C4" s="3346"/>
      <c r="D4" s="1776" t="s">
        <v>1552</v>
      </c>
      <c r="E4" s="1777" t="s">
        <v>1553</v>
      </c>
      <c r="F4" s="2834"/>
      <c r="G4" s="2827" t="s">
        <v>1578</v>
      </c>
      <c r="H4" s="1138" t="s">
        <v>1558</v>
      </c>
      <c r="I4" s="945">
        <f>ROUND(SUMIF('数据-基础表'!I9:AS9,"地上",'数据-基础表'!I5:AS5)/'数据-基础表'!A3,2)</f>
        <v>1.5</v>
      </c>
      <c r="J4" s="2834"/>
      <c r="K4" s="2834"/>
      <c r="L4" s="2834"/>
      <c r="M4" s="2834"/>
      <c r="N4" s="2836"/>
      <c r="O4" s="2834"/>
      <c r="P4" s="2834"/>
    </row>
    <row r="5" spans="1:16">
      <c r="A5" s="47" t="s">
        <v>1554</v>
      </c>
      <c r="B5" s="3347" t="s">
        <v>1555</v>
      </c>
      <c r="C5" s="3347"/>
      <c r="D5" s="48">
        <f>ROUND($D$3*E5/$E$3,2)</f>
        <v>0</v>
      </c>
      <c r="E5" s="49">
        <f>SUMIF('数据-基础表'!$11:$11,"住宅",'数据-基础表'!$5:$5)</f>
        <v>0</v>
      </c>
      <c r="F5" s="2834"/>
      <c r="G5" s="1260"/>
      <c r="H5" s="1138" t="s">
        <v>1551</v>
      </c>
      <c r="I5" s="945">
        <f>ROUND(E31/D31,2)</f>
        <v>1.5</v>
      </c>
      <c r="J5" s="2834"/>
      <c r="K5" s="2834"/>
      <c r="L5" s="2834"/>
      <c r="M5" s="2834"/>
      <c r="N5" s="2834"/>
      <c r="O5" s="2834"/>
      <c r="P5" s="2834"/>
    </row>
    <row r="6" spans="1:16" ht="15" thickBot="1">
      <c r="A6" s="1779"/>
      <c r="B6" s="3347" t="s">
        <v>1556</v>
      </c>
      <c r="C6" s="3347"/>
      <c r="D6" s="48">
        <f>ROUND($D$3*E6/$E$3,2)</f>
        <v>4132.7299999999996</v>
      </c>
      <c r="E6" s="49">
        <f>E3-E5</f>
        <v>6199.09</v>
      </c>
      <c r="F6" s="2834"/>
      <c r="G6" s="2828" t="s">
        <v>1557</v>
      </c>
      <c r="H6" s="1261" t="s">
        <v>1558</v>
      </c>
      <c r="I6" s="2829">
        <f>ROUND(F31/D31,2)</f>
        <v>1.5</v>
      </c>
      <c r="J6" s="2834"/>
      <c r="K6" s="2834"/>
      <c r="L6" s="2834"/>
      <c r="M6" s="2834"/>
      <c r="N6" s="2834"/>
      <c r="O6" s="2834"/>
      <c r="P6" s="2834"/>
    </row>
    <row r="7" spans="1:16" ht="15.75" thickBot="1">
      <c r="A7" s="3339"/>
      <c r="B7" s="3340"/>
      <c r="C7" s="3341"/>
      <c r="D7" s="1776" t="s">
        <v>1552</v>
      </c>
      <c r="E7" s="1780"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4132.7299999999996</v>
      </c>
      <c r="E8" s="51">
        <f>SUMIF('数据-基础表'!BB10:BK10,"地上",'数据-基础表'!BB5:BK5)</f>
        <v>6199.09</v>
      </c>
      <c r="F8" s="2834"/>
      <c r="G8" s="2835"/>
      <c r="H8" s="2835"/>
      <c r="I8" s="2834"/>
      <c r="J8" s="2834"/>
      <c r="K8" s="2834"/>
      <c r="L8" s="2834"/>
      <c r="M8" s="2834"/>
      <c r="N8" s="2834"/>
      <c r="O8" s="2834"/>
      <c r="P8" s="2834"/>
    </row>
    <row r="9" spans="1:16">
      <c r="A9" s="1781"/>
      <c r="B9" s="1782"/>
      <c r="C9" s="48" t="s">
        <v>1564</v>
      </c>
      <c r="D9" s="48">
        <f t="shared" si="0"/>
        <v>0</v>
      </c>
      <c r="E9" s="52">
        <v>0</v>
      </c>
      <c r="F9" s="2834"/>
      <c r="G9" s="2835"/>
      <c r="H9" s="2835"/>
      <c r="I9" s="2834"/>
      <c r="J9" s="2834"/>
      <c r="K9" s="2834"/>
      <c r="L9" s="2834"/>
      <c r="M9" s="2834"/>
      <c r="N9" s="2834"/>
      <c r="O9" s="2834"/>
      <c r="P9" s="2834"/>
    </row>
    <row r="10" spans="1:16">
      <c r="A10" s="1781"/>
      <c r="B10" s="1782"/>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1"/>
      <c r="B11" s="1782"/>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1"/>
      <c r="B12" s="1782"/>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1"/>
      <c r="B13" s="1782"/>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1"/>
      <c r="B14" s="1782"/>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1"/>
      <c r="B15" s="1782"/>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79"/>
      <c r="B16" s="1782"/>
      <c r="C16" s="50" t="s">
        <v>1568</v>
      </c>
      <c r="D16" s="50">
        <f>SUM(D8:D15)</f>
        <v>4132.7299999999996</v>
      </c>
      <c r="E16" s="53">
        <f>SUM(E8:E15)</f>
        <v>6199.09</v>
      </c>
      <c r="F16" s="2834"/>
      <c r="G16" s="2835"/>
      <c r="H16" s="1783" t="s">
        <v>1580</v>
      </c>
      <c r="I16" s="1784"/>
      <c r="J16" s="1254"/>
      <c r="K16" s="3336" t="s">
        <v>1580</v>
      </c>
      <c r="L16" s="3337"/>
      <c r="M16" s="3337"/>
      <c r="N16" s="3337"/>
      <c r="O16" s="3337"/>
      <c r="P16" s="3338"/>
    </row>
    <row r="17" spans="1:19" ht="15">
      <c r="A17" s="1785" t="s">
        <v>1581</v>
      </c>
      <c r="B17" s="1786" t="s">
        <v>1582</v>
      </c>
      <c r="C17" s="1787" t="s">
        <v>1583</v>
      </c>
      <c r="D17" s="1788" t="s">
        <v>1571</v>
      </c>
      <c r="E17" s="1789" t="s">
        <v>1572</v>
      </c>
      <c r="F17" s="1790"/>
      <c r="G17" s="1791"/>
      <c r="H17" s="1792" t="s">
        <v>1584</v>
      </c>
      <c r="I17" s="1793" t="s">
        <v>1569</v>
      </c>
      <c r="J17" s="1254"/>
      <c r="K17" s="3333" t="s">
        <v>1585</v>
      </c>
      <c r="L17" s="3334"/>
      <c r="M17" s="3335"/>
      <c r="N17" s="3333" t="s">
        <v>1586</v>
      </c>
      <c r="O17" s="3334"/>
      <c r="P17" s="3335"/>
      <c r="R17" s="1775" t="s">
        <v>1587</v>
      </c>
      <c r="S17" s="60"/>
    </row>
    <row r="18" spans="1:19" ht="15">
      <c r="A18" s="1781"/>
      <c r="B18" s="1794"/>
      <c r="C18" s="1795"/>
      <c r="D18" s="1796"/>
      <c r="E18" s="1797" t="s">
        <v>1588</v>
      </c>
      <c r="F18" s="1798" t="s">
        <v>1589</v>
      </c>
      <c r="G18" s="1799" t="s">
        <v>1590</v>
      </c>
      <c r="H18" s="1153" t="s">
        <v>1591</v>
      </c>
      <c r="I18" s="1800" t="s">
        <v>1592</v>
      </c>
      <c r="J18" s="1254"/>
      <c r="K18" s="1153" t="s">
        <v>1593</v>
      </c>
      <c r="L18" s="1801" t="s">
        <v>1594</v>
      </c>
      <c r="M18" s="945" t="s">
        <v>1595</v>
      </c>
      <c r="N18" s="1153" t="s">
        <v>1593</v>
      </c>
      <c r="O18" s="1801" t="s">
        <v>1594</v>
      </c>
      <c r="P18" s="945" t="s">
        <v>1595</v>
      </c>
      <c r="R18" s="1138" t="s">
        <v>1596</v>
      </c>
      <c r="S18" s="1138" t="s">
        <v>1597</v>
      </c>
    </row>
    <row r="19" spans="1:19">
      <c r="A19" s="1802"/>
      <c r="B19" s="50" t="s">
        <v>1570</v>
      </c>
      <c r="C19" s="1803" t="str">
        <f>'数据-基础表'!C13</f>
        <v>叠墅</v>
      </c>
      <c r="D19" s="48">
        <f>ROUND($D$3*E19/$E$3,2)</f>
        <v>1051.27</v>
      </c>
      <c r="E19" s="56">
        <f t="shared" ref="E19:E26" si="1">SUM(F19:G19)</f>
        <v>1576.91</v>
      </c>
      <c r="F19" s="2974">
        <f>'数据-基础表'!I13</f>
        <v>1576.91</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4"/>
      <c r="O19" s="1805"/>
      <c r="P19" s="1265">
        <f>N19+O19</f>
        <v>0</v>
      </c>
      <c r="R19" s="1138">
        <f t="shared" ref="R19:S26" si="5">D19+H19</f>
        <v>1051.27</v>
      </c>
      <c r="S19" s="1139">
        <f t="shared" si="5"/>
        <v>1576.91</v>
      </c>
    </row>
    <row r="20" spans="1:19">
      <c r="A20" s="1806"/>
      <c r="B20" s="50" t="s">
        <v>1598</v>
      </c>
      <c r="C20" s="1803" t="str">
        <f>'数据-基础表'!C14</f>
        <v>小高层</v>
      </c>
      <c r="D20" s="48">
        <f t="shared" ref="D20:D26" si="6">ROUND($D$3*E20/$E$3,2)</f>
        <v>1200.2</v>
      </c>
      <c r="E20" s="56">
        <f t="shared" si="1"/>
        <v>1800.3000000000002</v>
      </c>
      <c r="F20" s="2974">
        <f>'数据-基础表'!I14</f>
        <v>1800.3000000000002</v>
      </c>
      <c r="G20" s="2975"/>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1200.2</v>
      </c>
      <c r="S20" s="1139">
        <f t="shared" si="5"/>
        <v>1800.3000000000002</v>
      </c>
    </row>
    <row r="21" spans="1:19">
      <c r="A21" s="1806"/>
      <c r="B21" s="50" t="s">
        <v>1598</v>
      </c>
      <c r="C21" s="1803" t="str">
        <f>'数据-基础表'!C15</f>
        <v>高层</v>
      </c>
      <c r="D21" s="48">
        <f t="shared" si="6"/>
        <v>1881.25</v>
      </c>
      <c r="E21" s="56">
        <f t="shared" si="1"/>
        <v>2821.88</v>
      </c>
      <c r="F21" s="2974">
        <f>'数据-基础表'!I15</f>
        <v>2821.88</v>
      </c>
      <c r="G21" s="2975"/>
      <c r="H21" s="679">
        <f t="shared" si="7"/>
        <v>0</v>
      </c>
      <c r="I21" s="51">
        <f t="shared" si="2"/>
        <v>0</v>
      </c>
      <c r="J21" s="1254"/>
      <c r="K21" s="1253">
        <f t="shared" si="3"/>
        <v>0</v>
      </c>
      <c r="L21" s="1138">
        <f t="shared" si="4"/>
        <v>0</v>
      </c>
      <c r="M21" s="1265">
        <f t="shared" si="8"/>
        <v>0</v>
      </c>
      <c r="N21" s="1804"/>
      <c r="O21" s="1805"/>
      <c r="P21" s="1265">
        <f t="shared" si="9"/>
        <v>0</v>
      </c>
      <c r="R21" s="1138">
        <f t="shared" si="5"/>
        <v>1881.25</v>
      </c>
      <c r="S21" s="1139">
        <f t="shared" si="5"/>
        <v>2821.88</v>
      </c>
    </row>
    <row r="22" spans="1:19">
      <c r="A22" s="1806"/>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29.25" thickBot="1">
      <c r="A27" s="1806"/>
      <c r="B27" s="48"/>
      <c r="C27" s="1809" t="s">
        <v>1599</v>
      </c>
      <c r="D27" s="1255">
        <f>SUM(D19:D26)</f>
        <v>4132.72</v>
      </c>
      <c r="E27" s="1256">
        <f>IF(SUM(E19:E26)='数据-基础表'!BA5,SUM(E19:E26),IF(F27="地上面积有误","面积有误","地下面积有误"))</f>
        <v>6199.09</v>
      </c>
      <c r="F27" s="1255">
        <f>IF(SUM(F19:F26)=E8,SUM(F19:F26),"地上面积有误")</f>
        <v>6199.09</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t="str">
        <f>IF(SUM(R19:R26)=$D$3,SUM(R19:R26),SUM(R19:R26)&amp;"误差"&amp;ROUND(SUM(R19:R26)-$D$3,2))</f>
        <v>4132.72误差-0.01</v>
      </c>
      <c r="S27" s="1138">
        <f>IF(SUM(S19:S26)=$E$3,SUM(S19:S26),SUM(S19:S26)&amp;"误差"&amp;ROUND(SUM(S19:S26)-E3,2))</f>
        <v>6199.09</v>
      </c>
    </row>
    <row r="28" spans="1:19">
      <c r="A28" s="1806"/>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6"/>
      <c r="B29" s="50" t="s">
        <v>1600</v>
      </c>
      <c r="C29" s="1810"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6"/>
      <c r="B30" s="50"/>
      <c r="C30" s="1811"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2"/>
      <c r="B31" s="1813"/>
      <c r="C31" s="925" t="s">
        <v>1603</v>
      </c>
      <c r="D31" s="685">
        <f>D27+D30</f>
        <v>4132.72</v>
      </c>
      <c r="E31" s="685">
        <f>E27+E30</f>
        <v>6199.09</v>
      </c>
      <c r="F31" s="686">
        <f>F27+F30</f>
        <v>6199.09</v>
      </c>
      <c r="G31" s="687">
        <f>G27+G30</f>
        <v>0</v>
      </c>
      <c r="H31" s="2834"/>
      <c r="I31" s="2834"/>
      <c r="J31" s="2834"/>
      <c r="K31" s="2834"/>
      <c r="L31" s="2834"/>
      <c r="M31" s="2834"/>
      <c r="N31" s="2834"/>
      <c r="O31" s="2834"/>
      <c r="P31" s="2834"/>
    </row>
    <row r="32" spans="1:19">
      <c r="A32" s="1778"/>
      <c r="B32" s="1778" t="s">
        <v>1604</v>
      </c>
      <c r="C32" s="1778"/>
      <c r="D32" s="1778"/>
      <c r="E32" s="1165">
        <f>SUMIF(C19:C26,"*住宅*",E19:E26)</f>
        <v>0</v>
      </c>
      <c r="F32" s="1778"/>
      <c r="G32" s="1778"/>
      <c r="H32" s="2834"/>
      <c r="I32" s="2834"/>
      <c r="J32" s="2834"/>
      <c r="K32" s="2834"/>
      <c r="L32" s="2834"/>
      <c r="M32" s="2834"/>
      <c r="N32" s="2834"/>
      <c r="O32" s="2834"/>
      <c r="P32" s="2834"/>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6" priority="1" stopIfTrue="1" operator="containsText" text="面积有误">
      <formula>NOT(ISERROR(SEARCH("面积有误",E27)))</formula>
    </cfRule>
    <cfRule type="cellIs" dxfId="195" priority="3" stopIfTrue="1" operator="equal">
      <formula>"地下面积有误"</formula>
    </cfRule>
  </conditionalFormatting>
  <conditionalFormatting sqref="F27">
    <cfRule type="cellIs" dxfId="19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M33" sqref="M33"/>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8"/>
      <c r="AO1" s="2848"/>
      <c r="AP1" s="2848"/>
      <c r="AQ1" s="2848"/>
      <c r="AR1" s="2848"/>
    </row>
    <row r="2" spans="1:67" s="1694" customFormat="1" ht="15.75" thickBot="1">
      <c r="A2" s="1819" t="s">
        <v>1606</v>
      </c>
      <c r="B2" s="1157">
        <f>项目基本情况!D3</f>
        <v>44915</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0"/>
      <c r="AO2" s="2850"/>
      <c r="AP2" s="2850"/>
      <c r="AQ2" s="2850"/>
      <c r="AR2" s="2850"/>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0"/>
      <c r="AO3" s="2850"/>
      <c r="AP3" s="2850"/>
      <c r="AQ3" s="2850"/>
      <c r="AR3" s="2850"/>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3"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0"/>
      <c r="AO4" s="2850"/>
      <c r="AP4" s="2850"/>
      <c r="AQ4" s="2850"/>
      <c r="AR4" s="2850"/>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9" t="s">
        <v>1617</v>
      </c>
      <c r="F5" s="1835" t="s">
        <v>1618</v>
      </c>
      <c r="G5" s="1159" t="s">
        <v>1619</v>
      </c>
      <c r="H5" s="1159" t="s">
        <v>1620</v>
      </c>
      <c r="I5" s="1159" t="s">
        <v>1621</v>
      </c>
      <c r="J5" s="1836" t="s">
        <v>1622</v>
      </c>
      <c r="K5" s="1837" t="s">
        <v>1623</v>
      </c>
      <c r="L5" s="1838" t="s">
        <v>1624</v>
      </c>
      <c r="M5" s="1839" t="s">
        <v>1625</v>
      </c>
      <c r="N5" s="1840" t="s">
        <v>1626</v>
      </c>
      <c r="O5" s="1838" t="s">
        <v>1627</v>
      </c>
      <c r="P5" s="1841" t="s">
        <v>1628</v>
      </c>
      <c r="Q5" s="65" t="s">
        <v>1629</v>
      </c>
      <c r="R5" s="1842" t="s">
        <v>1630</v>
      </c>
      <c r="S5" s="1843" t="s">
        <v>1631</v>
      </c>
      <c r="T5" s="1844" t="s">
        <v>1632</v>
      </c>
      <c r="U5" s="1158" t="s">
        <v>1633</v>
      </c>
      <c r="V5" s="1159" t="s">
        <v>1634</v>
      </c>
      <c r="W5" s="1159" t="s">
        <v>1635</v>
      </c>
      <c r="X5" s="67"/>
      <c r="Y5" s="66" t="s">
        <v>1636</v>
      </c>
      <c r="Z5" s="1845" t="s">
        <v>1633</v>
      </c>
      <c r="AA5" s="1159" t="s">
        <v>1634</v>
      </c>
      <c r="AB5" s="1159" t="s">
        <v>1635</v>
      </c>
      <c r="AC5" s="67"/>
      <c r="AD5" s="67" t="s">
        <v>1636</v>
      </c>
      <c r="AE5" s="1158" t="s">
        <v>1637</v>
      </c>
      <c r="AF5" s="1159" t="s">
        <v>1638</v>
      </c>
      <c r="AG5" s="66" t="s">
        <v>1639</v>
      </c>
      <c r="AH5" s="1158" t="s">
        <v>1640</v>
      </c>
      <c r="AI5" s="1845" t="s">
        <v>1641</v>
      </c>
      <c r="AJ5" s="1845" t="s">
        <v>1642</v>
      </c>
      <c r="AK5" s="1159" t="s">
        <v>1643</v>
      </c>
      <c r="AL5" s="1159" t="s">
        <v>1644</v>
      </c>
      <c r="AM5" s="66" t="s">
        <v>1645</v>
      </c>
      <c r="AN5" s="1846" t="s">
        <v>1646</v>
      </c>
      <c r="AO5" s="1697" t="s">
        <v>1647</v>
      </c>
      <c r="AP5" s="1140" t="s">
        <v>1648</v>
      </c>
      <c r="AQ5" s="1847" t="s">
        <v>1649</v>
      </c>
      <c r="AR5" s="1847" t="s">
        <v>1650</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叠墅</v>
      </c>
      <c r="B6" s="1849" t="str">
        <f>IF(A6=0,"","经营性")</f>
        <v>经营性</v>
      </c>
      <c r="C6" s="1850" t="s">
        <v>3357</v>
      </c>
      <c r="D6" s="948">
        <f>SUMIF(项目基本情况!D$12:I$12,C6,项目基本情况!D$14:I$14)</f>
        <v>70</v>
      </c>
      <c r="E6" s="947">
        <f>IF(B6="","",SUMIF(项目基本情况!D$12:I$12,C6,项目基本情况!D$13:I$13))</f>
        <v>69684</v>
      </c>
      <c r="F6" s="68">
        <f>SUMIF(项目基本情况!D$12:I$12,C6,项目基本情况!D$15:I$15)</f>
        <v>67.86</v>
      </c>
      <c r="G6" s="69">
        <f>IF(ISERROR(ROUND(POWER(1+H6,D6-F6)*(POWER(1+H6,F6)-1)/(POWER(1+H6,D6)-1),3)),0,ROUND(POWER(1+H6,D6-F6)*(POWER(1+H6,F6)-1)/(POWER(1+H6,D6)-1),3))</f>
        <v>0.995</v>
      </c>
      <c r="H6" s="741">
        <v>4.4999999999999998E-2</v>
      </c>
      <c r="I6" s="741">
        <v>0.05</v>
      </c>
      <c r="J6" s="70">
        <v>8.5000000000000006E-2</v>
      </c>
      <c r="K6" s="1142">
        <f>SUMIF('数据-汇总表'!C$19:C$33,A6,'数据-汇总表'!E$19:E$33)</f>
        <v>1576.91</v>
      </c>
      <c r="L6" s="742">
        <v>2600</v>
      </c>
      <c r="M6" s="71">
        <f t="shared" ref="M6:M14" si="0">ROUND(K6*L6/10000,0)</f>
        <v>410</v>
      </c>
      <c r="N6" s="740">
        <v>0.6</v>
      </c>
      <c r="O6" s="71">
        <f>IF($N$5="成新度","——",ROUND(M6*N6,0))</f>
        <v>246</v>
      </c>
      <c r="P6" s="72">
        <f>IF($N$5="成新度","——",M6-O6)</f>
        <v>164</v>
      </c>
      <c r="Q6" s="743">
        <v>0.2</v>
      </c>
      <c r="R6" s="73">
        <f ca="1">SUMIF('数据-汇总表'!C$19:C$33,A6,'数据-汇总表'!R$19:R$27)</f>
        <v>1051.27</v>
      </c>
      <c r="S6" s="54">
        <f>IF('数据-汇总表'!$I$17="按面积比例",SUMIF('数据-汇总表'!C$19:C$33,A6,'数据-汇总表'!K$19:K$33),SUMIF('数据-汇总表'!C$19:C$33,A6,'数据-汇总表'!N$19:N$33))</f>
        <v>0</v>
      </c>
      <c r="T6" s="1287">
        <f>ROUND($L$14*S6/10000,0)</f>
        <v>0</v>
      </c>
      <c r="U6" s="74"/>
      <c r="V6" s="75"/>
      <c r="W6" s="75"/>
      <c r="X6" s="1152"/>
      <c r="Y6" s="76"/>
      <c r="Z6" s="77"/>
      <c r="AA6" s="70"/>
      <c r="AB6" s="70"/>
      <c r="AC6" s="1152"/>
      <c r="AD6" s="78"/>
      <c r="AE6" s="1153">
        <f ca="1">IF(AN6="",0,SUMIF(INDIRECT("'"&amp;AN6&amp;"'"&amp;"!E:E"),$AE$5,INDIRECT("'"&amp;AN6&amp;"'"&amp;"!F:F")))</f>
        <v>0</v>
      </c>
      <c r="AF6" s="1482"/>
      <c r="AG6" s="143">
        <f>IF(AF6="",0,AE6-AF6)</f>
        <v>0</v>
      </c>
      <c r="AH6" s="79"/>
      <c r="AI6" s="81"/>
      <c r="AJ6" s="82"/>
      <c r="AK6" s="83"/>
      <c r="AL6" s="84"/>
      <c r="AM6" s="85"/>
      <c r="AN6" s="1851"/>
      <c r="AO6" s="55" t="e">
        <f ca="1">SUMIF(INDIRECT("'"&amp;AN6&amp;"'"&amp;"!A:A"),"总价",INDIRECT("'"&amp;AN6&amp;"'"&amp;"!B:B"))</f>
        <v>#REF!</v>
      </c>
      <c r="AP6" s="1852">
        <f>IF(C6="住宅",K6*L6,0)</f>
        <v>4099966</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t="str">
        <f>'数据-汇总表'!C20</f>
        <v>小高层</v>
      </c>
      <c r="B7" s="1849" t="str">
        <f t="shared" ref="B7:B13" si="1">IF(A7=0,"","经营性")</f>
        <v>经营性</v>
      </c>
      <c r="C7" s="1850" t="s">
        <v>3357</v>
      </c>
      <c r="D7" s="948">
        <f>SUMIF(项目基本情况!D$12:I$12,C7,项目基本情况!D$14:I$14)</f>
        <v>70</v>
      </c>
      <c r="E7" s="947">
        <f>IF(B7="","",SUMIF(项目基本情况!D$12:I$12,C7,项目基本情况!D$13:I$13))</f>
        <v>69684</v>
      </c>
      <c r="F7" s="68">
        <f>SUMIF(项目基本情况!D$12:I$12,C7,项目基本情况!D$15:I$15)</f>
        <v>67.86</v>
      </c>
      <c r="G7" s="69">
        <f t="shared" ref="G7:G11" si="2">IF(ISERROR(ROUND(POWER(1+H7,D7-F7)*(POWER(1+H7,F7)-1)/(POWER(1+H7,D7)-1),3)),0,ROUND(POWER(1+H7,D7-F7)*(POWER(1+H7,F7)-1)/(POWER(1+H7,D7)-1),3))</f>
        <v>0.995</v>
      </c>
      <c r="H7" s="741">
        <v>4.4999999999999998E-2</v>
      </c>
      <c r="I7" s="741">
        <v>0.05</v>
      </c>
      <c r="J7" s="70">
        <v>8.5000000000000006E-2</v>
      </c>
      <c r="K7" s="1142">
        <f>SUMIF('数据-汇总表'!C$19:C$33,A7,'数据-汇总表'!E$19:E$33)</f>
        <v>1800.3000000000002</v>
      </c>
      <c r="L7" s="742">
        <v>2600</v>
      </c>
      <c r="M7" s="71">
        <f t="shared" si="0"/>
        <v>468</v>
      </c>
      <c r="N7" s="740">
        <v>0.6</v>
      </c>
      <c r="O7" s="71">
        <f t="shared" ref="O7:O14" si="3">IF($N$5="成新度","——",ROUND(M7*N7,0))</f>
        <v>281</v>
      </c>
      <c r="P7" s="72">
        <f t="shared" ref="P7:P14" si="4">IF($N$5="成新度","——",M7-O7)</f>
        <v>187</v>
      </c>
      <c r="Q7" s="743">
        <v>0.2</v>
      </c>
      <c r="R7" s="73">
        <f ca="1">SUMIF('数据-汇总表'!C$19:C$33,A7,'数据-汇总表'!R$19:R$27)</f>
        <v>1200.2</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4680780.0000000009</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t="str">
        <f>'数据-汇总表'!C21</f>
        <v>高层</v>
      </c>
      <c r="B8" s="1849" t="str">
        <f t="shared" si="1"/>
        <v>经营性</v>
      </c>
      <c r="C8" s="1850" t="s">
        <v>3357</v>
      </c>
      <c r="D8" s="948">
        <f>SUMIF(项目基本情况!D$12:I$12,C8,项目基本情况!D$14:I$14)</f>
        <v>70</v>
      </c>
      <c r="E8" s="947">
        <f>IF(B8="","",SUMIF(项目基本情况!D$12:I$12,C8,项目基本情况!D$13:I$13))</f>
        <v>69684</v>
      </c>
      <c r="F8" s="68">
        <f>SUMIF(项目基本情况!D$12:I$12,C8,项目基本情况!D$15:I$15)</f>
        <v>67.86</v>
      </c>
      <c r="G8" s="69">
        <f t="shared" si="2"/>
        <v>0.995</v>
      </c>
      <c r="H8" s="741">
        <v>4.4999999999999998E-2</v>
      </c>
      <c r="I8" s="741">
        <v>0.05</v>
      </c>
      <c r="J8" s="70">
        <v>8.5000000000000006E-2</v>
      </c>
      <c r="K8" s="1142">
        <f>SUMIF('数据-汇总表'!C$19:C$33,A8,'数据-汇总表'!E$19:E$33)</f>
        <v>2821.88</v>
      </c>
      <c r="L8" s="742">
        <v>2600</v>
      </c>
      <c r="M8" s="71">
        <f>ROUND(K8*L8/10000,0)</f>
        <v>734</v>
      </c>
      <c r="N8" s="740">
        <v>0.6</v>
      </c>
      <c r="O8" s="71">
        <f t="shared" si="3"/>
        <v>440</v>
      </c>
      <c r="P8" s="72">
        <f t="shared" si="4"/>
        <v>294</v>
      </c>
      <c r="Q8" s="743">
        <v>0.2</v>
      </c>
      <c r="R8" s="73">
        <f ca="1">SUMIF('数据-汇总表'!C$19:C$33,A8,'数据-汇总表'!R$19:R$27)</f>
        <v>1881.25</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2"/>
      <c r="AG8" s="143">
        <f t="shared" si="7"/>
        <v>0</v>
      </c>
      <c r="AH8" s="747"/>
      <c r="AI8" s="81"/>
      <c r="AJ8" s="82"/>
      <c r="AK8" s="748"/>
      <c r="AL8" s="749"/>
      <c r="AM8" s="750"/>
      <c r="AN8" s="1851"/>
      <c r="AO8" s="55" t="e">
        <f t="shared" ca="1" si="8"/>
        <v>#REF!</v>
      </c>
      <c r="AP8" s="1852">
        <f t="shared" si="9"/>
        <v>7336888</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hidden="1">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hidden="1">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hidden="1">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hidden="1">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hidden="1">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hidden="1">
      <c r="A14" s="1853" t="s">
        <v>1651</v>
      </c>
      <c r="B14" s="1849" t="s">
        <v>1652</v>
      </c>
      <c r="C14" s="1854" t="s">
        <v>1651</v>
      </c>
      <c r="D14" s="948"/>
      <c r="E14" s="947"/>
      <c r="F14" s="68"/>
      <c r="G14" s="69"/>
      <c r="H14" s="1141"/>
      <c r="I14" s="1141"/>
      <c r="J14" s="1141"/>
      <c r="K14" s="1142">
        <f>SUMIF('数据-汇总表'!C$19:C$33,A14,'数据-汇总表'!E$19:E$33)</f>
        <v>0</v>
      </c>
      <c r="L14" s="87"/>
      <c r="M14" s="71">
        <f t="shared" si="0"/>
        <v>0</v>
      </c>
      <c r="N14" s="88"/>
      <c r="O14" s="71">
        <f t="shared" si="3"/>
        <v>0</v>
      </c>
      <c r="P14" s="72">
        <f t="shared" si="4"/>
        <v>0</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8"/>
      <c r="AO14" s="2850"/>
      <c r="AP14" s="2850"/>
      <c r="AQ14" s="2850"/>
      <c r="AR14" s="2850"/>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1653</v>
      </c>
      <c r="B15" s="1849" t="s">
        <v>1652</v>
      </c>
      <c r="C15" s="1854" t="s">
        <v>1654</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8"/>
      <c r="AO15" s="2850"/>
      <c r="AP15" s="2850"/>
      <c r="AQ15" s="2850"/>
      <c r="AR15" s="2850"/>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1655</v>
      </c>
      <c r="B16" s="93"/>
      <c r="C16" s="923"/>
      <c r="D16" s="1856"/>
      <c r="E16" s="93"/>
      <c r="F16" s="93"/>
      <c r="G16" s="94">
        <f>ROUND(SUMPRODUCT(G6:G13,K6:K13)/SUMPRODUCT((G6:G13&gt;0)*(K6:K13)),3)</f>
        <v>0.995</v>
      </c>
      <c r="H16" s="95">
        <f>ROUND(SUMPRODUCT(H6:H13,K6:K13)/SUMPRODUCT((H6:H13&gt;0)*(K6:K13)),3)</f>
        <v>4.4999999999999998E-2</v>
      </c>
      <c r="I16" s="96"/>
      <c r="J16" s="96"/>
      <c r="K16" s="97">
        <f>SUM(K6:K15)</f>
        <v>6199.09</v>
      </c>
      <c r="L16" s="98">
        <f>ROUND(M16*10000/SUM(K6:K14),0)</f>
        <v>2600</v>
      </c>
      <c r="M16" s="98">
        <f>SUM(M6:M14)</f>
        <v>1612</v>
      </c>
      <c r="N16" s="99">
        <f>ROUND(SUMPRODUCT(M6:M14,N6:N14)/M16,3)</f>
        <v>0.6</v>
      </c>
      <c r="O16" s="98">
        <f>SUM(O6:O14)</f>
        <v>967</v>
      </c>
      <c r="P16" s="98">
        <f>SUM(P6:P14)</f>
        <v>645</v>
      </c>
      <c r="Q16" s="100">
        <f>ROUND(SUMPRODUCT(Q6:Q13,K6:K13)/SUMPRODUCT((Q6:Q13&gt;0)*(K6:K13)),2)</f>
        <v>0.2</v>
      </c>
      <c r="R16" s="1146">
        <f ca="1">SUM(R6:R13)</f>
        <v>4132.72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1656</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8" t="s">
        <v>1657</v>
      </c>
      <c r="B19" s="108">
        <v>0</v>
      </c>
      <c r="C19" s="2978" t="s">
        <v>2795</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9" t="s">
        <v>1658</v>
      </c>
      <c r="B20" s="109">
        <v>2</v>
      </c>
      <c r="C20" s="2979" t="s">
        <v>2793</v>
      </c>
      <c r="D20" s="2853"/>
      <c r="E20" s="2850"/>
      <c r="F20" s="2850"/>
      <c r="G20" s="2850"/>
      <c r="H20" s="2850"/>
      <c r="I20" s="2850"/>
      <c r="J20" s="2850"/>
      <c r="K20" s="2849"/>
      <c r="L20" s="2849"/>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0" t="s">
        <v>1659</v>
      </c>
      <c r="B21" s="109">
        <v>2</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9" t="s">
        <v>1660</v>
      </c>
      <c r="B22" s="110">
        <f>B19+B20</f>
        <v>2</v>
      </c>
      <c r="C22" s="2850"/>
      <c r="D22" s="2853"/>
      <c r="E22" s="2850"/>
      <c r="F22" s="2850"/>
      <c r="G22" s="2850"/>
      <c r="H22" s="2850"/>
      <c r="I22" s="2850"/>
      <c r="J22" s="2850"/>
      <c r="K22" s="2849"/>
      <c r="L22" s="3254" t="s">
        <v>3462</v>
      </c>
      <c r="M22" s="3255">
        <v>1754</v>
      </c>
      <c r="N22" s="3255">
        <v>2092</v>
      </c>
      <c r="O22" s="3255">
        <v>2555</v>
      </c>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0" t="s">
        <v>1661</v>
      </c>
      <c r="B23" s="110">
        <f>B19+B21</f>
        <v>2</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1" t="s">
        <v>1662</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2"/>
      <c r="B25" s="1823"/>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9" t="s">
        <v>1663</v>
      </c>
      <c r="B26" s="1862" t="s">
        <v>1664</v>
      </c>
      <c r="C26" s="2854" t="s">
        <v>1665</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4" customFormat="1" ht="27.75">
      <c r="A27" s="1863" t="s">
        <v>1666</v>
      </c>
      <c r="B27" s="112">
        <v>105</v>
      </c>
      <c r="C27" s="2980" t="s">
        <v>2797</v>
      </c>
      <c r="D27" s="2856"/>
      <c r="E27" s="2836"/>
      <c r="F27" s="2836" t="s">
        <v>3463</v>
      </c>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1667</v>
      </c>
      <c r="B28" s="115">
        <v>105</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1668</v>
      </c>
      <c r="B29" s="117">
        <f ca="1">成本法!C9</f>
        <v>0</v>
      </c>
      <c r="C29" s="2981" t="s">
        <v>2784</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1669</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1670</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1671</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1672</v>
      </c>
      <c r="B33" s="682">
        <v>0.03</v>
      </c>
      <c r="C33" s="2982" t="s">
        <v>2785</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1673</v>
      </c>
      <c r="B34" s="118">
        <v>0.05</v>
      </c>
      <c r="C34" s="2982" t="s">
        <v>2786</v>
      </c>
      <c r="D34" s="2861" t="s">
        <v>2794</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1674</v>
      </c>
      <c r="B35" s="115">
        <v>200</v>
      </c>
      <c r="C35" s="2982" t="s">
        <v>2787</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1675</v>
      </c>
      <c r="B36" s="119">
        <v>1.4999999999999999E-2</v>
      </c>
      <c r="C36" s="2982" t="s">
        <v>2788</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7" t="s">
        <v>1676</v>
      </c>
      <c r="B37" s="120">
        <v>0.02</v>
      </c>
      <c r="C37" s="2982" t="s">
        <v>2789</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5" t="s">
        <v>1677</v>
      </c>
      <c r="B38" s="118">
        <v>0.02</v>
      </c>
      <c r="C38" s="2982" t="s">
        <v>2789</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8" t="s">
        <v>1678</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3487</v>
      </c>
      <c r="B40" s="1191">
        <f ca="1">IF(A40="利息：取LPR",存贷款利率!G1,存贷款利率!G1+C40)</f>
        <v>4.1499999999999995E-2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3" t="s">
        <v>1679</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9" t="s">
        <v>1680</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9" t="s">
        <v>1681</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0" t="s">
        <v>1682</v>
      </c>
      <c r="B44" s="124">
        <v>7.0000000000000007E-2</v>
      </c>
      <c r="C44" s="2982" t="s">
        <v>2798</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0" t="s">
        <v>1683</v>
      </c>
      <c r="B45" s="122">
        <v>0.03</v>
      </c>
      <c r="C45" s="2981" t="s">
        <v>2790</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0" t="s">
        <v>1684</v>
      </c>
      <c r="B46" s="122">
        <v>0.02</v>
      </c>
      <c r="C46" s="2981" t="s">
        <v>2791</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1" t="s">
        <v>1685</v>
      </c>
      <c r="B47" s="125"/>
      <c r="C47" s="2984" t="s">
        <v>2799</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2" t="s">
        <v>1686</v>
      </c>
      <c r="B48" s="126">
        <v>0.03</v>
      </c>
      <c r="C48" s="2981" t="s">
        <v>2790</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8" t="s">
        <v>1687</v>
      </c>
      <c r="B49" s="122">
        <v>5.0000000000000001E-4</v>
      </c>
      <c r="C49" s="2981" t="s">
        <v>2792</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3" t="s">
        <v>1688</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6" t="s">
        <v>1689</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3" t="s">
        <v>1690</v>
      </c>
      <c r="B52" s="129">
        <f>SUMIF(A54:A63,B53,B54:B63)</f>
        <v>12</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5" t="s">
        <v>1691</v>
      </c>
      <c r="B53" s="1874" t="s">
        <v>268</v>
      </c>
      <c r="C53" s="2836" t="s">
        <v>1692</v>
      </c>
      <c r="D53" s="2983" t="s">
        <v>2796</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5" t="s">
        <v>1693</v>
      </c>
      <c r="B54" s="80">
        <v>16</v>
      </c>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5" t="s">
        <v>1694</v>
      </c>
      <c r="B55" s="80">
        <v>12</v>
      </c>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5" t="s">
        <v>1695</v>
      </c>
      <c r="B56" s="80">
        <v>8</v>
      </c>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5" t="s">
        <v>1696</v>
      </c>
      <c r="B57" s="80">
        <v>5</v>
      </c>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5" t="s">
        <v>1697</v>
      </c>
      <c r="B58" s="80">
        <v>3</v>
      </c>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5" t="s">
        <v>1698</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5" t="s">
        <v>1699</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5" t="s">
        <v>1700</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5" t="s">
        <v>1701</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6" t="s">
        <v>1702</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822" customWidth="1"/>
    <col min="2" max="2" width="24.5" style="1707" customWidth="1"/>
    <col min="3" max="3" width="24.5" style="2684" customWidth="1"/>
    <col min="4" max="4" width="2.625" style="2684" customWidth="1"/>
    <col min="5" max="5" width="5.875" style="2684" customWidth="1"/>
    <col min="6" max="6" width="27" style="1707"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2"/>
  </cols>
  <sheetData>
    <row r="1" spans="1:29" s="2631" customFormat="1" ht="18.75" thickBot="1">
      <c r="A1" s="3348" t="s">
        <v>2776</v>
      </c>
      <c r="B1" s="3349"/>
      <c r="C1" s="3349"/>
      <c r="D1" s="3349"/>
      <c r="E1" s="3349"/>
      <c r="F1" s="3349"/>
      <c r="G1" s="3349"/>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2773</v>
      </c>
      <c r="D2" s="2635"/>
      <c r="E2" s="2632"/>
      <c r="F2" s="2636"/>
      <c r="G2" s="2634" t="s">
        <v>2774</v>
      </c>
      <c r="H2" s="888"/>
      <c r="I2" s="888"/>
      <c r="J2" s="888"/>
      <c r="K2" s="888"/>
      <c r="L2" s="888"/>
      <c r="M2" s="888"/>
      <c r="N2" s="888"/>
      <c r="O2" s="888"/>
      <c r="P2" s="888"/>
      <c r="Q2" s="888"/>
      <c r="R2" s="888"/>
    </row>
    <row r="3" spans="1:29" ht="24">
      <c r="A3" s="2615" t="s">
        <v>2775</v>
      </c>
      <c r="B3" s="2637" t="s">
        <v>2751</v>
      </c>
      <c r="C3" s="2638"/>
      <c r="D3" s="2639"/>
      <c r="E3" s="2616" t="s">
        <v>2775</v>
      </c>
      <c r="F3" s="2640" t="s">
        <v>2752</v>
      </c>
      <c r="G3" s="2641"/>
      <c r="H3" s="888"/>
      <c r="I3" s="888"/>
      <c r="J3" s="888"/>
      <c r="K3" s="888"/>
      <c r="L3" s="888"/>
      <c r="M3" s="888"/>
      <c r="N3" s="888"/>
      <c r="O3" s="888"/>
      <c r="P3" s="888"/>
      <c r="Q3" s="888"/>
      <c r="R3" s="888"/>
    </row>
    <row r="4" spans="1:29">
      <c r="A4" s="2616"/>
      <c r="B4" s="329" t="s">
        <v>2753</v>
      </c>
      <c r="C4" s="2642"/>
      <c r="D4" s="2639"/>
      <c r="E4" s="2643"/>
      <c r="F4" s="1507" t="s">
        <v>2754</v>
      </c>
      <c r="G4" s="2644"/>
      <c r="H4" s="888"/>
      <c r="I4" s="888"/>
      <c r="J4" s="888"/>
      <c r="K4" s="888"/>
      <c r="L4" s="888"/>
      <c r="M4" s="888"/>
      <c r="N4" s="888"/>
      <c r="O4" s="888"/>
      <c r="P4" s="888"/>
      <c r="Q4" s="888"/>
      <c r="R4" s="888"/>
    </row>
    <row r="5" spans="1:29">
      <c r="A5" s="2616"/>
      <c r="B5" s="329" t="s">
        <v>2755</v>
      </c>
      <c r="C5" s="2642"/>
      <c r="D5" s="2639"/>
      <c r="E5" s="2643"/>
      <c r="F5" s="329" t="s">
        <v>2756</v>
      </c>
      <c r="G5" s="2644"/>
      <c r="H5" s="888"/>
      <c r="I5" s="888"/>
      <c r="J5" s="888"/>
      <c r="K5" s="888"/>
      <c r="L5" s="888"/>
      <c r="M5" s="888"/>
      <c r="N5" s="888"/>
      <c r="O5" s="888"/>
      <c r="P5" s="888"/>
      <c r="Q5" s="888"/>
      <c r="R5" s="888"/>
    </row>
    <row r="6" spans="1:29">
      <c r="A6" s="2616"/>
      <c r="B6" s="329" t="s">
        <v>2757</v>
      </c>
      <c r="C6" s="2644"/>
      <c r="D6" s="2639"/>
      <c r="E6" s="2643"/>
      <c r="F6" s="329" t="s">
        <v>2758</v>
      </c>
      <c r="G6" s="2644"/>
      <c r="H6" s="888"/>
      <c r="I6" s="888"/>
      <c r="J6" s="888"/>
      <c r="K6" s="888"/>
      <c r="L6" s="888"/>
      <c r="M6" s="888"/>
      <c r="N6" s="888"/>
      <c r="O6" s="888"/>
      <c r="P6" s="888"/>
      <c r="Q6" s="888"/>
      <c r="R6" s="888"/>
    </row>
    <row r="7" spans="1:29" ht="15" thickBot="1">
      <c r="A7" s="2616"/>
      <c r="B7" s="329" t="s">
        <v>2756</v>
      </c>
      <c r="C7" s="2644"/>
      <c r="D7" s="2645"/>
      <c r="E7" s="2646"/>
      <c r="F7" s="2647" t="s">
        <v>2759</v>
      </c>
      <c r="G7" s="2648"/>
      <c r="H7" s="888"/>
      <c r="I7" s="888"/>
      <c r="J7" s="888"/>
      <c r="K7" s="888"/>
      <c r="L7" s="888"/>
      <c r="M7" s="888"/>
      <c r="N7" s="888"/>
      <c r="O7" s="888"/>
      <c r="P7" s="888"/>
      <c r="Q7" s="888"/>
      <c r="R7" s="888"/>
    </row>
    <row r="8" spans="1:29">
      <c r="A8" s="2616"/>
      <c r="B8" s="329" t="s">
        <v>2758</v>
      </c>
      <c r="C8" s="2644"/>
      <c r="D8" s="2645"/>
      <c r="E8" s="2645"/>
      <c r="F8" s="2649"/>
      <c r="G8" s="2649"/>
      <c r="H8" s="888"/>
      <c r="I8" s="888"/>
      <c r="J8" s="888"/>
      <c r="K8" s="888"/>
      <c r="L8" s="888"/>
      <c r="M8" s="888"/>
      <c r="N8" s="888"/>
      <c r="O8" s="888"/>
      <c r="P8" s="888"/>
      <c r="Q8" s="888"/>
      <c r="R8" s="888"/>
    </row>
    <row r="9" spans="1:29">
      <c r="A9" s="2616"/>
      <c r="B9" s="329" t="s">
        <v>2760</v>
      </c>
      <c r="C9" s="2642"/>
      <c r="D9" s="2639"/>
      <c r="E9" s="2645"/>
      <c r="F9" s="2649"/>
      <c r="G9" s="2649"/>
      <c r="H9" s="888"/>
      <c r="I9" s="888"/>
      <c r="J9" s="888"/>
      <c r="K9" s="888"/>
      <c r="L9" s="888"/>
      <c r="M9" s="888"/>
      <c r="N9" s="888"/>
      <c r="O9" s="888"/>
      <c r="P9" s="888"/>
      <c r="Q9" s="888"/>
      <c r="R9" s="888"/>
    </row>
    <row r="10" spans="1:29" s="2655" customFormat="1" ht="15" thickBot="1">
      <c r="A10" s="2617"/>
      <c r="B10" s="2650" t="s">
        <v>2761</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2777</v>
      </c>
      <c r="B13" s="2658"/>
      <c r="C13" s="2658"/>
      <c r="D13" s="2656"/>
      <c r="E13" s="2658"/>
      <c r="F13" s="2658"/>
      <c r="G13" s="2658"/>
    </row>
    <row r="14" spans="1:29" ht="15" thickBot="1">
      <c r="A14" s="2668"/>
      <c r="B14" s="2668"/>
      <c r="C14" s="2669" t="s">
        <v>2762</v>
      </c>
      <c r="D14" s="2639"/>
      <c r="E14" s="2670"/>
      <c r="F14" s="2670"/>
      <c r="G14" s="2634" t="s">
        <v>2763</v>
      </c>
    </row>
    <row r="15" spans="1:29" ht="24">
      <c r="A15" s="2618" t="s">
        <v>2764</v>
      </c>
      <c r="B15" s="2671" t="s">
        <v>2751</v>
      </c>
      <c r="C15" s="2672">
        <f>C3</f>
        <v>0</v>
      </c>
      <c r="D15" s="2639"/>
      <c r="E15" s="2619" t="s">
        <v>2765</v>
      </c>
      <c r="F15" s="2671" t="s">
        <v>2766</v>
      </c>
      <c r="G15" s="2673">
        <f>G3</f>
        <v>0</v>
      </c>
    </row>
    <row r="16" spans="1:29">
      <c r="A16" s="2620"/>
      <c r="B16" s="2674" t="s">
        <v>2753</v>
      </c>
      <c r="C16" s="2675">
        <f>C4</f>
        <v>0</v>
      </c>
      <c r="D16" s="2639"/>
      <c r="E16" s="2621"/>
      <c r="F16" s="2676" t="s">
        <v>2754</v>
      </c>
      <c r="G16" s="2677">
        <f>G4</f>
        <v>0</v>
      </c>
    </row>
    <row r="17" spans="1:18">
      <c r="A17" s="2620"/>
      <c r="B17" s="2674" t="s">
        <v>2755</v>
      </c>
      <c r="C17" s="2675">
        <f>C5</f>
        <v>0</v>
      </c>
      <c r="D17" s="2645"/>
      <c r="E17" s="2621"/>
      <c r="F17" s="2676" t="s">
        <v>2767</v>
      </c>
      <c r="G17" s="2678"/>
    </row>
    <row r="18" spans="1:18">
      <c r="A18" s="2620"/>
      <c r="B18" s="2676" t="s">
        <v>2757</v>
      </c>
      <c r="C18" s="2677">
        <f>C6</f>
        <v>0</v>
      </c>
      <c r="D18" s="2645"/>
      <c r="E18" s="2621"/>
      <c r="F18" s="2676" t="s">
        <v>2759</v>
      </c>
      <c r="G18" s="2677">
        <f>G7</f>
        <v>0</v>
      </c>
    </row>
    <row r="19" spans="1:18">
      <c r="A19" s="2620"/>
      <c r="B19" s="2676" t="s">
        <v>2768</v>
      </c>
      <c r="C19" s="2678"/>
      <c r="D19" s="2639"/>
      <c r="E19" s="2621"/>
      <c r="F19" s="329" t="s">
        <v>2756</v>
      </c>
      <c r="G19" s="2677">
        <f>G5</f>
        <v>0</v>
      </c>
    </row>
    <row r="20" spans="1:18">
      <c r="A20" s="2620"/>
      <c r="B20" s="2676" t="s">
        <v>2769</v>
      </c>
      <c r="C20" s="2675">
        <f>C9</f>
        <v>0</v>
      </c>
      <c r="D20" s="2645"/>
      <c r="E20" s="2621"/>
      <c r="F20" s="329" t="s">
        <v>2758</v>
      </c>
      <c r="G20" s="2677">
        <f>G6</f>
        <v>0</v>
      </c>
    </row>
    <row r="21" spans="1:18">
      <c r="A21" s="2620"/>
      <c r="B21" s="329" t="s">
        <v>2756</v>
      </c>
      <c r="C21" s="2677">
        <f>C7</f>
        <v>0</v>
      </c>
      <c r="D21" s="2639"/>
      <c r="E21" s="2621"/>
      <c r="F21" s="2676" t="s">
        <v>2770</v>
      </c>
      <c r="G21" s="2679"/>
    </row>
    <row r="22" spans="1:18" ht="13.5" customHeight="1">
      <c r="A22" s="2620"/>
      <c r="B22" s="329" t="s">
        <v>2758</v>
      </c>
      <c r="C22" s="2677">
        <f>C8</f>
        <v>0</v>
      </c>
      <c r="D22" s="2639"/>
      <c r="E22" s="2621"/>
      <c r="F22" s="2676" t="s">
        <v>2761</v>
      </c>
      <c r="G22" s="2678"/>
    </row>
    <row r="23" spans="1:18" s="888" customFormat="1" ht="15" thickBot="1">
      <c r="A23" s="2620"/>
      <c r="B23" s="2676" t="s">
        <v>2770</v>
      </c>
      <c r="C23" s="2679"/>
      <c r="D23" s="1877"/>
      <c r="E23" s="2622"/>
      <c r="F23" s="2680" t="s">
        <v>2771</v>
      </c>
      <c r="G23" s="2681"/>
      <c r="H23" s="2665"/>
      <c r="I23" s="2666"/>
      <c r="J23" s="2665"/>
      <c r="K23" s="2665"/>
      <c r="L23" s="2666"/>
      <c r="M23" s="2665"/>
      <c r="N23" s="2665"/>
      <c r="O23" s="2666"/>
      <c r="P23" s="2665"/>
      <c r="Q23" s="2665"/>
      <c r="R23" s="2667"/>
    </row>
    <row r="24" spans="1:18" s="888" customFormat="1" ht="15" thickBot="1">
      <c r="A24" s="2623"/>
      <c r="B24" s="2680" t="s">
        <v>2772</v>
      </c>
      <c r="C24" s="2682">
        <f>C10</f>
        <v>0</v>
      </c>
      <c r="D24" s="1877"/>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6199.09</v>
      </c>
      <c r="C1" s="2863"/>
      <c r="D1" s="2863"/>
      <c r="E1" s="2863"/>
      <c r="F1" s="2863"/>
      <c r="G1" s="2864"/>
      <c r="H1" s="2865"/>
      <c r="I1" s="2865"/>
      <c r="J1" s="2865"/>
      <c r="K1" s="2865"/>
    </row>
    <row r="2" spans="1:11" ht="16.5">
      <c r="A2" s="2686" t="s">
        <v>1078</v>
      </c>
      <c r="B2" s="2686">
        <f>SUM(C14:C23)</f>
        <v>4132.7299999999996</v>
      </c>
      <c r="C2" s="2863"/>
      <c r="D2" s="2863"/>
      <c r="E2" s="2863"/>
      <c r="F2" s="2863"/>
      <c r="G2" s="2864"/>
      <c r="H2" s="2865"/>
      <c r="I2" s="2865"/>
      <c r="J2" s="2865"/>
      <c r="K2" s="2865"/>
    </row>
    <row r="3" spans="1:11" ht="16.5">
      <c r="A3" s="2686" t="s">
        <v>1087</v>
      </c>
      <c r="B3" s="2688">
        <f>项目基本情况!D3</f>
        <v>44915</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8729</v>
      </c>
      <c r="C5" s="2686">
        <f ca="1">ROUND(B5*10000/$B$1,0)</f>
        <v>14081</v>
      </c>
      <c r="D5" s="2686">
        <f ca="1">ROUND(B5*10000/$B$2,0)</f>
        <v>21122</v>
      </c>
      <c r="E5" s="2863"/>
      <c r="F5" s="2864"/>
      <c r="G5" s="2864"/>
      <c r="H5" s="2865"/>
      <c r="I5" s="2865"/>
      <c r="J5" s="2865"/>
      <c r="K5" s="2865"/>
    </row>
    <row r="6" spans="1:11" ht="16.5">
      <c r="A6" s="2686" t="s">
        <v>1081</v>
      </c>
      <c r="B6" s="2686">
        <f ca="1">SUM(G14:G23)</f>
        <v>8729</v>
      </c>
      <c r="C6" s="2686">
        <f ca="1">ROUND(B6*10000/$B$1,0)</f>
        <v>14081</v>
      </c>
      <c r="D6" s="2686">
        <f ca="1">ROUND(B6*10000/$B$2,0)</f>
        <v>21122</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6199.09</v>
      </c>
      <c r="C14" s="2692">
        <f>结果表!C118</f>
        <v>4132.7299999999996</v>
      </c>
      <c r="D14" s="2692">
        <f ca="1">结果表!H118</f>
        <v>8729</v>
      </c>
      <c r="E14" s="2692">
        <f ca="1">ROUND(D14*10000/B14,0)</f>
        <v>14081</v>
      </c>
      <c r="F14" s="2692">
        <f ca="1">ROUND(D14*10000/C14,0)</f>
        <v>21122</v>
      </c>
      <c r="G14" s="2692">
        <f ca="1">结果表!D122</f>
        <v>8729</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1"/>
      <c r="H15" s="1451"/>
      <c r="I15" s="2693"/>
      <c r="J15" s="2864"/>
      <c r="K15" s="2865"/>
    </row>
    <row r="16" spans="1:11" ht="16.5">
      <c r="A16" s="2691" t="s">
        <v>1073</v>
      </c>
      <c r="B16" s="2693"/>
      <c r="C16" s="2693"/>
      <c r="D16" s="2693"/>
      <c r="E16" s="2692" t="e">
        <f t="shared" si="0"/>
        <v>#DIV/0!</v>
      </c>
      <c r="F16" s="2692" t="e">
        <f t="shared" si="1"/>
        <v>#DIV/0!</v>
      </c>
      <c r="G16" s="1451"/>
      <c r="H16" s="1451"/>
      <c r="I16" s="2693"/>
      <c r="J16" s="2865"/>
      <c r="K16" s="2865"/>
    </row>
    <row r="17" spans="1:11" ht="16.5">
      <c r="A17" s="2691" t="s">
        <v>1072</v>
      </c>
      <c r="B17" s="2693"/>
      <c r="C17" s="2693"/>
      <c r="D17" s="2693"/>
      <c r="E17" s="2692" t="e">
        <f t="shared" si="0"/>
        <v>#DIV/0!</v>
      </c>
      <c r="F17" s="2692" t="e">
        <f t="shared" si="1"/>
        <v>#DIV/0!</v>
      </c>
      <c r="G17" s="1451"/>
      <c r="H17" s="1451"/>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9" zoomScaleNormal="100" zoomScaleSheetLayoutView="100" zoomScalePageLayoutView="80" workbookViewId="0">
      <selection activeCell="H37" sqref="H37"/>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1708</v>
      </c>
      <c r="B1" s="1883"/>
      <c r="C1" s="1884"/>
      <c r="D1" s="1883"/>
      <c r="E1" s="1883"/>
      <c r="F1" s="1885" t="s">
        <v>1709</v>
      </c>
      <c r="G1" s="1696" t="s">
        <v>3484</v>
      </c>
      <c r="H1" s="1886" t="str">
        <f>IF(G1="现房","——","估价对象范围")</f>
        <v>估价对象范围</v>
      </c>
      <c r="I1" s="1887" t="s">
        <v>70</v>
      </c>
    </row>
    <row r="2" spans="1:12" ht="21.75" customHeight="1" thickBot="1">
      <c r="A2" s="3420" t="str">
        <f>项目基本情况!S2</f>
        <v>出让国有建设用地使用权及在建建筑物房地产</v>
      </c>
      <c r="B2" s="3421"/>
      <c r="C2" s="3421"/>
      <c r="D2" s="3421"/>
      <c r="E2" s="3421"/>
      <c r="F2" s="3421"/>
      <c r="G2" s="3421"/>
      <c r="H2" s="3421"/>
      <c r="I2" s="3422"/>
    </row>
    <row r="3" spans="1:12" ht="12.75">
      <c r="A3" s="3424" t="s">
        <v>1710</v>
      </c>
      <c r="B3" s="3425"/>
      <c r="C3" s="3425"/>
      <c r="D3" s="3425"/>
      <c r="E3" s="3425"/>
      <c r="F3" s="3425"/>
      <c r="G3" s="3425"/>
      <c r="H3" s="3425"/>
      <c r="I3" s="3425"/>
    </row>
    <row r="4" spans="1:12" ht="14.25">
      <c r="A4" s="1890" t="s">
        <v>1711</v>
      </c>
      <c r="B4" s="1891" t="s">
        <v>1712</v>
      </c>
      <c r="C4" s="1892" t="s">
        <v>3485</v>
      </c>
      <c r="D4" s="1892" t="s">
        <v>3486</v>
      </c>
      <c r="E4" s="3429" t="s">
        <v>1713</v>
      </c>
      <c r="F4" s="3430"/>
      <c r="G4" s="3430"/>
      <c r="H4" s="3430"/>
      <c r="I4" s="343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65" t="s">
        <v>1714</v>
      </c>
      <c r="B5" s="3423">
        <v>25</v>
      </c>
      <c r="C5" s="3426"/>
      <c r="D5" s="3414"/>
      <c r="E5" s="136" t="s">
        <v>1715</v>
      </c>
      <c r="F5" s="1893"/>
      <c r="G5" s="1893"/>
      <c r="H5" s="1893"/>
      <c r="I5" s="1507"/>
    </row>
    <row r="6" spans="1:12" ht="12.75">
      <c r="A6" s="3365"/>
      <c r="B6" s="3423"/>
      <c r="C6" s="3428"/>
      <c r="D6" s="3414"/>
      <c r="E6" s="136" t="s">
        <v>1716</v>
      </c>
      <c r="F6" s="1893"/>
      <c r="G6" s="1893"/>
      <c r="H6" s="1893"/>
      <c r="I6" s="1507"/>
    </row>
    <row r="7" spans="1:12" ht="12.75">
      <c r="A7" s="3365"/>
      <c r="B7" s="3423"/>
      <c r="C7" s="3427"/>
      <c r="D7" s="3414"/>
      <c r="E7" s="136" t="s">
        <v>1717</v>
      </c>
      <c r="F7" s="1893"/>
      <c r="G7" s="1893"/>
      <c r="H7" s="1893"/>
      <c r="I7" s="1507"/>
    </row>
    <row r="8" spans="1:12" ht="12.75">
      <c r="A8" s="3365" t="s">
        <v>1718</v>
      </c>
      <c r="B8" s="3423">
        <v>15</v>
      </c>
      <c r="C8" s="3426"/>
      <c r="D8" s="3414"/>
      <c r="E8" s="136" t="s">
        <v>1719</v>
      </c>
      <c r="F8" s="1893"/>
      <c r="G8" s="1893"/>
      <c r="H8" s="1893"/>
      <c r="I8" s="1507"/>
    </row>
    <row r="9" spans="1:12" ht="12.75">
      <c r="A9" s="3365"/>
      <c r="B9" s="3423"/>
      <c r="C9" s="3427"/>
      <c r="D9" s="3414"/>
      <c r="E9" s="136" t="s">
        <v>1720</v>
      </c>
      <c r="F9" s="1893"/>
      <c r="G9" s="1893"/>
      <c r="H9" s="1893"/>
      <c r="I9" s="1507"/>
    </row>
    <row r="10" spans="1:12" ht="12.75">
      <c r="A10" s="3365" t="s">
        <v>1721</v>
      </c>
      <c r="B10" s="3423">
        <v>15</v>
      </c>
      <c r="C10" s="3426"/>
      <c r="D10" s="3414"/>
      <c r="E10" s="136" t="s">
        <v>1722</v>
      </c>
      <c r="F10" s="1893"/>
      <c r="G10" s="1893"/>
      <c r="H10" s="1893"/>
      <c r="I10" s="1507"/>
    </row>
    <row r="11" spans="1:12" ht="12.75">
      <c r="A11" s="3365"/>
      <c r="B11" s="3423"/>
      <c r="C11" s="3427"/>
      <c r="D11" s="3414"/>
      <c r="E11" s="136" t="s">
        <v>1723</v>
      </c>
      <c r="F11" s="1893"/>
      <c r="G11" s="1893"/>
      <c r="H11" s="1893"/>
      <c r="I11" s="1507"/>
    </row>
    <row r="12" spans="1:12" ht="12.75">
      <c r="A12" s="3365" t="s">
        <v>1724</v>
      </c>
      <c r="B12" s="3423">
        <v>15</v>
      </c>
      <c r="C12" s="3426"/>
      <c r="D12" s="3414"/>
      <c r="E12" s="136" t="s">
        <v>1725</v>
      </c>
      <c r="F12" s="1893"/>
      <c r="G12" s="1893"/>
      <c r="H12" s="1893"/>
      <c r="I12" s="1507"/>
    </row>
    <row r="13" spans="1:12" ht="12.75">
      <c r="A13" s="3365"/>
      <c r="B13" s="3423"/>
      <c r="C13" s="3427"/>
      <c r="D13" s="3414"/>
      <c r="E13" s="136" t="s">
        <v>1726</v>
      </c>
      <c r="F13" s="1893"/>
      <c r="G13" s="1893"/>
      <c r="H13" s="1893"/>
      <c r="I13" s="1507"/>
    </row>
    <row r="14" spans="1:12" ht="12.75">
      <c r="A14" s="3365" t="s">
        <v>1727</v>
      </c>
      <c r="B14" s="3423">
        <v>30</v>
      </c>
      <c r="C14" s="3426">
        <v>5</v>
      </c>
      <c r="D14" s="3414">
        <v>5</v>
      </c>
      <c r="E14" s="136" t="s">
        <v>1728</v>
      </c>
      <c r="F14" s="1893"/>
      <c r="G14" s="1893"/>
      <c r="H14" s="1893"/>
      <c r="I14" s="1507"/>
    </row>
    <row r="15" spans="1:12" ht="12.75">
      <c r="A15" s="3365"/>
      <c r="B15" s="3423"/>
      <c r="C15" s="3428"/>
      <c r="D15" s="3414"/>
      <c r="E15" s="136" t="s">
        <v>1729</v>
      </c>
      <c r="F15" s="1893"/>
      <c r="G15" s="1893"/>
      <c r="H15" s="1893"/>
      <c r="I15" s="1507"/>
    </row>
    <row r="16" spans="1:12" ht="12.75">
      <c r="A16" s="3365"/>
      <c r="B16" s="3423"/>
      <c r="C16" s="3427"/>
      <c r="D16" s="3414"/>
      <c r="E16" s="136" t="s">
        <v>1730</v>
      </c>
      <c r="F16" s="1893"/>
      <c r="G16" s="1893"/>
      <c r="H16" s="1893"/>
      <c r="I16" s="1507"/>
    </row>
    <row r="17" spans="1:36" ht="15">
      <c r="A17" s="1894" t="s">
        <v>1731</v>
      </c>
      <c r="B17" s="60"/>
      <c r="C17" s="137">
        <f>SUM(C5:C16)</f>
        <v>5</v>
      </c>
      <c r="D17" s="137">
        <f>SUM(D5:D16)</f>
        <v>5</v>
      </c>
      <c r="E17" s="134"/>
      <c r="F17" s="134"/>
      <c r="G17" s="134"/>
      <c r="H17" s="134"/>
      <c r="I17" s="134"/>
      <c r="K17" s="308"/>
      <c r="L17" s="308" t="s">
        <v>1732</v>
      </c>
      <c r="M17" s="308" t="s">
        <v>1733</v>
      </c>
    </row>
    <row r="18" spans="1:36" ht="31.9" customHeight="1" thickBot="1">
      <c r="A18" s="1895" t="s">
        <v>1734</v>
      </c>
      <c r="B18" s="1896"/>
      <c r="C18" s="138">
        <f>ROUND(C17/SUM(C17:D17),2)</f>
        <v>0.5</v>
      </c>
      <c r="D18" s="138">
        <f>1-C18</f>
        <v>0.5</v>
      </c>
      <c r="E18" s="3445" t="s">
        <v>2630</v>
      </c>
      <c r="F18" s="3446"/>
      <c r="G18" s="3446"/>
      <c r="H18" s="3446"/>
      <c r="I18" s="3446"/>
      <c r="K18" s="308" t="s">
        <v>1735</v>
      </c>
      <c r="L18" s="308">
        <f>IF(C1="",'数据-汇总表'!E3,SUMIF(项目类型,C1,'数据-汇总表'!E17:E26)+SUMIF(项目类型,C1,'数据-汇总表'!I17:I26))</f>
        <v>6199.09</v>
      </c>
      <c r="M18" s="308">
        <f>IF(C1="",'数据-汇总表'!E3,SUMIF(项目类型,C1,'数据-汇总表'!E17:E26))</f>
        <v>6199.09</v>
      </c>
    </row>
    <row r="19" spans="1:36" ht="15">
      <c r="A19" s="1897" t="s">
        <v>1736</v>
      </c>
      <c r="B19" s="1898" t="s">
        <v>1737</v>
      </c>
      <c r="C19" s="139">
        <f ca="1">SUMIF(INDIRECT("'"&amp;C4&amp;"'"&amp;"!A:A"),结果表!B19,INDIRECT("'"&amp;C4&amp;"'"&amp;"!B:B"))</f>
        <v>7442</v>
      </c>
      <c r="D19" s="140">
        <f ca="1">SUMIF(INDIRECT("'"&amp;D4&amp;"'"&amp;"!A:A"),结果表!B19,INDIRECT("'"&amp;D4&amp;"'"&amp;"!B:B"))</f>
        <v>10016</v>
      </c>
      <c r="E19" s="1897" t="s">
        <v>1738</v>
      </c>
      <c r="F19" s="1898" t="s">
        <v>1737</v>
      </c>
      <c r="G19" s="141">
        <f ca="1">ROUND(C19*$C$18+D19*$D$18,0)</f>
        <v>8729</v>
      </c>
      <c r="H19" s="1899" t="s">
        <v>1739</v>
      </c>
      <c r="I19" s="134"/>
      <c r="K19" s="308" t="s">
        <v>1740</v>
      </c>
      <c r="L19" s="308">
        <f>IF(C1="",'数据-汇总表'!D3,SUMIF(项目类型,C1,'数据-汇总表'!D17:D26)+SUMIF(项目类型,C1,'数据-汇总表'!H17:H27))</f>
        <v>4132.7299999999996</v>
      </c>
      <c r="M19" s="308">
        <f>IF(C1="",'数据-汇总表'!D3,SUMIF(项目类型,C1,'数据-汇总表'!D17:D26))</f>
        <v>4132.7299999999996</v>
      </c>
    </row>
    <row r="20" spans="1:36" ht="15">
      <c r="A20" s="1900"/>
      <c r="B20" s="1138" t="s">
        <v>1741</v>
      </c>
      <c r="C20" s="142">
        <f ca="1">SUMIF(INDIRECT("'"&amp;C4&amp;"'"&amp;"!A:A"),结果表!B20,INDIRECT("'"&amp;C4&amp;"'"&amp;"!B:B"))</f>
        <v>12005</v>
      </c>
      <c r="D20" s="143">
        <f ca="1">SUMIF(INDIRECT("'"&amp;D4&amp;"'"&amp;"!A:A"),结果表!B20,INDIRECT("'"&amp;D4&amp;"'"&amp;"!B:B"))</f>
        <v>16157</v>
      </c>
      <c r="E20" s="1900"/>
      <c r="F20" s="1138" t="s">
        <v>1741</v>
      </c>
      <c r="G20" s="144">
        <f ca="1">ROUND(C20*$C$18+D20*$D$18,0)</f>
        <v>14081</v>
      </c>
      <c r="H20" s="898" t="s">
        <v>1742</v>
      </c>
      <c r="I20" s="134"/>
    </row>
    <row r="21" spans="1:36" ht="15" customHeight="1" thickBot="1">
      <c r="A21" s="918"/>
      <c r="B21" s="1901" t="s">
        <v>1743</v>
      </c>
      <c r="C21" s="728">
        <f ca="1">ROUND(C19*10000/L19,0)</f>
        <v>18007</v>
      </c>
      <c r="D21" s="729">
        <f ca="1">ROUND(D19*10000/L19,0)</f>
        <v>24236</v>
      </c>
      <c r="E21" s="918"/>
      <c r="F21" s="1901" t="s">
        <v>1743</v>
      </c>
      <c r="G21" s="145">
        <f ca="1">ROUND(G19*10000/L19,0)</f>
        <v>21122</v>
      </c>
      <c r="H21" s="1902" t="s">
        <v>1742</v>
      </c>
      <c r="I21" s="134"/>
    </row>
    <row r="22" spans="1:36" ht="15" thickBot="1">
      <c r="A22" s="1824" t="s">
        <v>1744</v>
      </c>
      <c r="B22" s="1903"/>
      <c r="C22" s="1904"/>
      <c r="D22" s="730">
        <f ca="1">IF(C19&lt;D19,D19/C19-1,C19/D19-1)</f>
        <v>0.34587476484815904</v>
      </c>
      <c r="E22" s="134"/>
      <c r="F22" s="134"/>
      <c r="G22" s="134"/>
      <c r="H22" s="134"/>
      <c r="I22" s="134"/>
    </row>
    <row r="23" spans="1:36" ht="13.5" thickBot="1">
      <c r="A23" s="1883"/>
      <c r="B23" s="1883"/>
      <c r="C23" s="1883"/>
      <c r="D23" s="1883"/>
      <c r="E23" s="134"/>
      <c r="F23" s="134"/>
      <c r="G23" s="134"/>
      <c r="H23" s="134"/>
      <c r="I23" s="134"/>
    </row>
    <row r="24" spans="1:36" ht="14.25">
      <c r="A24" s="3438" t="s">
        <v>1745</v>
      </c>
      <c r="B24" s="1898" t="s">
        <v>1737</v>
      </c>
      <c r="C24" s="141">
        <f>IF(B30=0,0,D30)</f>
        <v>0</v>
      </c>
      <c r="D24" s="1905"/>
      <c r="E24" s="134"/>
      <c r="F24" s="134"/>
      <c r="G24" s="134"/>
      <c r="H24" s="134"/>
      <c r="I24" s="134"/>
    </row>
    <row r="25" spans="1:36" ht="14.25">
      <c r="A25" s="3439"/>
      <c r="B25" s="1138" t="s">
        <v>1741</v>
      </c>
      <c r="C25" s="146">
        <f>IF(B30=0,0,C30)</f>
        <v>0</v>
      </c>
      <c r="D25" s="1906"/>
      <c r="E25" s="134"/>
      <c r="F25" s="134"/>
      <c r="G25" s="134"/>
      <c r="H25" s="134"/>
      <c r="I25" s="134"/>
    </row>
    <row r="26" spans="1:36" ht="13.5" customHeight="1">
      <c r="A26" s="1907" t="s">
        <v>1746</v>
      </c>
      <c r="B26" s="147" t="s">
        <v>1747</v>
      </c>
      <c r="C26" s="147" t="s">
        <v>1748</v>
      </c>
      <c r="D26" s="148" t="s">
        <v>1749</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1750</v>
      </c>
      <c r="B30" s="147"/>
      <c r="C30" s="147"/>
      <c r="D30" s="147"/>
      <c r="E30" s="2470" t="s">
        <v>2631</v>
      </c>
      <c r="F30" s="134"/>
      <c r="G30" s="134"/>
      <c r="H30" s="134"/>
      <c r="I30" s="134"/>
    </row>
    <row r="31" spans="1:36" s="2476" customFormat="1" ht="26.45" customHeight="1" thickTop="1" thickBot="1">
      <c r="A31" s="2471"/>
      <c r="B31" s="2472"/>
      <c r="C31" s="2472"/>
      <c r="D31" s="2472"/>
      <c r="E31" s="2472"/>
      <c r="F31" s="2472"/>
      <c r="G31" s="2472"/>
      <c r="H31" s="2472"/>
      <c r="I31" s="2473" t="s">
        <v>2632</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9" t="s">
        <v>1751</v>
      </c>
      <c r="B32" s="1910"/>
      <c r="C32" s="149">
        <f ca="1">IF(D32="总价",G19-C24,G20-C25)</f>
        <v>8729</v>
      </c>
      <c r="D32" s="1911" t="s">
        <v>3491</v>
      </c>
      <c r="E32" s="134"/>
      <c r="F32" s="134"/>
      <c r="G32" s="134"/>
      <c r="H32" s="134"/>
      <c r="I32" s="134"/>
    </row>
    <row r="33" spans="1:15" ht="15">
      <c r="A33" s="875" t="s">
        <v>1752</v>
      </c>
      <c r="B33" s="1912"/>
      <c r="C33" s="1913" t="s">
        <v>3492</v>
      </c>
      <c r="D33" s="1914" t="s">
        <v>3485</v>
      </c>
      <c r="E33" s="1915" t="s">
        <v>1753</v>
      </c>
      <c r="F33" s="1916" t="str">
        <f>IF(D32="楼面单价","取值（单价）","取值（总价）")</f>
        <v>取值（总价）</v>
      </c>
      <c r="G33" s="134"/>
      <c r="H33" s="134"/>
      <c r="I33" s="134"/>
    </row>
    <row r="34" spans="1:15" ht="15">
      <c r="A34" s="1917"/>
      <c r="B34" s="1918" t="s">
        <v>1754</v>
      </c>
      <c r="C34" s="153">
        <f ca="1">IF(C33="自定义",F34,C32-C35)</f>
        <v>6905</v>
      </c>
      <c r="D34" s="951">
        <f ca="1">IF(C33="自定义",ROUND(C34/C32,3),IF(C33="收益比率",SUMIF(INDIRECT("'"&amp;D33&amp;"'"&amp;"!b:b"),"土地收益比率",INDIRECT("'"&amp;D33&amp;"'"&amp;"!c:c")),SUMIF(INDIRECT("'"&amp;D33&amp;"'"&amp;"!b:b"),"土地成本比率",INDIRECT("'"&amp;D33&amp;"'"&amp;"!c:c"))))</f>
        <v>0.79100000000000004</v>
      </c>
      <c r="E34" s="1919" t="s">
        <v>1755</v>
      </c>
      <c r="F34" s="1450"/>
      <c r="G34" s="134"/>
      <c r="H34" s="134"/>
      <c r="I34" s="134"/>
    </row>
    <row r="35" spans="1:15" ht="15.75" thickBot="1">
      <c r="A35" s="1920"/>
      <c r="B35" s="1921" t="s">
        <v>1756</v>
      </c>
      <c r="C35" s="1285">
        <f ca="1">IF(C33="自定义",F35,ROUND(C32*D35,0))</f>
        <v>1824</v>
      </c>
      <c r="D35" s="1286">
        <f ca="1">IF(C33="自定义",ROUND(C35/C32,3),IF(C33="收益比率",SUMIF(INDIRECT("'"&amp;D33&amp;"'"&amp;"!b:b"),"建筑物收益比率",INDIRECT("'"&amp;D33&amp;"'"&amp;"!c:c")),SUMIF(INDIRECT("'"&amp;D33&amp;"'"&amp;"!b:b"),"建筑物成本比率",INDIRECT("'"&amp;D33&amp;"'"&amp;"!c:c"))))</f>
        <v>0.20899999999999999</v>
      </c>
      <c r="E35" s="1922" t="s">
        <v>1757</v>
      </c>
      <c r="F35" s="159"/>
      <c r="G35" s="134"/>
      <c r="H35" s="134"/>
      <c r="I35" s="134"/>
    </row>
    <row r="36" spans="1:15" ht="15.75" thickBot="1">
      <c r="A36" s="3415" t="s">
        <v>1758</v>
      </c>
      <c r="B36" s="1923" t="s">
        <v>1759</v>
      </c>
      <c r="C36" s="150"/>
      <c r="D36" s="1924"/>
      <c r="E36" s="1925"/>
      <c r="F36" s="1926"/>
      <c r="G36" s="134"/>
      <c r="H36" s="134"/>
      <c r="I36" s="134"/>
    </row>
    <row r="37" spans="1:15" ht="15.75" thickBot="1">
      <c r="A37" s="3416"/>
      <c r="B37" s="1810" t="s">
        <v>1760</v>
      </c>
      <c r="C37" s="152"/>
      <c r="D37" s="1254"/>
      <c r="E37" s="1254"/>
      <c r="F37" s="1926"/>
      <c r="G37" s="134"/>
      <c r="H37" s="134"/>
      <c r="I37" s="134"/>
    </row>
    <row r="38" spans="1:15" ht="15.75" thickBot="1">
      <c r="A38" s="3417"/>
      <c r="B38" s="1927" t="s">
        <v>1761</v>
      </c>
      <c r="C38" s="683"/>
      <c r="D38" s="1928" t="s">
        <v>1762</v>
      </c>
      <c r="E38" s="1254"/>
      <c r="F38" s="1926"/>
      <c r="G38" s="134"/>
      <c r="H38" s="134"/>
      <c r="I38" s="134"/>
    </row>
    <row r="39" spans="1:15" ht="15">
      <c r="A39" s="1900" t="s">
        <v>1763</v>
      </c>
      <c r="B39" s="1929" t="s">
        <v>1764</v>
      </c>
      <c r="C39" s="1930" t="s">
        <v>1765</v>
      </c>
      <c r="D39" s="1930" t="s">
        <v>1766</v>
      </c>
      <c r="E39" s="1931" t="s">
        <v>1767</v>
      </c>
      <c r="F39" s="1926"/>
      <c r="G39" s="134"/>
      <c r="H39" s="134"/>
      <c r="I39" s="134"/>
    </row>
    <row r="40" spans="1:15" ht="14.25">
      <c r="A40" s="1932" t="s">
        <v>1768</v>
      </c>
      <c r="B40" s="154"/>
      <c r="C40" s="155"/>
      <c r="D40" s="155"/>
      <c r="E40" s="156"/>
      <c r="F40" s="1926"/>
      <c r="G40" s="134"/>
      <c r="H40" s="134"/>
      <c r="I40" s="134"/>
    </row>
    <row r="41" spans="1:15" ht="14.25">
      <c r="A41" s="1932" t="s">
        <v>1769</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1770</v>
      </c>
      <c r="B44" s="1937"/>
      <c r="C44" s="1937"/>
      <c r="D44" s="1938"/>
      <c r="E44" s="1938"/>
      <c r="F44" s="1939"/>
      <c r="G44" s="1939"/>
      <c r="H44" s="1939"/>
      <c r="I44" s="1939"/>
      <c r="J44" s="1940" t="s">
        <v>1771</v>
      </c>
      <c r="K44" s="1941"/>
      <c r="L44" s="1941"/>
      <c r="M44" s="1941"/>
      <c r="N44" s="1941"/>
      <c r="O44" s="1941"/>
    </row>
    <row r="45" spans="1:15" ht="14.25" customHeight="1" thickBot="1">
      <c r="A45" s="3435" t="s">
        <v>1772</v>
      </c>
      <c r="B45" s="3436"/>
      <c r="C45" s="3437"/>
      <c r="D45" s="160">
        <f ca="1">ROUND(H101*F45,0)</f>
        <v>8729</v>
      </c>
      <c r="E45" s="161" t="s">
        <v>1773</v>
      </c>
      <c r="F45" s="162">
        <v>1</v>
      </c>
      <c r="G45" s="163" t="s">
        <v>1774</v>
      </c>
      <c r="H45" s="134"/>
      <c r="I45" s="134"/>
      <c r="J45" s="3352" t="s">
        <v>1775</v>
      </c>
      <c r="K45" s="3352"/>
      <c r="L45" s="3352"/>
      <c r="M45" s="3352"/>
      <c r="N45" s="3352"/>
      <c r="O45" s="3352"/>
    </row>
    <row r="46" spans="1:15" ht="14.25" customHeight="1">
      <c r="A46" s="3432" t="s">
        <v>1776</v>
      </c>
      <c r="B46" s="3433"/>
      <c r="C46" s="3433"/>
      <c r="D46" s="3433"/>
      <c r="E46" s="3433"/>
      <c r="F46" s="3433"/>
      <c r="G46" s="3434"/>
      <c r="H46" s="1942"/>
      <c r="I46" s="164"/>
      <c r="J46" s="2697">
        <v>1</v>
      </c>
      <c r="K46" s="3353" t="s">
        <v>1777</v>
      </c>
      <c r="L46" s="3353"/>
      <c r="M46" s="3354"/>
      <c r="N46" s="3354"/>
      <c r="O46" s="3354"/>
    </row>
    <row r="47" spans="1:15" ht="12" customHeight="1">
      <c r="A47" s="165" t="s">
        <v>1778</v>
      </c>
      <c r="B47" s="166"/>
      <c r="C47" s="167"/>
      <c r="D47" s="1200" t="s">
        <v>1779</v>
      </c>
      <c r="E47" s="308" t="s">
        <v>1780</v>
      </c>
      <c r="F47" s="168" t="s">
        <v>1781</v>
      </c>
      <c r="G47" s="2720" t="s">
        <v>1782</v>
      </c>
      <c r="H47" s="2721"/>
      <c r="I47" s="164"/>
      <c r="J47" s="2697">
        <v>2</v>
      </c>
      <c r="K47" s="3353" t="s">
        <v>1783</v>
      </c>
      <c r="L47" s="3353"/>
      <c r="M47" s="3355">
        <f>'数据-取费表'!B2</f>
        <v>44915</v>
      </c>
      <c r="N47" s="3355"/>
      <c r="O47" s="3355"/>
    </row>
    <row r="48" spans="1:15" ht="25.5">
      <c r="A48" s="3418" t="s">
        <v>1784</v>
      </c>
      <c r="B48" s="3419"/>
      <c r="C48" s="3419"/>
      <c r="D48" s="2496" t="b">
        <f>IF(H48="情况1",0,IF(H48="情况2",D52,IF(H48="情况3",D53,IF(H48="情况4",D54))))</f>
        <v>0</v>
      </c>
      <c r="E48" s="2506" t="str">
        <f>IF(H48="情况4","(销售额-原购置价)×税（费）率","销售额×税（费）率")</f>
        <v>销售额×税（费）率</v>
      </c>
      <c r="F48" s="2722">
        <f>IF(H48="情况1","免征",'数据-取费表'!B41)</f>
        <v>5.6000000000000001E-2</v>
      </c>
      <c r="G48" s="2723" t="s">
        <v>1785</v>
      </c>
      <c r="H48" s="2724"/>
      <c r="I48" s="1942"/>
      <c r="J48" s="2697">
        <v>3</v>
      </c>
      <c r="K48" s="3353" t="s">
        <v>1786</v>
      </c>
      <c r="L48" s="3353"/>
      <c r="M48" s="3356">
        <f ca="1">H101</f>
        <v>8729</v>
      </c>
      <c r="N48" s="3356"/>
      <c r="O48" s="3356"/>
    </row>
    <row r="49" spans="1:35" ht="25.5" customHeight="1">
      <c r="A49" s="2505" t="s">
        <v>1787</v>
      </c>
      <c r="B49" s="3401" t="s">
        <v>1788</v>
      </c>
      <c r="C49" s="3401"/>
      <c r="D49" s="1725">
        <v>0</v>
      </c>
      <c r="E49" s="330" t="s">
        <v>1789</v>
      </c>
      <c r="F49" s="2598" t="s">
        <v>34</v>
      </c>
      <c r="G49" s="3384"/>
      <c r="H49" s="2477" t="s">
        <v>2633</v>
      </c>
      <c r="I49" s="2478"/>
      <c r="J49" s="2697">
        <v>4</v>
      </c>
      <c r="K49" s="3353" t="str">
        <f>IF(项目基本情况!E8="房地产抵押价值","房地产抵押价值","抵押担保权已注销时的房地产抵押价值")</f>
        <v>房地产抵押价值</v>
      </c>
      <c r="L49" s="3353"/>
      <c r="M49" s="3356">
        <f ca="1">IF(项目基本情况!E8="房地产抵押价值",H107,H109)</f>
        <v>8729</v>
      </c>
      <c r="N49" s="3356"/>
      <c r="O49" s="3356"/>
    </row>
    <row r="50" spans="1:35" ht="25.5" customHeight="1">
      <c r="A50" s="2725"/>
      <c r="B50" s="3401" t="s">
        <v>1790</v>
      </c>
      <c r="C50" s="3401"/>
      <c r="D50" s="2726"/>
      <c r="E50" s="338"/>
      <c r="F50" s="2598"/>
      <c r="G50" s="3385"/>
      <c r="H50" s="2479" t="s">
        <v>2634</v>
      </c>
      <c r="I50" s="2478"/>
      <c r="J50" s="3352" t="s">
        <v>1791</v>
      </c>
      <c r="K50" s="3352"/>
      <c r="L50" s="3352"/>
      <c r="M50" s="3352"/>
      <c r="N50" s="3352"/>
      <c r="O50" s="3352"/>
    </row>
    <row r="51" spans="1:35" ht="20.45" customHeight="1">
      <c r="A51" s="2727"/>
      <c r="B51" s="3401" t="s">
        <v>1792</v>
      </c>
      <c r="C51" s="3401"/>
      <c r="D51" s="1200"/>
      <c r="E51" s="333"/>
      <c r="F51" s="2598"/>
      <c r="G51" s="3386"/>
      <c r="H51" s="2479" t="s">
        <v>2635</v>
      </c>
      <c r="I51" s="2478"/>
      <c r="J51" s="2698" t="s">
        <v>1793</v>
      </c>
      <c r="K51" s="3353" t="s">
        <v>1794</v>
      </c>
      <c r="L51" s="3353"/>
      <c r="M51" s="2698" t="s">
        <v>1795</v>
      </c>
      <c r="N51" s="2698" t="s">
        <v>1796</v>
      </c>
      <c r="O51" s="2698" t="s">
        <v>1797</v>
      </c>
    </row>
    <row r="52" spans="1:35" ht="24" customHeight="1">
      <c r="A52" s="2507" t="s">
        <v>1798</v>
      </c>
      <c r="B52" s="3401" t="s">
        <v>1799</v>
      </c>
      <c r="C52" s="3401"/>
      <c r="D52" s="1200">
        <f ca="1">ROUND(D45*'数据-取费表'!B41/(1+'数据-取费表'!C42),0)</f>
        <v>466</v>
      </c>
      <c r="E52" s="2506" t="s">
        <v>1800</v>
      </c>
      <c r="F52" s="2728">
        <f>'数据-取费表'!B41</f>
        <v>5.6000000000000001E-2</v>
      </c>
      <c r="G52" s="2729"/>
      <c r="H52" s="2718"/>
      <c r="I52" s="1943"/>
      <c r="J52" s="2697">
        <v>1</v>
      </c>
      <c r="K52" s="3378" t="s">
        <v>1801</v>
      </c>
      <c r="L52" s="3378"/>
      <c r="M52" s="2699" t="b">
        <f>D48</f>
        <v>0</v>
      </c>
      <c r="N52" s="2697" t="str">
        <f>E48</f>
        <v>销售额×税（费）率</v>
      </c>
      <c r="O52" s="2700">
        <f>F48</f>
        <v>5.6000000000000001E-2</v>
      </c>
    </row>
    <row r="53" spans="1:35" ht="12" customHeight="1">
      <c r="A53" s="2507" t="s">
        <v>1802</v>
      </c>
      <c r="B53" s="3402" t="s">
        <v>2781</v>
      </c>
      <c r="C53" s="3403"/>
      <c r="D53" s="1200">
        <f ca="1">ROUND(D45*'数据-取费表'!B41/(1+'数据-取费表'!C42),0)</f>
        <v>466</v>
      </c>
      <c r="E53" s="2506" t="s">
        <v>1800</v>
      </c>
      <c r="F53" s="2728">
        <f>'数据-取费表'!B41</f>
        <v>5.6000000000000001E-2</v>
      </c>
      <c r="G53" s="2729"/>
      <c r="H53" s="2718"/>
      <c r="I53" s="1943"/>
      <c r="J53" s="2697">
        <v>2</v>
      </c>
      <c r="K53" s="3378" t="s">
        <v>1803</v>
      </c>
      <c r="L53" s="3378"/>
      <c r="M53" s="2699">
        <f t="shared" ref="M53:O54" ca="1" si="0">D55</f>
        <v>4</v>
      </c>
      <c r="N53" s="2697" t="str">
        <f t="shared" si="0"/>
        <v>销售额×税（费）率</v>
      </c>
      <c r="O53" s="2700" t="str">
        <f t="shared" si="0"/>
        <v>免征</v>
      </c>
    </row>
    <row r="54" spans="1:35" ht="12" customHeight="1">
      <c r="A54" s="2507" t="s">
        <v>1804</v>
      </c>
      <c r="B54" s="3402" t="s">
        <v>2782</v>
      </c>
      <c r="C54" s="3403"/>
      <c r="D54" s="1200">
        <f ca="1">C68</f>
        <v>466</v>
      </c>
      <c r="E54" s="333" t="s">
        <v>1805</v>
      </c>
      <c r="F54" s="2728">
        <f>'数据-取费表'!B41</f>
        <v>5.6000000000000001E-2</v>
      </c>
      <c r="G54" s="2729"/>
      <c r="H54" s="2730"/>
      <c r="I54" s="1943"/>
      <c r="J54" s="2697">
        <v>3</v>
      </c>
      <c r="K54" s="3378" t="s">
        <v>1806</v>
      </c>
      <c r="L54" s="3378"/>
      <c r="M54" s="2699">
        <f t="shared" ca="1" si="0"/>
        <v>4940</v>
      </c>
      <c r="N54" s="2697" t="str">
        <f t="shared" si="0"/>
        <v>增值额×税（费）率</v>
      </c>
      <c r="O54" s="2701" t="str">
        <f t="shared" si="0"/>
        <v>免征</v>
      </c>
    </row>
    <row r="55" spans="1:35" ht="24" customHeight="1">
      <c r="A55" s="3441" t="s">
        <v>1807</v>
      </c>
      <c r="B55" s="3419"/>
      <c r="C55" s="3419"/>
      <c r="D55" s="2496">
        <f ca="1">IF(H55="个人住宅",0,ROUND(D45*I55,0))</f>
        <v>4</v>
      </c>
      <c r="E55" s="2506" t="s">
        <v>1808</v>
      </c>
      <c r="F55" s="2728" t="str">
        <f>IF(H55="正常",I55,"免征")</f>
        <v>免征</v>
      </c>
      <c r="G55" s="2729"/>
      <c r="H55" s="2724"/>
      <c r="I55" s="170">
        <f>'数据-取费表'!B49</f>
        <v>5.0000000000000001E-4</v>
      </c>
      <c r="J55" s="2697">
        <f>IF(H59="非个人房产","",4)</f>
        <v>4</v>
      </c>
      <c r="K55" s="3378" t="str">
        <f>IF(H59="非个人房产","——","个人所得税")</f>
        <v>个人所得税</v>
      </c>
      <c r="L55" s="3378"/>
      <c r="M55" s="2702">
        <f ca="1">D59</f>
        <v>83</v>
      </c>
      <c r="N55" s="2177" t="str">
        <f>E59</f>
        <v>差额计税</v>
      </c>
      <c r="O55" s="2703">
        <f>F59</f>
        <v>0.01</v>
      </c>
    </row>
    <row r="56" spans="1:35" ht="24.75">
      <c r="A56" s="3441" t="s">
        <v>1809</v>
      </c>
      <c r="B56" s="3419"/>
      <c r="C56" s="3419"/>
      <c r="D56" s="2496">
        <f ca="1">IF(H56="个人住宅",D57,D58)</f>
        <v>4940</v>
      </c>
      <c r="E56" s="2506" t="s">
        <v>1810</v>
      </c>
      <c r="F56" s="2728" t="str">
        <f>IF(H56="正常",F58,"免征")</f>
        <v>免征</v>
      </c>
      <c r="G56" s="2731" t="s">
        <v>1811</v>
      </c>
      <c r="H56" s="2732"/>
      <c r="I56" s="1944"/>
      <c r="J56" s="2697" t="str">
        <f>IF(项目基本情况!K6="上海银行",IF(J55="",4,J55+1),"")</f>
        <v/>
      </c>
      <c r="K56" s="3359" t="str">
        <f>IF(项目基本情况!K6="上海银行","其他处置费用","")</f>
        <v/>
      </c>
      <c r="L56" s="3360"/>
      <c r="M56" s="2699" t="str">
        <f>IF(项目基本情况!K6="上海银行",M69,"")</f>
        <v/>
      </c>
      <c r="N56" s="3359" t="str">
        <f>IF(项目基本情况!K6="上海银行","包含处置中涉及的律师、诉讼、拍卖、评估等费用","")</f>
        <v/>
      </c>
      <c r="O56" s="3362"/>
    </row>
    <row r="57" spans="1:35" ht="12.75">
      <c r="A57" s="2507" t="s">
        <v>1787</v>
      </c>
      <c r="B57" s="3402" t="s">
        <v>1812</v>
      </c>
      <c r="C57" s="3403"/>
      <c r="D57" s="1725">
        <v>0</v>
      </c>
      <c r="E57" s="330" t="s">
        <v>1789</v>
      </c>
      <c r="F57" s="308"/>
      <c r="G57" s="2729"/>
      <c r="H57" s="2733"/>
      <c r="I57" s="1944"/>
      <c r="J57" s="3378">
        <f>IF(AND(J55="",J56=""),4,IF(项目基本情况!K6="上海银行",结果表!J56+1,结果表!J55+1))</f>
        <v>5</v>
      </c>
      <c r="K57" s="3378" t="s">
        <v>1813</v>
      </c>
      <c r="L57" s="2704" t="s">
        <v>1814</v>
      </c>
      <c r="M57" s="2705"/>
      <c r="N57" s="2706">
        <f ca="1">SUMIF(M52:M56,"&lt;9e307")</f>
        <v>5027</v>
      </c>
      <c r="O57" s="2707"/>
      <c r="P57" s="2867">
        <f ca="1">N57/M49</f>
        <v>0.57589643716347805</v>
      </c>
    </row>
    <row r="58" spans="1:35" ht="24.75">
      <c r="A58" s="2507" t="s">
        <v>1798</v>
      </c>
      <c r="B58" s="3402" t="s">
        <v>1815</v>
      </c>
      <c r="C58" s="3401"/>
      <c r="D58" s="2496">
        <f ca="1">IF(H58="转让取得",C81,C97)</f>
        <v>4940</v>
      </c>
      <c r="E58" s="2506" t="s">
        <v>1810</v>
      </c>
      <c r="F58" s="308" t="s">
        <v>34</v>
      </c>
      <c r="G58" s="2729"/>
      <c r="H58" s="2732"/>
      <c r="I58" s="1944"/>
      <c r="J58" s="3378"/>
      <c r="K58" s="3378"/>
      <c r="L58" s="2704" t="s">
        <v>1816</v>
      </c>
      <c r="M58" s="2708"/>
      <c r="N58" s="2709" t="str">
        <f ca="1">NUMBERSTRING(INT(N57*10000),2)&amp;"元整"</f>
        <v>伍仟零贰拾柒万元整</v>
      </c>
      <c r="O58" s="2710"/>
    </row>
    <row r="59" spans="1:35" ht="24.75" thickBot="1">
      <c r="A59" s="3382" t="s">
        <v>1817</v>
      </c>
      <c r="B59" s="3383"/>
      <c r="C59" s="3383"/>
      <c r="D59" s="2734">
        <f ca="1">IF(H59="非个人房产","——",IF(H59="个人住宅（满五唯一有凭证）",0,IF(H59="个人其他（无凭证）",ROUND(D45*F59,0),ROUND(C67*F59,0))))</f>
        <v>83</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1811</v>
      </c>
      <c r="H59" s="2481"/>
      <c r="I59" s="2480" t="s">
        <v>2636</v>
      </c>
      <c r="J59" s="3380">
        <f>J57+1</f>
        <v>6</v>
      </c>
      <c r="K59" s="3378" t="s">
        <v>1818</v>
      </c>
      <c r="L59" s="2697" t="s">
        <v>1814</v>
      </c>
      <c r="M59" s="2711"/>
      <c r="N59" s="2712">
        <f ca="1">M49-N57</f>
        <v>3702</v>
      </c>
      <c r="O59" s="2713"/>
    </row>
    <row r="60" spans="1:35" ht="12" customHeight="1">
      <c r="A60" s="1945"/>
      <c r="B60" s="1883"/>
      <c r="C60" s="1883"/>
      <c r="D60" s="1883"/>
      <c r="E60" s="1713"/>
      <c r="F60" s="1944"/>
      <c r="G60" s="1944"/>
      <c r="H60" s="1946"/>
      <c r="I60" s="134"/>
      <c r="J60" s="3381"/>
      <c r="K60" s="3378"/>
      <c r="L60" s="2704" t="s">
        <v>1816</v>
      </c>
      <c r="M60" s="2708"/>
      <c r="N60" s="2709" t="str">
        <f ca="1">NUMBERSTRING(INT(N59*10000),2)&amp;"元整"</f>
        <v>叁仟柒佰零贰万元整</v>
      </c>
      <c r="O60" s="2710"/>
    </row>
    <row r="61" spans="1:35" ht="13.5" thickBot="1">
      <c r="A61" s="3440" t="s">
        <v>1819</v>
      </c>
      <c r="B61" s="3440"/>
      <c r="C61" s="3440"/>
      <c r="D61" s="3440"/>
      <c r="E61" s="3440"/>
      <c r="F61" s="1944"/>
      <c r="G61" s="1944"/>
      <c r="H61" s="1946"/>
      <c r="I61" s="134"/>
      <c r="J61" s="2697">
        <f>J59+1</f>
        <v>7</v>
      </c>
      <c r="K61" s="3378" t="s">
        <v>1820</v>
      </c>
      <c r="L61" s="3378"/>
      <c r="M61" s="2714"/>
      <c r="N61" s="2715">
        <f ca="1">ROUND(N59*10000/'数据-汇总表'!E3,0)</f>
        <v>5972</v>
      </c>
      <c r="O61" s="2716"/>
    </row>
    <row r="62" spans="1:35" ht="12.75">
      <c r="A62" s="3397" t="s">
        <v>1821</v>
      </c>
      <c r="B62" s="3398"/>
      <c r="C62" s="2158"/>
      <c r="D62" s="2158" t="s">
        <v>1822</v>
      </c>
      <c r="E62" s="171" t="s">
        <v>1823</v>
      </c>
      <c r="F62" s="1944"/>
      <c r="G62" s="1944"/>
      <c r="H62" s="1946"/>
      <c r="I62" s="134"/>
    </row>
    <row r="63" spans="1:35" ht="12.75">
      <c r="A63" s="178" t="s">
        <v>594</v>
      </c>
      <c r="B63" s="172" t="s">
        <v>1824</v>
      </c>
      <c r="C63" s="2738">
        <f ca="1">ROUND((C64+C65)/(1+'数据-取费表'!C42),0)</f>
        <v>8313</v>
      </c>
      <c r="D63" s="172"/>
      <c r="E63" s="173"/>
      <c r="F63" s="1944"/>
      <c r="G63" s="1944"/>
      <c r="H63" s="1946"/>
      <c r="I63" s="134"/>
      <c r="J63" s="3361" t="s">
        <v>1825</v>
      </c>
      <c r="K63" s="1452" t="s">
        <v>1826</v>
      </c>
      <c r="L63" s="1452">
        <f ca="1">IF(M49&gt;10000,M49*0.5%,IF(AND(M49&gt;1000,M49&lt;=10000),M49*1%,IF(AND(M49&gt;100,M49&lt;=1000),M49*3%,IF(AND(M49&gt;10,M49&lt;=100),M49*5%,M49*8%))))</f>
        <v>87.29</v>
      </c>
      <c r="M63" s="308">
        <f ca="1">ROUND(L63,1)</f>
        <v>87.3</v>
      </c>
      <c r="N63" s="2717"/>
      <c r="Z63" s="1888"/>
      <c r="AI63" s="1889"/>
    </row>
    <row r="64" spans="1:35" ht="14.25" customHeight="1">
      <c r="A64" s="174" t="s">
        <v>589</v>
      </c>
      <c r="B64" s="175" t="s">
        <v>1827</v>
      </c>
      <c r="C64" s="2739">
        <f ca="1">D45</f>
        <v>8729</v>
      </c>
      <c r="D64" s="175" t="s">
        <v>32</v>
      </c>
      <c r="E64" s="177"/>
      <c r="F64" s="1944"/>
      <c r="G64" s="1944"/>
      <c r="H64" s="1946"/>
      <c r="I64" s="134"/>
      <c r="J64" s="3361"/>
      <c r="K64" s="1452" t="s">
        <v>1828</v>
      </c>
      <c r="L64" s="1452">
        <f ca="1">IF(M49&gt;2000,M49*0.5%,IF(AND(M49&gt;1000,M49&lt;=2000),M49*0.6%,IF(AND(M49&gt;500,M49&lt;=1000),M49*0.7%,IF(AND(M49&gt;200,M49&lt;=500),M49*0.8%,IF(AND(M49&gt;100,M49&lt;=200),M49*0.9%,IF(AND(M49&gt;50,M49&lt;=100),M49*1%,IF(AND(M49&gt;20,M49&lt;=50),M49*1.5%,IF(AND(M49&gt;10,M49&lt;=20),M49*2%,IF(AND(M49&gt;1,M49&lt;=10),M49*2.5%)))))))))</f>
        <v>43.645000000000003</v>
      </c>
      <c r="M64" s="308">
        <f t="shared" ref="M64:M65" ca="1" si="1">ROUND(L64,1)</f>
        <v>43.6</v>
      </c>
      <c r="N64" s="2718" t="s">
        <v>1829</v>
      </c>
      <c r="Z64" s="1888"/>
      <c r="AI64" s="1889"/>
    </row>
    <row r="65" spans="1:35" ht="14.25" customHeight="1">
      <c r="A65" s="174" t="s">
        <v>590</v>
      </c>
      <c r="B65" s="175" t="s">
        <v>1830</v>
      </c>
      <c r="C65" s="2740"/>
      <c r="D65" s="175"/>
      <c r="E65" s="177"/>
      <c r="F65" s="1944"/>
      <c r="G65" s="1944"/>
      <c r="H65" s="1946"/>
      <c r="I65" s="134"/>
      <c r="J65" s="3361"/>
      <c r="K65" s="1452" t="s">
        <v>1831</v>
      </c>
      <c r="L65" s="1452">
        <f ca="1">IF(M49&gt;1000,M49*0.1%,IF(AND(M49&gt;500,M49&lt;=1000),M49*0.5%,IF(AND(M49&gt;50,M49&lt;=500),M49*1%,IF(AND(M49&gt;1,M49&lt;=50),M49*1.5%))))</f>
        <v>8.729000000000001</v>
      </c>
      <c r="M65" s="308">
        <f t="shared" ca="1" si="1"/>
        <v>8.6999999999999993</v>
      </c>
      <c r="N65" s="2718" t="s">
        <v>1829</v>
      </c>
      <c r="Z65" s="1888"/>
      <c r="AI65" s="1889"/>
    </row>
    <row r="66" spans="1:35" ht="14.25" customHeight="1">
      <c r="A66" s="178" t="s">
        <v>591</v>
      </c>
      <c r="B66" s="179" t="s">
        <v>1832</v>
      </c>
      <c r="C66" s="2741"/>
      <c r="D66" s="179" t="s">
        <v>32</v>
      </c>
      <c r="E66" s="1459" t="s">
        <v>1096</v>
      </c>
      <c r="F66" s="1944"/>
      <c r="G66" s="1944"/>
      <c r="H66" s="1946"/>
      <c r="I66" s="134"/>
      <c r="J66" s="3361"/>
      <c r="K66" s="1452" t="s">
        <v>1833</v>
      </c>
      <c r="L66" s="1452">
        <f ca="1">M49*0.5%</f>
        <v>43.645000000000003</v>
      </c>
      <c r="M66" s="308">
        <f ca="1">IF(L66&gt;0.5,0.5,ROUND(L66,0))</f>
        <v>0.5</v>
      </c>
      <c r="N66" s="2718" t="s">
        <v>1834</v>
      </c>
      <c r="Z66" s="1888"/>
      <c r="AI66" s="1889"/>
    </row>
    <row r="67" spans="1:35" ht="14.25" customHeight="1">
      <c r="A67" s="178" t="s">
        <v>592</v>
      </c>
      <c r="B67" s="179" t="s">
        <v>1835</v>
      </c>
      <c r="C67" s="2742">
        <f ca="1">C63-C66</f>
        <v>8313</v>
      </c>
      <c r="D67" s="175" t="s">
        <v>32</v>
      </c>
      <c r="E67" s="177"/>
      <c r="F67" s="1944"/>
      <c r="G67" s="1944"/>
      <c r="H67" s="1946"/>
      <c r="I67" s="134"/>
      <c r="J67" s="3361"/>
      <c r="K67" s="1452" t="s">
        <v>1836</v>
      </c>
      <c r="L67" s="1452">
        <f ca="1">IF(M49&gt;=10000,(8.25+(M49-10000)*0.01%),IF(AND(M49&gt;=8000,M49&lt;10000),(7.85+(M49-8000)*0.02%),IF(AND(M49&gt;=5000,M49&lt;8000),(6.65+(M49-5000)*0.04%),IF(AND(M49&gt;=2000,M49&lt;5000),(4.25+(PM49-2000)*0.08%),IF(AND(M49&gt;=1000,M49&lt;2000),(2.75+(M49-1000)*0.15%),IF(AND(M49&gt;=100,M49&lt;1000),(0.5+(M49-100)*0.25%),IF(AND(M49&gt;0,M49&lt;100),M49*0.5%)))))))</f>
        <v>7.9958</v>
      </c>
      <c r="M67" s="308">
        <f ca="1">ROUND(L67*0.9,1)</f>
        <v>7.2</v>
      </c>
      <c r="N67" s="2717"/>
      <c r="Z67" s="1888"/>
      <c r="AI67" s="1889"/>
    </row>
    <row r="68" spans="1:35" ht="14.25" customHeight="1" thickBot="1">
      <c r="A68" s="181" t="s">
        <v>593</v>
      </c>
      <c r="B68" s="182" t="s">
        <v>1837</v>
      </c>
      <c r="C68" s="2743">
        <f ca="1">IF(C67&lt;=0,0,ROUND(C67*D68,0))</f>
        <v>466</v>
      </c>
      <c r="D68" s="2744">
        <f>'数据-取费表'!B41</f>
        <v>5.6000000000000001E-2</v>
      </c>
      <c r="E68" s="184"/>
      <c r="F68" s="1944"/>
      <c r="G68" s="1944"/>
      <c r="H68" s="1946"/>
      <c r="I68" s="134"/>
      <c r="J68" s="3361"/>
      <c r="K68" s="1452" t="s">
        <v>1838</v>
      </c>
      <c r="L68" s="1452">
        <f ca="1">IF(M49&gt;10000,M49*0.5%,IF(AND(M49&gt;5000,M49&lt;=10000),M49*1%,IF(AND(M49&gt;1000,M49&lt;=5000),M49*2%,IF(AND(M49&gt;200,M49&lt;=1000),M49*3%,M49*5%))))</f>
        <v>87.29</v>
      </c>
      <c r="M68" s="308">
        <f ca="1">ROUND(L68,1)</f>
        <v>87.3</v>
      </c>
      <c r="N68" s="2717"/>
      <c r="Z68" s="1888"/>
      <c r="AI68" s="1889"/>
    </row>
    <row r="69" spans="1:35" s="1908" customFormat="1" ht="16.5" customHeight="1">
      <c r="A69" s="1947"/>
      <c r="B69" s="1948"/>
      <c r="C69" s="1949"/>
      <c r="D69" s="1950"/>
      <c r="E69" s="1951"/>
      <c r="F69" s="1713"/>
      <c r="G69" s="1713"/>
      <c r="H69" s="1712"/>
      <c r="I69" s="1883"/>
      <c r="J69" s="3361"/>
      <c r="K69" s="1452" t="s">
        <v>1839</v>
      </c>
      <c r="L69" s="1452"/>
      <c r="M69" s="308">
        <f ca="1">ROUND(SUM(M63:M68),0)</f>
        <v>235</v>
      </c>
      <c r="N69" s="2719">
        <f ca="1">M69/M49</f>
        <v>2.6921755069309199E-2</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405" t="s">
        <v>1840</v>
      </c>
      <c r="B70" s="3406"/>
      <c r="C70" s="3406"/>
      <c r="D70" s="3406"/>
      <c r="E70" s="3406"/>
      <c r="F70" s="3406"/>
      <c r="G70" s="3406"/>
      <c r="H70" s="3406"/>
      <c r="I70" s="1952"/>
      <c r="J70" s="2868"/>
      <c r="K70" s="2868"/>
      <c r="L70" s="2868"/>
      <c r="M70" s="2868"/>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7" t="s">
        <v>1821</v>
      </c>
      <c r="B71" s="3398"/>
      <c r="C71" s="2158"/>
      <c r="D71" s="2158" t="s">
        <v>1822</v>
      </c>
      <c r="E71" s="185" t="s">
        <v>1823</v>
      </c>
      <c r="F71" s="186"/>
      <c r="G71" s="186"/>
      <c r="H71" s="187"/>
      <c r="I71" s="1956"/>
      <c r="J71" s="2868"/>
      <c r="K71" s="2868"/>
      <c r="L71" s="2868"/>
      <c r="M71" s="2868"/>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1841</v>
      </c>
      <c r="C72" s="2742">
        <f ca="1">ROUND(D45/(1+'数据-取费表'!C42),0)</f>
        <v>8313</v>
      </c>
      <c r="D72" s="175" t="s">
        <v>32</v>
      </c>
      <c r="E72" s="2503"/>
      <c r="F72" s="2502"/>
      <c r="G72" s="2502"/>
      <c r="H72" s="188"/>
      <c r="I72" s="1956"/>
      <c r="J72" s="2868"/>
      <c r="K72" s="2868"/>
      <c r="L72" s="2868"/>
      <c r="M72" s="2868"/>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1842</v>
      </c>
      <c r="C73" s="2742">
        <f ca="1">C74+C78</f>
        <v>50</v>
      </c>
      <c r="D73" s="175" t="s">
        <v>32</v>
      </c>
      <c r="E73" s="2503"/>
      <c r="F73" s="2502"/>
      <c r="G73" s="2502"/>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1843</v>
      </c>
      <c r="C74" s="175">
        <f>ROUND(IF(G77="2016年5月1日后购买",C75/(1+'数据-取费表'!C42)+C76+C77,C75+C76+C77),0)</f>
        <v>0</v>
      </c>
      <c r="D74" s="175" t="s">
        <v>32</v>
      </c>
      <c r="E74" s="2503"/>
      <c r="F74" s="2502"/>
      <c r="G74" s="2502"/>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1844</v>
      </c>
      <c r="C75" s="2745"/>
      <c r="D75" s="175" t="s">
        <v>32</v>
      </c>
      <c r="E75" s="190" t="s">
        <v>1845</v>
      </c>
      <c r="F75" s="2746"/>
      <c r="G75" s="190" t="s">
        <v>1846</v>
      </c>
      <c r="H75" s="2747"/>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1847</v>
      </c>
      <c r="C76" s="175">
        <f>IF(F75="购房发票",ROUND(C75*H75*D76,0),0)</f>
        <v>0</v>
      </c>
      <c r="D76" s="2748">
        <v>0.05</v>
      </c>
      <c r="E76" s="3402" t="s">
        <v>1848</v>
      </c>
      <c r="F76" s="3401"/>
      <c r="G76" s="3401"/>
      <c r="H76" s="3404"/>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1849</v>
      </c>
      <c r="C77" s="175">
        <f>ROUND(IF(G77="个人住宅",0,IF(G77="2016年5月1日前购买",C75*D77,C75*D77/(1+'数据-取费表'!C42))),0)</f>
        <v>0</v>
      </c>
      <c r="D77" s="2749">
        <f>'数据-取费表'!B48+'数据-取费表'!B49</f>
        <v>3.0499999999999999E-2</v>
      </c>
      <c r="E77" s="2496" t="s">
        <v>1850</v>
      </c>
      <c r="F77" s="192"/>
      <c r="G77" s="1958"/>
      <c r="H77" s="2504"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1851</v>
      </c>
      <c r="C78" s="2750">
        <f ca="1">ROUND(D45*D78/(1+'数据-取费表'!C42),0)</f>
        <v>50</v>
      </c>
      <c r="D78" s="2751">
        <f>'数据-取费表'!B43</f>
        <v>6.000000000000001E-3</v>
      </c>
      <c r="E78" s="3394" t="s">
        <v>1852</v>
      </c>
      <c r="F78" s="3395"/>
      <c r="G78" s="3395"/>
      <c r="H78" s="3396"/>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1853</v>
      </c>
      <c r="C79" s="2742">
        <f ca="1">C72-C73</f>
        <v>8263</v>
      </c>
      <c r="D79" s="175" t="s">
        <v>32</v>
      </c>
      <c r="E79" s="2503"/>
      <c r="F79" s="2502"/>
      <c r="G79" s="2502"/>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1854</v>
      </c>
      <c r="C80" s="2752">
        <f ca="1">IF(C79&lt;=0,0,C79/C73)</f>
        <v>165.26</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1855</v>
      </c>
      <c r="C81" s="2753">
        <f ca="1">ROUND(IF(C79&lt;=0,0,IF(C80&gt;=200%,C79*60%-C73*35%,IF(C80&gt;=100%,C79*50%-C73*15%,IF(C80&gt;=50%,C79*40%-C73*5%,IF(C80&lt;50%,C79*30%,0))))),0)</f>
        <v>4940</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405" t="s">
        <v>1856</v>
      </c>
      <c r="B83" s="3406"/>
      <c r="C83" s="3406"/>
      <c r="D83" s="3406"/>
      <c r="E83" s="3406"/>
      <c r="F83" s="3406"/>
      <c r="G83" s="3406"/>
      <c r="H83" s="3406"/>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7" t="s">
        <v>1821</v>
      </c>
      <c r="B84" s="3398"/>
      <c r="C84" s="2158"/>
      <c r="D84" s="2158" t="s">
        <v>1822</v>
      </c>
      <c r="E84" s="185" t="s">
        <v>1823</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1841</v>
      </c>
      <c r="C85" s="2742">
        <f ca="1">ROUND(D45/(1+'数据-取费表'!C42),0)</f>
        <v>8313</v>
      </c>
      <c r="D85" s="175" t="s">
        <v>32</v>
      </c>
      <c r="E85" s="2503"/>
      <c r="F85" s="2502"/>
      <c r="G85" s="2502"/>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1842</v>
      </c>
      <c r="C86" s="2742">
        <f ca="1">IF(H88="仅含出让金",C87+C90+C91+C92+C93+C94,C87+C91+C92+C93+C94)</f>
        <v>50</v>
      </c>
      <c r="D86" s="2755"/>
      <c r="E86" s="2503"/>
      <c r="F86" s="2502"/>
      <c r="G86" s="2502"/>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1857</v>
      </c>
      <c r="C87" s="2750">
        <f>C88+C89</f>
        <v>0</v>
      </c>
      <c r="D87" s="2751"/>
      <c r="E87" s="2498"/>
      <c r="F87" s="2499"/>
      <c r="G87" s="2499"/>
      <c r="H87" s="2500"/>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1858</v>
      </c>
      <c r="C88" s="2756"/>
      <c r="D88" s="2751"/>
      <c r="E88" s="199" t="s">
        <v>1859</v>
      </c>
      <c r="F88" s="2499"/>
      <c r="G88" s="200" t="s">
        <v>1860</v>
      </c>
      <c r="H88" s="1960"/>
      <c r="I88" s="1957"/>
      <c r="J88" s="2695" t="s">
        <v>2778</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1849</v>
      </c>
      <c r="C89" s="2750">
        <f>ROUND(C88*D89,0)</f>
        <v>0</v>
      </c>
      <c r="D89" s="2751">
        <f>'数据-取费表'!B48+'数据-取费表'!B49</f>
        <v>3.0499999999999999E-2</v>
      </c>
      <c r="E89" s="199" t="s">
        <v>1861</v>
      </c>
      <c r="F89" s="2499"/>
      <c r="G89" s="2499"/>
      <c r="H89" s="2500"/>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1862</v>
      </c>
      <c r="C90" s="2756"/>
      <c r="D90" s="2751"/>
      <c r="E90" s="199" t="str">
        <f>IF(H88="-","土地取得成本中已包含该笔费用"," ")</f>
        <v xml:space="preserve"> </v>
      </c>
      <c r="F90" s="2499"/>
      <c r="G90" s="3363" t="s">
        <v>2628</v>
      </c>
      <c r="H90" s="3364"/>
      <c r="I90" s="1957"/>
      <c r="J90" s="2695" t="s">
        <v>2779</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1863</v>
      </c>
      <c r="B91" s="175" t="s">
        <v>1864</v>
      </c>
      <c r="C91" s="2750">
        <f>IF(H91="——",成本法!C33,I91)</f>
        <v>0</v>
      </c>
      <c r="D91" s="2751"/>
      <c r="E91" s="3394" t="s">
        <v>1865</v>
      </c>
      <c r="F91" s="3395"/>
      <c r="G91" s="3395"/>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1866</v>
      </c>
      <c r="B92" s="175" t="s">
        <v>1867</v>
      </c>
      <c r="C92" s="2750">
        <f>ROUND((C87+C90+C91)*D92,0)</f>
        <v>0</v>
      </c>
      <c r="D92" s="2757"/>
      <c r="E92" s="3394" t="s">
        <v>1868</v>
      </c>
      <c r="F92" s="3395"/>
      <c r="G92" s="3395"/>
      <c r="H92" s="3396"/>
      <c r="I92" s="1957"/>
      <c r="J92" s="2696" t="s">
        <v>2780</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1869</v>
      </c>
      <c r="B93" s="175" t="s">
        <v>1851</v>
      </c>
      <c r="C93" s="2750">
        <f ca="1">ROUND(D45*D93/(1+'数据-取费表'!C42),0)</f>
        <v>50</v>
      </c>
      <c r="D93" s="2751">
        <f>'数据-取费表'!B43</f>
        <v>6.000000000000001E-3</v>
      </c>
      <c r="E93" s="3394" t="s">
        <v>1852</v>
      </c>
      <c r="F93" s="3395"/>
      <c r="G93" s="3395"/>
      <c r="H93" s="3396"/>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1870</v>
      </c>
      <c r="B94" s="175" t="s">
        <v>1871</v>
      </c>
      <c r="C94" s="2756">
        <f>ROUND((C87+C90+C91)*D94,0)</f>
        <v>0</v>
      </c>
      <c r="D94" s="2751">
        <v>0.2</v>
      </c>
      <c r="E94" s="3442" t="s">
        <v>1872</v>
      </c>
      <c r="F94" s="3443"/>
      <c r="G94" s="3443"/>
      <c r="H94" s="3444"/>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1853</v>
      </c>
      <c r="C95" s="2742">
        <f ca="1">ROUND(C85-C86,0)</f>
        <v>8263</v>
      </c>
      <c r="D95" s="175" t="s">
        <v>32</v>
      </c>
      <c r="E95" s="2503"/>
      <c r="F95" s="2502"/>
      <c r="G95" s="2502"/>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1854</v>
      </c>
      <c r="C96" s="2752">
        <f ca="1">IF(C95&lt;=0,0,C95/C86)</f>
        <v>165.26</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1855</v>
      </c>
      <c r="C97" s="2753">
        <f ca="1">ROUND(IF(C95&lt;=0,0,IF(C96&gt;=200%,C95*60%-C86*35%,IF(C96&gt;=100%,C95*50%-C86*15%,IF(C96&gt;=50%,C95*40%-C86*5%,IF(C96&lt;50%,C95*30%,0))))),0)</f>
        <v>4940</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1873</v>
      </c>
      <c r="B99" s="1883"/>
      <c r="C99" s="1883"/>
      <c r="D99" s="1883"/>
      <c r="E99" s="1713"/>
      <c r="F99" s="1713"/>
      <c r="G99" s="1713"/>
      <c r="H99" s="1712"/>
      <c r="I99" s="134"/>
    </row>
    <row r="100" spans="1:35" ht="18.75" customHeight="1">
      <c r="A100" s="3344" t="s">
        <v>1874</v>
      </c>
      <c r="B100" s="3345"/>
      <c r="C100" s="3345"/>
      <c r="D100" s="3379"/>
      <c r="E100" s="3345" t="s">
        <v>1875</v>
      </c>
      <c r="F100" s="3345"/>
      <c r="G100" s="3345"/>
      <c r="H100" s="3379"/>
      <c r="I100" s="134"/>
    </row>
    <row r="101" spans="1:35" ht="18.75" customHeight="1">
      <c r="A101" s="3387" t="s">
        <v>1876</v>
      </c>
      <c r="B101" s="3388"/>
      <c r="C101" s="2759" t="str">
        <f>C4</f>
        <v>成本法</v>
      </c>
      <c r="D101" s="2760" t="str">
        <f>D4</f>
        <v>假设开发法</v>
      </c>
      <c r="E101" s="3357" t="s">
        <v>1877</v>
      </c>
      <c r="F101" s="3358"/>
      <c r="G101" s="1963" t="s">
        <v>1878</v>
      </c>
      <c r="H101" s="2769">
        <f ca="1">H118</f>
        <v>8729</v>
      </c>
      <c r="I101" s="134"/>
    </row>
    <row r="102" spans="1:35" ht="18.75" customHeight="1">
      <c r="A102" s="3389" t="s">
        <v>1879</v>
      </c>
      <c r="B102" s="2758" t="s">
        <v>1878</v>
      </c>
      <c r="C102" s="2759">
        <f ca="1">C19</f>
        <v>7442</v>
      </c>
      <c r="D102" s="2760">
        <f ca="1">D19</f>
        <v>10016</v>
      </c>
      <c r="E102" s="3357"/>
      <c r="F102" s="3358"/>
      <c r="G102" s="1963" t="s">
        <v>1880</v>
      </c>
      <c r="H102" s="2729">
        <f ca="1">I118</f>
        <v>14081</v>
      </c>
      <c r="I102" s="134"/>
    </row>
    <row r="103" spans="1:35" ht="42.75" customHeight="1">
      <c r="A103" s="3389"/>
      <c r="B103" s="2758" t="s">
        <v>1880</v>
      </c>
      <c r="C103" s="2761">
        <f ca="1">C20</f>
        <v>12005</v>
      </c>
      <c r="D103" s="2762">
        <f ca="1">D20</f>
        <v>16157</v>
      </c>
      <c r="E103" s="3350" t="s">
        <v>1881</v>
      </c>
      <c r="F103" s="3351"/>
      <c r="G103" s="1964" t="s">
        <v>1882</v>
      </c>
      <c r="H103" s="2769">
        <f>IF(D36="正常操作",H104+H105+H106,H105+H106)</f>
        <v>0</v>
      </c>
      <c r="I103" s="134"/>
    </row>
    <row r="104" spans="1:35" ht="18.75" customHeight="1">
      <c r="A104" s="3389" t="s">
        <v>1883</v>
      </c>
      <c r="B104" s="2763" t="s">
        <v>1878</v>
      </c>
      <c r="C104" s="2764">
        <f ca="1">H118</f>
        <v>8729</v>
      </c>
      <c r="D104" s="2765"/>
      <c r="E104" s="1810" t="s">
        <v>1884</v>
      </c>
      <c r="F104" s="1801"/>
      <c r="G104" s="1964" t="s">
        <v>1882</v>
      </c>
      <c r="H104" s="2770">
        <f>IF(D36="同一抵押权人同一抵押物续贷",C36&amp;"（续贷，未扣减，详见特别提示）",C36)</f>
        <v>0</v>
      </c>
      <c r="I104" s="134"/>
    </row>
    <row r="105" spans="1:35" ht="18.75" customHeight="1" thickBot="1">
      <c r="A105" s="3399"/>
      <c r="B105" s="2766" t="s">
        <v>1880</v>
      </c>
      <c r="C105" s="2767">
        <f ca="1">I118</f>
        <v>14081</v>
      </c>
      <c r="D105" s="2768"/>
      <c r="E105" s="1810" t="s">
        <v>1885</v>
      </c>
      <c r="F105" s="1801"/>
      <c r="G105" s="1964" t="s">
        <v>1882</v>
      </c>
      <c r="H105" s="2771">
        <f>C37</f>
        <v>0</v>
      </c>
      <c r="I105" s="134"/>
    </row>
    <row r="106" spans="1:35" ht="18.75" customHeight="1">
      <c r="A106" s="1883" t="s">
        <v>1886</v>
      </c>
      <c r="B106" s="1883"/>
      <c r="C106" s="1883"/>
      <c r="D106" s="1883"/>
      <c r="E106" s="1965" t="s">
        <v>1887</v>
      </c>
      <c r="F106" s="1801"/>
      <c r="G106" s="1964" t="s">
        <v>1882</v>
      </c>
      <c r="H106" s="2771">
        <f>C38</f>
        <v>0</v>
      </c>
      <c r="I106" s="134"/>
    </row>
    <row r="107" spans="1:35" ht="18.75" customHeight="1">
      <c r="A107" s="134"/>
      <c r="B107" s="134"/>
      <c r="C107" s="134"/>
      <c r="D107" s="134"/>
      <c r="E107" s="3390" t="str">
        <f>IF(项目基本情况!E8="已注销","——","3.房地产抵押价值")</f>
        <v>3.房地产抵押价值</v>
      </c>
      <c r="F107" s="3358"/>
      <c r="G107" s="1963" t="s">
        <v>1878</v>
      </c>
      <c r="H107" s="2769">
        <f ca="1">IF(E107="——","——",H101-H103)</f>
        <v>8729</v>
      </c>
      <c r="I107" s="134"/>
    </row>
    <row r="108" spans="1:35" ht="18.75" customHeight="1">
      <c r="A108" s="134"/>
      <c r="B108" s="134"/>
      <c r="C108" s="134"/>
      <c r="D108" s="134"/>
      <c r="E108" s="3390"/>
      <c r="F108" s="3358"/>
      <c r="G108" s="1963" t="s">
        <v>1880</v>
      </c>
      <c r="H108" s="2729">
        <f ca="1">ROUND(H107*10000/'数据-汇总表'!E3,0)</f>
        <v>14081</v>
      </c>
      <c r="I108" s="134"/>
    </row>
    <row r="109" spans="1:35" ht="18.75" customHeight="1">
      <c r="A109" s="134"/>
      <c r="B109" s="134"/>
      <c r="C109" s="134"/>
      <c r="D109" s="134"/>
      <c r="E109" s="3390" t="str">
        <f>IF(项目基本情况!E8="已注销及未注销","4.抵押担保权已注销时的房地产抵押价值",IF(项目基本情况!E8="已注销","3.抵押担保权已注销时的房地产抵押价值","——"))</f>
        <v>——</v>
      </c>
      <c r="F109" s="3358"/>
      <c r="G109" s="1963" t="s">
        <v>1878</v>
      </c>
      <c r="H109" s="2772" t="str">
        <f>IF(E109="——","——",H101-H105-H106)</f>
        <v>——</v>
      </c>
      <c r="I109" s="134"/>
    </row>
    <row r="110" spans="1:35" ht="18.75" customHeight="1">
      <c r="A110" s="134"/>
      <c r="B110" s="134"/>
      <c r="C110" s="134"/>
      <c r="D110" s="134"/>
      <c r="E110" s="3390"/>
      <c r="F110" s="3358"/>
      <c r="G110" s="1963" t="s">
        <v>1880</v>
      </c>
      <c r="H110" s="2729" t="str">
        <f>IF(H109="——","——",ROUND(H109*10000/'数据-汇总表'!E3,0))</f>
        <v>——</v>
      </c>
      <c r="I110" s="134"/>
    </row>
    <row r="111" spans="1:35" ht="18.75" customHeight="1">
      <c r="A111" s="134"/>
      <c r="B111" s="134"/>
      <c r="C111" s="134"/>
      <c r="D111" s="134"/>
      <c r="E111" s="3391" t="str">
        <f>IF(项目基本情况!E9="抵押净值",IF(OR(项目基本情况!E8="已注销",项目基本情况!E8="房地产抵押价值"),"4.抵押净值","5.抵押净值"),"——")</f>
        <v>——</v>
      </c>
      <c r="F111" s="3377"/>
      <c r="G111" s="1963" t="s">
        <v>1878</v>
      </c>
      <c r="H111" s="2769" t="str">
        <f>IF(E111="——","——",N59)</f>
        <v>——</v>
      </c>
      <c r="I111" s="134"/>
    </row>
    <row r="112" spans="1:35" ht="18.75" customHeight="1" thickBot="1">
      <c r="A112" s="134"/>
      <c r="B112" s="134"/>
      <c r="C112" s="134"/>
      <c r="D112" s="134"/>
      <c r="E112" s="3392"/>
      <c r="F112" s="3393"/>
      <c r="G112" s="1966" t="s">
        <v>1880</v>
      </c>
      <c r="H112" s="2773" t="str">
        <f>IF(E111="——","——",N61)</f>
        <v>——</v>
      </c>
      <c r="I112" s="134"/>
    </row>
    <row r="113" spans="1:27" ht="18.75" customHeight="1">
      <c r="A113" s="134"/>
      <c r="B113" s="134"/>
      <c r="C113" s="134"/>
      <c r="D113" s="134"/>
      <c r="E113" s="3400" t="s">
        <v>1886</v>
      </c>
      <c r="F113" s="3400"/>
      <c r="G113" s="3400"/>
      <c r="H113" s="3400"/>
      <c r="I113" s="134"/>
    </row>
    <row r="114" spans="1:27" ht="3.75" customHeight="1">
      <c r="A114" s="1883"/>
      <c r="B114" s="1883"/>
      <c r="C114" s="1883"/>
      <c r="D114" s="1883"/>
      <c r="E114" s="1945"/>
      <c r="F114" s="1945"/>
      <c r="G114" s="1945"/>
      <c r="H114" s="1945"/>
      <c r="I114" s="1883"/>
    </row>
    <row r="115" spans="1:27" ht="18.75" customHeight="1">
      <c r="A115" s="3411" t="s">
        <v>1888</v>
      </c>
      <c r="B115" s="3412"/>
      <c r="C115" s="3412"/>
      <c r="D115" s="3412"/>
      <c r="E115" s="3412"/>
      <c r="F115" s="3412"/>
      <c r="G115" s="3412"/>
      <c r="H115" s="3412"/>
      <c r="I115" s="3413"/>
    </row>
    <row r="116" spans="1:27" ht="27" customHeight="1">
      <c r="A116" s="3365" t="s">
        <v>1889</v>
      </c>
      <c r="B116" s="3369" t="s">
        <v>1890</v>
      </c>
      <c r="C116" s="3369" t="s">
        <v>1891</v>
      </c>
      <c r="D116" s="3375" t="s">
        <v>1892</v>
      </c>
      <c r="E116" s="3376"/>
      <c r="F116" s="3407" t="s">
        <v>1893</v>
      </c>
      <c r="G116" s="3407"/>
      <c r="H116" s="3365" t="s">
        <v>1894</v>
      </c>
      <c r="I116" s="3365"/>
    </row>
    <row r="117" spans="1:27" ht="18.75" customHeight="1">
      <c r="A117" s="3365"/>
      <c r="B117" s="3370"/>
      <c r="C117" s="3370"/>
      <c r="D117" s="2501" t="s">
        <v>1895</v>
      </c>
      <c r="E117" s="2501" t="s">
        <v>1896</v>
      </c>
      <c r="F117" s="2501" t="s">
        <v>1895</v>
      </c>
      <c r="G117" s="2501" t="s">
        <v>1897</v>
      </c>
      <c r="H117" s="2501" t="s">
        <v>1895</v>
      </c>
      <c r="I117" s="2501" t="s">
        <v>1897</v>
      </c>
    </row>
    <row r="118" spans="1:27" ht="24.75" customHeight="1">
      <c r="A118" s="2774" t="str">
        <f>项目基本情况!S2</f>
        <v>出让国有建设用地使用权及在建建筑物房地产</v>
      </c>
      <c r="B118" s="2501">
        <f>M18</f>
        <v>6199.09</v>
      </c>
      <c r="C118" s="2501">
        <f>M19</f>
        <v>4132.7299999999996</v>
      </c>
      <c r="D118" s="2501">
        <f ca="1">ROUND(IF(D32="总价",C34,E118*B118/10000),0)</f>
        <v>6905</v>
      </c>
      <c r="E118" s="2501">
        <f ca="1">ROUND(IF(C33="自定义",IF(D32="楼面单价",C34,D118*10000/B118),I118-G118),0)</f>
        <v>11139</v>
      </c>
      <c r="F118" s="2501">
        <f ca="1">ROUND(IF(D32="总价",C35,G118*B118/10000),0)</f>
        <v>1824</v>
      </c>
      <c r="G118" s="2501">
        <f ca="1">ROUND(IF(D32="楼面单价",C35,F118*10000/B118),0)</f>
        <v>2942</v>
      </c>
      <c r="H118" s="2501">
        <f ca="1">ROUND(IF(D32="总价",C32,I118*B118/10000),0)</f>
        <v>8729</v>
      </c>
      <c r="I118" s="2501">
        <f ca="1">ROUND(IF(D32="楼面单价",C32,H118*10000/B118),0)</f>
        <v>14081</v>
      </c>
    </row>
    <row r="119" spans="1:27" ht="18.75" customHeight="1">
      <c r="A119" s="3365" t="s">
        <v>1898</v>
      </c>
      <c r="B119" s="3365"/>
      <c r="C119" s="3365"/>
      <c r="D119" s="3371" t="str">
        <f ca="1">NUMBERSTRING(INT(D118*10000),2)&amp;"元整"</f>
        <v>陆仟玖佰零伍万元整</v>
      </c>
      <c r="E119" s="3372"/>
      <c r="F119" s="3371" t="str">
        <f ca="1">NUMBERSTRING(INT(F118*10000),2)&amp;"元整"</f>
        <v>壹仟捌佰贰拾肆万元整</v>
      </c>
      <c r="G119" s="3372"/>
      <c r="H119" s="3371" t="str">
        <f ca="1">NUMBERSTRING(INT(H118*10000),2)&amp;"元整"</f>
        <v>捌仟柒佰贰拾玖万元整</v>
      </c>
      <c r="I119" s="3372"/>
    </row>
    <row r="120" spans="1:27" ht="18.75" customHeight="1">
      <c r="A120" s="3366" t="str">
        <f>IF(项目基本情况!B9="房地产市场价值","",MID(E103,3,LEN(E103)-2))</f>
        <v>估价师知悉的法定优先受偿款</v>
      </c>
      <c r="B120" s="3367"/>
      <c r="C120" s="3368"/>
      <c r="D120" s="3366">
        <f>H103</f>
        <v>0</v>
      </c>
      <c r="E120" s="3367"/>
      <c r="F120" s="3367"/>
      <c r="G120" s="3367"/>
      <c r="H120" s="3367"/>
      <c r="I120" s="3368"/>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8" t="s">
        <v>1898</v>
      </c>
      <c r="B121" s="3409"/>
      <c r="C121" s="3410"/>
      <c r="D121" s="3371" t="str">
        <f>IF(D120=0,"零元整",NUMBERSTRING(INT(D120*10000),2)&amp;"元整")</f>
        <v>零元整</v>
      </c>
      <c r="E121" s="3373"/>
      <c r="F121" s="3373"/>
      <c r="G121" s="3373"/>
      <c r="H121" s="3373"/>
      <c r="I121" s="3372"/>
      <c r="AA121" s="734"/>
    </row>
    <row r="122" spans="1:27" ht="18.75" customHeight="1">
      <c r="A122" s="3377" t="str">
        <f>IF(项目基本情况!B9="房地产市场价值","",MID(E107,3,LEN(E107)-2))</f>
        <v>房地产抵押价值</v>
      </c>
      <c r="B122" s="3377"/>
      <c r="C122" s="3377"/>
      <c r="D122" s="3366">
        <f ca="1">H107</f>
        <v>8729</v>
      </c>
      <c r="E122" s="3367"/>
      <c r="F122" s="3367"/>
      <c r="G122" s="3367"/>
      <c r="H122" s="3367"/>
      <c r="I122" s="3368"/>
      <c r="AA122" s="734"/>
    </row>
    <row r="123" spans="1:27" ht="18.75" customHeight="1">
      <c r="A123" s="3365" t="s">
        <v>1898</v>
      </c>
      <c r="B123" s="3365"/>
      <c r="C123" s="3365"/>
      <c r="D123" s="3371" t="str">
        <f ca="1">NUMBERSTRING(INT(D122*10000),2)&amp;"元整"</f>
        <v>捌仟柒佰贰拾玖万元整</v>
      </c>
      <c r="E123" s="3373"/>
      <c r="F123" s="3373"/>
      <c r="G123" s="3373"/>
      <c r="H123" s="3373"/>
      <c r="I123" s="3372"/>
      <c r="AA123" s="734"/>
    </row>
    <row r="124" spans="1:27" ht="18.75" customHeight="1">
      <c r="A124" s="3377" t="str">
        <f>IF(项目基本情况!B9="房地产市场价值","",MID(E109,3,LEN(E109)-2))</f>
        <v/>
      </c>
      <c r="B124" s="3377"/>
      <c r="C124" s="3377"/>
      <c r="D124" s="3366" t="str">
        <f>H109</f>
        <v>——</v>
      </c>
      <c r="E124" s="3367"/>
      <c r="F124" s="3367"/>
      <c r="G124" s="3367"/>
      <c r="H124" s="3367"/>
      <c r="I124" s="3368"/>
      <c r="AA124" s="734"/>
    </row>
    <row r="125" spans="1:27" ht="18.75" customHeight="1">
      <c r="A125" s="3365" t="s">
        <v>1898</v>
      </c>
      <c r="B125" s="3365"/>
      <c r="C125" s="3365"/>
      <c r="D125" s="3371" t="e">
        <f>NUMBERSTRING(INT(D124*10000),2)&amp;"元整"</f>
        <v>#VALUE!</v>
      </c>
      <c r="E125" s="3373"/>
      <c r="F125" s="3373"/>
      <c r="G125" s="3373"/>
      <c r="H125" s="3373"/>
      <c r="I125" s="3372"/>
      <c r="AA125" s="734"/>
    </row>
    <row r="126" spans="1:27" ht="18.75" customHeight="1">
      <c r="A126" s="3377" t="str">
        <f>IF(项目基本情况!B9="房地产市场价值","",MID(E111,3,LEN(E111)-2))</f>
        <v/>
      </c>
      <c r="B126" s="3377"/>
      <c r="C126" s="3377"/>
      <c r="D126" s="3366" t="str">
        <f>H111</f>
        <v>——</v>
      </c>
      <c r="E126" s="3367"/>
      <c r="F126" s="3367"/>
      <c r="G126" s="3367"/>
      <c r="H126" s="3367"/>
      <c r="I126" s="3368"/>
      <c r="AA126" s="734"/>
    </row>
    <row r="127" spans="1:27" ht="18.75" customHeight="1">
      <c r="A127" s="3365" t="s">
        <v>1898</v>
      </c>
      <c r="B127" s="3365"/>
      <c r="C127" s="3365"/>
      <c r="D127" s="3371" t="e">
        <f>NUMBERSTRING(INT(D126*10000),2)&amp;"元整"</f>
        <v>#VALUE!</v>
      </c>
      <c r="E127" s="3373"/>
      <c r="F127" s="3373"/>
      <c r="G127" s="3373"/>
      <c r="H127" s="3373"/>
      <c r="I127" s="3372"/>
      <c r="AA127" s="734"/>
    </row>
    <row r="128" spans="1:27" ht="21.75" customHeight="1">
      <c r="A128" s="3374" t="s">
        <v>1899</v>
      </c>
      <c r="B128" s="3374"/>
      <c r="C128" s="3374"/>
      <c r="D128" s="3374"/>
      <c r="E128" s="3374"/>
      <c r="F128" s="3374"/>
      <c r="G128" s="3374"/>
      <c r="H128" s="3374"/>
      <c r="I128" s="3374"/>
      <c r="AA128" s="734"/>
    </row>
    <row r="129" spans="1:35" ht="21.75" customHeight="1">
      <c r="A129" s="1967" t="s">
        <v>1900</v>
      </c>
      <c r="B129" s="1968"/>
      <c r="C129" s="1969" t="s">
        <v>1901</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1902</v>
      </c>
      <c r="G135" s="1984"/>
      <c r="H135" s="1984"/>
      <c r="I135" s="1985" t="s">
        <v>1903</v>
      </c>
    </row>
    <row r="136" spans="1:35" ht="21.75" customHeight="1">
      <c r="A136" s="734"/>
      <c r="B136" s="1986" t="s">
        <v>1904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1905</v>
      </c>
    </row>
    <row r="139" spans="1:35" ht="21.75" customHeight="1">
      <c r="A139" s="734"/>
      <c r="B139" s="1986" t="s">
        <v>1906</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1905</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C10:D13">
    <cfRule type="cellIs" dxfId="188" priority="8" stopIfTrue="1" operator="equal">
      <formula>15</formula>
    </cfRule>
  </conditionalFormatting>
  <conditionalFormatting sqref="D14:D16">
    <cfRule type="cellIs" dxfId="187" priority="6" stopIfTrue="1" operator="equal">
      <formula>30</formula>
    </cfRule>
  </conditionalFormatting>
  <conditionalFormatting sqref="C90">
    <cfRule type="expression" dxfId="186" priority="3" stopIfTrue="1">
      <formula>$H$88&lt;&gt;"仅含出让金"</formula>
    </cfRule>
  </conditionalFormatting>
  <conditionalFormatting sqref="C91">
    <cfRule type="expression" dxfId="185" priority="2" stopIfTrue="1">
      <formula>$H$91="由企业提供"</formula>
    </cfRule>
  </conditionalFormatting>
  <conditionalFormatting sqref="E36">
    <cfRule type="expression" dxfId="18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8" t="str">
        <f>项目基本情况!B1</f>
        <v>出让国有建设用地使用权及在建建筑物房地产抵押价值预评估</v>
      </c>
      <c r="C37" s="3258"/>
      <c r="D37" s="3258"/>
      <c r="E37" s="3258"/>
      <c r="F37" s="3258"/>
      <c r="G37" s="3258"/>
      <c r="H37" s="3258"/>
      <c r="I37" s="3258"/>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项目基本情况!K4</f>
        <v>（注册号：0)、（注册号：0)</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49"/>
  <sheetViews>
    <sheetView topLeftCell="A49" workbookViewId="0">
      <selection activeCell="A34" sqref="A34:XFD34"/>
    </sheetView>
  </sheetViews>
  <sheetFormatPr defaultRowHeight="12.75"/>
  <cols>
    <col min="1" max="1" width="44.25" style="3229" customWidth="1"/>
    <col min="2" max="2" width="6.25" style="3229" hidden="1" customWidth="1"/>
    <col min="3" max="3" width="13.875" style="3229" hidden="1" customWidth="1"/>
    <col min="4" max="4" width="7.75" style="3229" customWidth="1"/>
    <col min="5" max="5" width="9.25" style="3229" customWidth="1"/>
    <col min="6" max="6" width="28.125" style="3229" customWidth="1"/>
    <col min="7" max="7" width="7.875" style="3229" customWidth="1"/>
    <col min="8" max="8" width="23.25" style="3229" customWidth="1"/>
    <col min="9" max="9" width="7.875" style="3229" customWidth="1"/>
    <col min="10" max="11" width="9" style="3229" customWidth="1"/>
    <col min="12" max="12" width="8.25" style="3229" customWidth="1"/>
    <col min="13" max="13" width="8.75" style="3229" customWidth="1"/>
    <col min="14" max="14" width="10.875" style="3229" customWidth="1"/>
    <col min="15" max="15" width="14.375" style="3229" customWidth="1"/>
    <col min="16" max="16" width="6.25" style="3229" customWidth="1"/>
    <col min="17" max="17" width="103.75" style="3229" customWidth="1"/>
    <col min="18" max="16384" width="9" style="3229"/>
  </cols>
  <sheetData>
    <row r="1" spans="1:17">
      <c r="A1" s="3229" t="s">
        <v>3355</v>
      </c>
      <c r="B1" s="3229" t="s">
        <v>3354</v>
      </c>
      <c r="C1" s="3229" t="s">
        <v>3353</v>
      </c>
      <c r="D1" s="3229" t="s">
        <v>3352</v>
      </c>
      <c r="E1" s="3229" t="s">
        <v>3351</v>
      </c>
      <c r="F1" s="3229" t="s">
        <v>3350</v>
      </c>
      <c r="G1" s="3229" t="s">
        <v>3349</v>
      </c>
      <c r="H1" s="3229" t="s">
        <v>3348</v>
      </c>
      <c r="I1" s="3229" t="s">
        <v>3347</v>
      </c>
      <c r="J1" s="3229" t="s">
        <v>3346</v>
      </c>
      <c r="K1" s="3229" t="s">
        <v>3345</v>
      </c>
      <c r="L1" s="3229" t="s">
        <v>3344</v>
      </c>
      <c r="M1" s="3229" t="s">
        <v>3343</v>
      </c>
      <c r="N1" s="3229" t="s">
        <v>3342</v>
      </c>
      <c r="O1" s="3229" t="s">
        <v>3341</v>
      </c>
      <c r="P1" s="3229" t="s">
        <v>3340</v>
      </c>
      <c r="Q1" s="3229" t="s">
        <v>3339</v>
      </c>
    </row>
    <row r="2" spans="1:17">
      <c r="A2" s="3229" t="s">
        <v>3338</v>
      </c>
      <c r="B2" s="3229" t="s">
        <v>3170</v>
      </c>
      <c r="C2" s="3229" t="s">
        <v>3169</v>
      </c>
      <c r="D2" s="3229">
        <v>162408</v>
      </c>
      <c r="E2" s="3229">
        <v>194889.60000000001</v>
      </c>
      <c r="F2" s="3229" t="s">
        <v>3337</v>
      </c>
      <c r="G2" s="3229" t="s">
        <v>3167</v>
      </c>
      <c r="H2" s="3229" t="s">
        <v>3231</v>
      </c>
      <c r="I2" s="3229">
        <v>0</v>
      </c>
      <c r="J2" s="3229" t="s">
        <v>3333</v>
      </c>
      <c r="K2" s="3229" t="s">
        <v>3333</v>
      </c>
      <c r="L2" s="3229">
        <v>81300</v>
      </c>
      <c r="M2" s="3229">
        <v>83100</v>
      </c>
      <c r="N2" s="3229">
        <v>341.12</v>
      </c>
      <c r="O2" s="3229">
        <v>4263.95</v>
      </c>
      <c r="P2" s="3229">
        <v>2.21</v>
      </c>
      <c r="Q2" s="3229" t="s">
        <v>3332</v>
      </c>
    </row>
    <row r="3" spans="1:17">
      <c r="A3" s="3229" t="s">
        <v>3336</v>
      </c>
      <c r="B3" s="3229" t="s">
        <v>3170</v>
      </c>
      <c r="C3" s="3229" t="s">
        <v>3180</v>
      </c>
      <c r="D3" s="3229">
        <v>102561</v>
      </c>
      <c r="E3" s="3229">
        <v>194865.9</v>
      </c>
      <c r="F3" s="3229" t="s">
        <v>3335</v>
      </c>
      <c r="G3" s="3229" t="s">
        <v>3167</v>
      </c>
      <c r="H3" s="3229" t="s">
        <v>3231</v>
      </c>
      <c r="I3" s="3229">
        <v>0</v>
      </c>
      <c r="J3" s="3229" t="s">
        <v>3333</v>
      </c>
      <c r="K3" s="3229" t="s">
        <v>3333</v>
      </c>
      <c r="L3" s="3229">
        <v>91000</v>
      </c>
      <c r="M3" s="3229">
        <v>95600</v>
      </c>
      <c r="N3" s="3229">
        <v>621.41999999999996</v>
      </c>
      <c r="O3" s="3229">
        <v>4905.9399999999996</v>
      </c>
      <c r="P3" s="3229">
        <v>5.05</v>
      </c>
      <c r="Q3" s="3229" t="s">
        <v>3332</v>
      </c>
    </row>
    <row r="4" spans="1:17">
      <c r="A4" s="3229" t="s">
        <v>3334</v>
      </c>
      <c r="B4" s="3229" t="s">
        <v>3170</v>
      </c>
      <c r="C4" s="3229" t="s">
        <v>3180</v>
      </c>
      <c r="D4" s="3229">
        <v>30621</v>
      </c>
      <c r="E4" s="3229">
        <v>61242</v>
      </c>
      <c r="F4" s="3229" t="s">
        <v>3266</v>
      </c>
      <c r="G4" s="3229" t="s">
        <v>3167</v>
      </c>
      <c r="H4" s="3229" t="s">
        <v>3231</v>
      </c>
      <c r="I4" s="3229">
        <v>0</v>
      </c>
      <c r="J4" s="3229" t="s">
        <v>3333</v>
      </c>
      <c r="K4" s="3229" t="s">
        <v>3333</v>
      </c>
      <c r="L4" s="3229">
        <v>26500</v>
      </c>
      <c r="M4" s="3229">
        <v>34300</v>
      </c>
      <c r="N4" s="3229">
        <v>746.76</v>
      </c>
      <c r="O4" s="3229">
        <v>5600.73</v>
      </c>
      <c r="P4" s="3229">
        <v>29.43</v>
      </c>
      <c r="Q4" s="3229" t="s">
        <v>3332</v>
      </c>
    </row>
    <row r="5" spans="1:17">
      <c r="A5" s="3229" t="s">
        <v>3331</v>
      </c>
      <c r="B5" s="3229" t="s">
        <v>3170</v>
      </c>
      <c r="C5" s="3229" t="s">
        <v>3169</v>
      </c>
      <c r="D5" s="3229">
        <v>14788</v>
      </c>
      <c r="E5" s="3229">
        <v>28097.200000000001</v>
      </c>
      <c r="F5" s="3229" t="s">
        <v>3330</v>
      </c>
      <c r="G5" s="3229" t="s">
        <v>3167</v>
      </c>
      <c r="H5" s="3229" t="s">
        <v>3231</v>
      </c>
      <c r="I5" s="3229">
        <v>0</v>
      </c>
      <c r="J5" s="3229" t="s">
        <v>3321</v>
      </c>
      <c r="K5" s="3229" t="s">
        <v>3321</v>
      </c>
      <c r="L5" s="3229">
        <v>9800</v>
      </c>
      <c r="M5" s="3229">
        <v>12800</v>
      </c>
      <c r="N5" s="3229">
        <v>577.04</v>
      </c>
      <c r="O5" s="3229">
        <v>4555.6099999999997</v>
      </c>
      <c r="P5" s="3229">
        <v>30.61</v>
      </c>
      <c r="Q5" s="3229" t="s">
        <v>3320</v>
      </c>
    </row>
    <row r="6" spans="1:17" s="3230" customFormat="1">
      <c r="A6" s="3230" t="s">
        <v>3329</v>
      </c>
      <c r="B6" s="3230" t="s">
        <v>3170</v>
      </c>
      <c r="C6" s="3230" t="s">
        <v>3180</v>
      </c>
      <c r="D6" s="3230">
        <v>18412</v>
      </c>
      <c r="E6" s="3230">
        <v>29459.200000000001</v>
      </c>
      <c r="F6" s="3230" t="s">
        <v>3328</v>
      </c>
      <c r="G6" s="3230" t="s">
        <v>3167</v>
      </c>
      <c r="H6" s="3230" t="s">
        <v>3231</v>
      </c>
      <c r="I6" s="3230">
        <v>0</v>
      </c>
      <c r="J6" s="3230" t="s">
        <v>3321</v>
      </c>
      <c r="K6" s="3230" t="s">
        <v>3321</v>
      </c>
      <c r="L6" s="3230">
        <v>15300</v>
      </c>
      <c r="M6" s="3230">
        <v>18300</v>
      </c>
      <c r="N6" s="3230">
        <v>662.61</v>
      </c>
      <c r="O6" s="3230">
        <v>6211.98</v>
      </c>
      <c r="P6" s="3230">
        <v>19.61</v>
      </c>
      <c r="Q6" s="3230" t="s">
        <v>3325</v>
      </c>
    </row>
    <row r="7" spans="1:17">
      <c r="A7" s="3229" t="s">
        <v>3327</v>
      </c>
      <c r="B7" s="3229" t="s">
        <v>3170</v>
      </c>
      <c r="C7" s="3229" t="s">
        <v>3180</v>
      </c>
      <c r="D7" s="3229">
        <v>50851</v>
      </c>
      <c r="E7" s="3229">
        <v>69665.87</v>
      </c>
      <c r="F7" s="3229" t="s">
        <v>3326</v>
      </c>
      <c r="G7" s="3229" t="s">
        <v>3167</v>
      </c>
      <c r="H7" s="3229" t="s">
        <v>3231</v>
      </c>
      <c r="I7" s="3229">
        <v>0</v>
      </c>
      <c r="J7" s="3229" t="s">
        <v>3321</v>
      </c>
      <c r="K7" s="3229" t="s">
        <v>3321</v>
      </c>
      <c r="L7" s="3229">
        <v>37200</v>
      </c>
      <c r="M7" s="3229">
        <v>42400</v>
      </c>
      <c r="N7" s="3229">
        <v>555.87</v>
      </c>
      <c r="O7" s="3229">
        <v>6086.19</v>
      </c>
      <c r="P7" s="3229">
        <v>13.98</v>
      </c>
      <c r="Q7" s="3229" t="s">
        <v>3325</v>
      </c>
    </row>
    <row r="8" spans="1:17">
      <c r="A8" s="3229" t="s">
        <v>3324</v>
      </c>
      <c r="B8" s="3229" t="s">
        <v>3170</v>
      </c>
      <c r="C8" s="3229" t="s">
        <v>3169</v>
      </c>
      <c r="D8" s="3229">
        <v>6262</v>
      </c>
      <c r="E8" s="3229">
        <v>8829.42</v>
      </c>
      <c r="F8" s="3229" t="s">
        <v>3323</v>
      </c>
      <c r="G8" s="3229" t="s">
        <v>3167</v>
      </c>
      <c r="H8" s="3229" t="s">
        <v>3231</v>
      </c>
      <c r="I8" s="3229">
        <v>0</v>
      </c>
      <c r="J8" s="3229" t="s">
        <v>3321</v>
      </c>
      <c r="K8" s="3229" t="s">
        <v>3321</v>
      </c>
      <c r="L8" s="3229">
        <v>3500</v>
      </c>
      <c r="M8" s="3229">
        <v>4500</v>
      </c>
      <c r="N8" s="3229">
        <v>479.08</v>
      </c>
      <c r="O8" s="3229">
        <v>5096.6000000000004</v>
      </c>
      <c r="P8" s="3229">
        <v>28.57</v>
      </c>
      <c r="Q8" s="3229" t="s">
        <v>3320</v>
      </c>
    </row>
    <row r="9" spans="1:17">
      <c r="A9" s="3229" t="s">
        <v>3322</v>
      </c>
      <c r="B9" s="3229" t="s">
        <v>3170</v>
      </c>
      <c r="C9" s="3229" t="s">
        <v>3169</v>
      </c>
      <c r="D9" s="3229">
        <v>17747</v>
      </c>
      <c r="E9" s="3229">
        <v>28395.200000000001</v>
      </c>
      <c r="F9" s="3229" t="s">
        <v>3303</v>
      </c>
      <c r="G9" s="3229" t="s">
        <v>3167</v>
      </c>
      <c r="H9" s="3229" t="s">
        <v>3231</v>
      </c>
      <c r="I9" s="3229">
        <v>0</v>
      </c>
      <c r="J9" s="3229" t="s">
        <v>3321</v>
      </c>
      <c r="K9" s="3229" t="s">
        <v>3321</v>
      </c>
      <c r="L9" s="3229">
        <v>10600</v>
      </c>
      <c r="M9" s="3229">
        <v>13800</v>
      </c>
      <c r="N9" s="3229">
        <v>518.4</v>
      </c>
      <c r="O9" s="3229">
        <v>4859.9799999999996</v>
      </c>
      <c r="P9" s="3229">
        <v>30.19</v>
      </c>
      <c r="Q9" s="3229" t="s">
        <v>3320</v>
      </c>
    </row>
    <row r="10" spans="1:17">
      <c r="A10" s="3229" t="s">
        <v>3319</v>
      </c>
      <c r="B10" s="3229" t="s">
        <v>3170</v>
      </c>
      <c r="C10" s="3229" t="s">
        <v>3169</v>
      </c>
      <c r="D10" s="3229">
        <v>133741</v>
      </c>
      <c r="E10" s="3229">
        <v>251433.08</v>
      </c>
      <c r="F10" s="3229" t="s">
        <v>3318</v>
      </c>
      <c r="G10" s="3229" t="s">
        <v>3167</v>
      </c>
      <c r="H10" s="3229" t="s">
        <v>3231</v>
      </c>
      <c r="I10" s="3229">
        <v>0</v>
      </c>
      <c r="J10" s="3229" t="s">
        <v>3316</v>
      </c>
      <c r="K10" s="3229" t="s">
        <v>3316</v>
      </c>
      <c r="L10" s="3229">
        <v>95000</v>
      </c>
      <c r="M10" s="3229">
        <v>95400</v>
      </c>
      <c r="N10" s="3229">
        <v>475.55</v>
      </c>
      <c r="O10" s="3229">
        <v>3794.25</v>
      </c>
      <c r="P10" s="3229">
        <v>0.42</v>
      </c>
      <c r="Q10" s="3229" t="s">
        <v>3315</v>
      </c>
    </row>
    <row r="11" spans="1:17">
      <c r="A11" s="3229" t="s">
        <v>3317</v>
      </c>
      <c r="B11" s="3229" t="s">
        <v>3170</v>
      </c>
      <c r="C11" s="3229" t="s">
        <v>3169</v>
      </c>
      <c r="D11" s="3229">
        <v>64855</v>
      </c>
      <c r="E11" s="3229">
        <v>142681</v>
      </c>
      <c r="F11" s="3229" t="s">
        <v>3244</v>
      </c>
      <c r="G11" s="3229" t="s">
        <v>3167</v>
      </c>
      <c r="H11" s="3229" t="s">
        <v>3231</v>
      </c>
      <c r="I11" s="3229">
        <v>0</v>
      </c>
      <c r="J11" s="3229" t="s">
        <v>3316</v>
      </c>
      <c r="K11" s="3229" t="s">
        <v>3316</v>
      </c>
      <c r="L11" s="3229">
        <v>50300</v>
      </c>
      <c r="M11" s="3229">
        <v>50700</v>
      </c>
      <c r="N11" s="3229">
        <v>521.16</v>
      </c>
      <c r="O11" s="3229">
        <v>3553.38</v>
      </c>
      <c r="P11" s="3229">
        <v>0.8</v>
      </c>
      <c r="Q11" s="3229" t="s">
        <v>3315</v>
      </c>
    </row>
    <row r="12" spans="1:17">
      <c r="A12" s="3229" t="s">
        <v>3314</v>
      </c>
      <c r="B12" s="3229" t="s">
        <v>3170</v>
      </c>
      <c r="C12" s="3229" t="s">
        <v>3180</v>
      </c>
      <c r="D12" s="3229">
        <v>73686</v>
      </c>
      <c r="E12" s="3229">
        <v>117897.60000000001</v>
      </c>
      <c r="F12" s="3229" t="s">
        <v>3303</v>
      </c>
      <c r="G12" s="3229" t="s">
        <v>3167</v>
      </c>
      <c r="H12" s="3229" t="s">
        <v>3231</v>
      </c>
      <c r="I12" s="3229">
        <v>0</v>
      </c>
      <c r="J12" s="3229" t="s">
        <v>3310</v>
      </c>
      <c r="K12" s="3229" t="s">
        <v>3310</v>
      </c>
      <c r="L12" s="3229">
        <v>88500</v>
      </c>
      <c r="M12" s="3229">
        <v>88900</v>
      </c>
      <c r="N12" s="3229">
        <v>804.31</v>
      </c>
      <c r="O12" s="3229">
        <v>7540.44</v>
      </c>
      <c r="P12" s="3229">
        <v>0.45</v>
      </c>
      <c r="Q12" s="3229" t="s">
        <v>3313</v>
      </c>
    </row>
    <row r="13" spans="1:17">
      <c r="A13" s="3229" t="s">
        <v>3312</v>
      </c>
      <c r="B13" s="3229" t="s">
        <v>3170</v>
      </c>
      <c r="C13" s="3229" t="s">
        <v>3180</v>
      </c>
      <c r="D13" s="3229">
        <v>118089</v>
      </c>
      <c r="E13" s="3229">
        <v>191304.18</v>
      </c>
      <c r="F13" s="3229" t="s">
        <v>3311</v>
      </c>
      <c r="G13" s="3229" t="s">
        <v>3167</v>
      </c>
      <c r="H13" s="3229" t="s">
        <v>3231</v>
      </c>
      <c r="I13" s="3229">
        <v>0</v>
      </c>
      <c r="J13" s="3229" t="s">
        <v>3310</v>
      </c>
      <c r="K13" s="3229" t="s">
        <v>3310</v>
      </c>
      <c r="L13" s="3229">
        <v>160900</v>
      </c>
      <c r="M13" s="3229">
        <v>161300</v>
      </c>
      <c r="N13" s="3229">
        <v>910.61</v>
      </c>
      <c r="O13" s="3229">
        <v>8431.6</v>
      </c>
      <c r="P13" s="3229">
        <v>0.25</v>
      </c>
      <c r="Q13" s="3229" t="s">
        <v>3309</v>
      </c>
    </row>
    <row r="14" spans="1:17">
      <c r="A14" s="3229" t="s">
        <v>3308</v>
      </c>
      <c r="B14" s="3229" t="s">
        <v>3170</v>
      </c>
      <c r="C14" s="3229" t="s">
        <v>3169</v>
      </c>
      <c r="D14" s="3229">
        <v>19572</v>
      </c>
      <c r="E14" s="3229">
        <v>26422.2</v>
      </c>
      <c r="F14" s="3229" t="s">
        <v>3307</v>
      </c>
      <c r="G14" s="3229" t="s">
        <v>3167</v>
      </c>
      <c r="H14" s="3229" t="s">
        <v>3231</v>
      </c>
      <c r="I14" s="3229">
        <v>0</v>
      </c>
      <c r="J14" s="3229" t="s">
        <v>3306</v>
      </c>
      <c r="K14" s="3229" t="s">
        <v>3306</v>
      </c>
      <c r="L14" s="3229">
        <v>15900</v>
      </c>
      <c r="M14" s="3229">
        <v>16500</v>
      </c>
      <c r="N14" s="3229">
        <v>562.03</v>
      </c>
      <c r="O14" s="3229">
        <v>6244.75</v>
      </c>
      <c r="P14" s="3229">
        <v>3.77</v>
      </c>
      <c r="Q14" s="3229" t="s">
        <v>3305</v>
      </c>
    </row>
    <row r="15" spans="1:17" s="3230" customFormat="1">
      <c r="A15" s="3230" t="s">
        <v>3304</v>
      </c>
      <c r="B15" s="3230" t="s">
        <v>3170</v>
      </c>
      <c r="C15" s="3230" t="s">
        <v>3169</v>
      </c>
      <c r="D15" s="3230">
        <v>70999</v>
      </c>
      <c r="E15" s="3230">
        <v>113598.39999999999</v>
      </c>
      <c r="F15" s="3230" t="s">
        <v>3303</v>
      </c>
      <c r="G15" s="3230" t="s">
        <v>3167</v>
      </c>
      <c r="H15" s="3230" t="s">
        <v>3231</v>
      </c>
      <c r="I15" s="3230">
        <v>0</v>
      </c>
      <c r="J15" s="3230" t="s">
        <v>3302</v>
      </c>
      <c r="K15" s="3230" t="s">
        <v>3302</v>
      </c>
      <c r="L15" s="3230">
        <v>74300</v>
      </c>
      <c r="M15" s="3230">
        <v>74700</v>
      </c>
      <c r="N15" s="3230">
        <v>701.42</v>
      </c>
      <c r="O15" s="3230">
        <v>6575.8</v>
      </c>
      <c r="P15" s="3230">
        <v>0.54</v>
      </c>
      <c r="Q15" s="3230" t="s">
        <v>3301</v>
      </c>
    </row>
    <row r="16" spans="1:17">
      <c r="A16" s="3229" t="s">
        <v>3300</v>
      </c>
      <c r="B16" s="3229" t="s">
        <v>3170</v>
      </c>
      <c r="C16" s="3229" t="s">
        <v>3180</v>
      </c>
      <c r="D16" s="3229">
        <v>59727</v>
      </c>
      <c r="E16" s="3229">
        <v>107508.6</v>
      </c>
      <c r="F16" s="3229" t="s">
        <v>3299</v>
      </c>
      <c r="G16" s="3229" t="s">
        <v>3167</v>
      </c>
      <c r="H16" s="3229" t="s">
        <v>3231</v>
      </c>
      <c r="I16" s="3229">
        <v>0</v>
      </c>
      <c r="J16" s="3229" t="s">
        <v>3298</v>
      </c>
      <c r="K16" s="3229" t="s">
        <v>3298</v>
      </c>
      <c r="L16" s="3229">
        <v>56500</v>
      </c>
      <c r="M16" s="3229">
        <v>56900</v>
      </c>
      <c r="N16" s="3229">
        <v>635.11</v>
      </c>
      <c r="O16" s="3229">
        <v>5292.6</v>
      </c>
      <c r="P16" s="3229">
        <v>0.71</v>
      </c>
      <c r="Q16" s="3229" t="s">
        <v>3297</v>
      </c>
    </row>
    <row r="17" spans="1:17">
      <c r="A17" s="3229" t="s">
        <v>3296</v>
      </c>
      <c r="B17" s="3229" t="s">
        <v>3170</v>
      </c>
      <c r="C17" s="3229" t="s">
        <v>3169</v>
      </c>
      <c r="D17" s="3229">
        <v>146738</v>
      </c>
      <c r="E17" s="3229">
        <v>250921.98</v>
      </c>
      <c r="F17" s="3229" t="s">
        <v>3295</v>
      </c>
      <c r="G17" s="3229" t="s">
        <v>3167</v>
      </c>
      <c r="H17" s="3229" t="s">
        <v>3231</v>
      </c>
      <c r="I17" s="3229">
        <v>0</v>
      </c>
      <c r="J17" s="3229" t="s">
        <v>3294</v>
      </c>
      <c r="K17" s="3229" t="s">
        <v>3294</v>
      </c>
      <c r="L17" s="3229">
        <v>172100</v>
      </c>
      <c r="M17" s="3229">
        <v>178100</v>
      </c>
      <c r="N17" s="3229">
        <v>809.15</v>
      </c>
      <c r="O17" s="3229">
        <v>7097.82</v>
      </c>
      <c r="P17" s="3229">
        <v>3.49</v>
      </c>
      <c r="Q17" s="3229" t="s">
        <v>3293</v>
      </c>
    </row>
    <row r="18" spans="1:17">
      <c r="A18" s="3229" t="s">
        <v>3292</v>
      </c>
      <c r="B18" s="3229" t="s">
        <v>3170</v>
      </c>
      <c r="C18" s="3229" t="s">
        <v>3169</v>
      </c>
      <c r="D18" s="3229">
        <v>30838</v>
      </c>
      <c r="E18" s="3229">
        <v>74011.199999999997</v>
      </c>
      <c r="F18" s="3229" t="s">
        <v>3291</v>
      </c>
      <c r="G18" s="3229" t="s">
        <v>3167</v>
      </c>
      <c r="H18" s="3229" t="s">
        <v>3231</v>
      </c>
      <c r="I18" s="3229">
        <v>0</v>
      </c>
      <c r="J18" s="3229" t="s">
        <v>3290</v>
      </c>
      <c r="K18" s="3229" t="s">
        <v>3290</v>
      </c>
      <c r="L18" s="3229">
        <v>20200</v>
      </c>
      <c r="M18" s="3229">
        <v>21000</v>
      </c>
      <c r="N18" s="3229">
        <v>453.99</v>
      </c>
      <c r="O18" s="3229">
        <v>2837.41</v>
      </c>
      <c r="P18" s="3229">
        <v>3.96</v>
      </c>
      <c r="Q18" s="3229" t="s">
        <v>3289</v>
      </c>
    </row>
    <row r="19" spans="1:17">
      <c r="A19" s="3229" t="s">
        <v>3288</v>
      </c>
      <c r="B19" s="3229" t="s">
        <v>3170</v>
      </c>
      <c r="C19" s="3229" t="s">
        <v>3180</v>
      </c>
      <c r="D19" s="3229">
        <v>216037</v>
      </c>
      <c r="E19" s="3229">
        <v>332696.98</v>
      </c>
      <c r="F19" s="3229" t="s">
        <v>3287</v>
      </c>
      <c r="G19" s="3229" t="s">
        <v>3167</v>
      </c>
      <c r="H19" s="3229" t="s">
        <v>2946</v>
      </c>
      <c r="I19" s="3229">
        <v>0</v>
      </c>
      <c r="J19" s="3229" t="s">
        <v>3286</v>
      </c>
      <c r="K19" s="3229" t="s">
        <v>3286</v>
      </c>
      <c r="L19" s="3229">
        <v>204800</v>
      </c>
      <c r="M19" s="3229">
        <v>205000</v>
      </c>
      <c r="N19" s="3229">
        <v>632.61</v>
      </c>
      <c r="O19" s="3229">
        <v>6161.76</v>
      </c>
      <c r="P19" s="3229">
        <v>0.1</v>
      </c>
      <c r="Q19" s="3229" t="s">
        <v>3285</v>
      </c>
    </row>
    <row r="20" spans="1:17">
      <c r="A20" s="3229" t="s">
        <v>3284</v>
      </c>
      <c r="B20" s="3229" t="s">
        <v>3170</v>
      </c>
      <c r="C20" s="3229" t="s">
        <v>3180</v>
      </c>
      <c r="D20" s="3229">
        <v>3673</v>
      </c>
      <c r="E20" s="3229">
        <v>6611.4</v>
      </c>
      <c r="F20" s="3229" t="s">
        <v>3270</v>
      </c>
      <c r="G20" s="3229" t="s">
        <v>3167</v>
      </c>
      <c r="H20" s="3229" t="s">
        <v>3231</v>
      </c>
      <c r="I20" s="3229">
        <v>0</v>
      </c>
      <c r="J20" s="3229" t="s">
        <v>3283</v>
      </c>
      <c r="K20" s="3229" t="s">
        <v>3283</v>
      </c>
      <c r="L20" s="3229">
        <v>6600</v>
      </c>
      <c r="M20" s="3229">
        <v>6800</v>
      </c>
      <c r="N20" s="3229">
        <v>1234.23</v>
      </c>
      <c r="O20" s="3229">
        <v>10285.26</v>
      </c>
      <c r="P20" s="3229">
        <v>3.03</v>
      </c>
      <c r="Q20" s="3229" t="s">
        <v>3282</v>
      </c>
    </row>
    <row r="21" spans="1:17">
      <c r="A21" s="3229" t="s">
        <v>3281</v>
      </c>
      <c r="B21" s="3229" t="s">
        <v>3170</v>
      </c>
      <c r="C21" s="3229" t="s">
        <v>3180</v>
      </c>
      <c r="D21" s="3229">
        <v>98550</v>
      </c>
      <c r="E21" s="3229">
        <v>197100</v>
      </c>
      <c r="F21" s="3229" t="s">
        <v>3266</v>
      </c>
      <c r="G21" s="3229" t="s">
        <v>3167</v>
      </c>
      <c r="H21" s="3229" t="s">
        <v>3231</v>
      </c>
      <c r="I21" s="3229">
        <v>0</v>
      </c>
      <c r="J21" s="3229" t="s">
        <v>3280</v>
      </c>
      <c r="K21" s="3229" t="s">
        <v>3280</v>
      </c>
      <c r="L21" s="3229">
        <v>83700</v>
      </c>
      <c r="M21" s="3229">
        <v>84100</v>
      </c>
      <c r="N21" s="3229">
        <v>568.91999999999996</v>
      </c>
      <c r="O21" s="3229">
        <v>4266.87</v>
      </c>
      <c r="P21" s="3229">
        <v>0.48</v>
      </c>
      <c r="Q21" s="3229" t="s">
        <v>3279</v>
      </c>
    </row>
    <row r="22" spans="1:17">
      <c r="A22" s="3229" t="s">
        <v>3278</v>
      </c>
      <c r="B22" s="3229" t="s">
        <v>3170</v>
      </c>
      <c r="C22" s="3229" t="s">
        <v>3180</v>
      </c>
      <c r="D22" s="3229">
        <v>102141</v>
      </c>
      <c r="E22" s="3229">
        <v>185896.62</v>
      </c>
      <c r="F22" s="3229" t="s">
        <v>3277</v>
      </c>
      <c r="G22" s="3229" t="s">
        <v>3167</v>
      </c>
      <c r="H22" s="3229" t="s">
        <v>3231</v>
      </c>
      <c r="I22" s="3229">
        <v>0</v>
      </c>
      <c r="J22" s="3229" t="s">
        <v>3273</v>
      </c>
      <c r="K22" s="3229" t="s">
        <v>3273</v>
      </c>
      <c r="L22" s="3229">
        <v>74300</v>
      </c>
      <c r="M22" s="3229">
        <v>75300</v>
      </c>
      <c r="N22" s="3229">
        <v>491.48</v>
      </c>
      <c r="O22" s="3229">
        <v>4050.64</v>
      </c>
      <c r="P22" s="3229">
        <v>1.35</v>
      </c>
      <c r="Q22" s="3229" t="s">
        <v>3276</v>
      </c>
    </row>
    <row r="23" spans="1:17">
      <c r="A23" s="3229" t="s">
        <v>3275</v>
      </c>
      <c r="B23" s="3229" t="s">
        <v>3170</v>
      </c>
      <c r="C23" s="3229" t="s">
        <v>3180</v>
      </c>
      <c r="D23" s="3229">
        <v>124559</v>
      </c>
      <c r="E23" s="3229">
        <v>215487.07</v>
      </c>
      <c r="F23" s="3229" t="s">
        <v>3274</v>
      </c>
      <c r="G23" s="3229" t="s">
        <v>3167</v>
      </c>
      <c r="H23" s="3229" t="s">
        <v>3231</v>
      </c>
      <c r="I23" s="3229">
        <v>0</v>
      </c>
      <c r="J23" s="3229" t="s">
        <v>3273</v>
      </c>
      <c r="K23" s="3229" t="s">
        <v>3273</v>
      </c>
      <c r="L23" s="3229">
        <v>145400</v>
      </c>
      <c r="M23" s="3229">
        <v>145800</v>
      </c>
      <c r="N23" s="3229">
        <v>780.35</v>
      </c>
      <c r="O23" s="3229">
        <v>6766.07</v>
      </c>
      <c r="P23" s="3229">
        <v>0.28000000000000003</v>
      </c>
      <c r="Q23" s="3229" t="s">
        <v>3272</v>
      </c>
    </row>
    <row r="24" spans="1:17">
      <c r="A24" s="3229" t="s">
        <v>3271</v>
      </c>
      <c r="B24" s="3229" t="s">
        <v>3170</v>
      </c>
      <c r="C24" s="3229" t="s">
        <v>3180</v>
      </c>
      <c r="D24" s="3229">
        <v>204726</v>
      </c>
      <c r="E24" s="3229">
        <v>368506.8</v>
      </c>
      <c r="F24" s="3229" t="s">
        <v>3270</v>
      </c>
      <c r="G24" s="3229" t="s">
        <v>3167</v>
      </c>
      <c r="H24" s="3229" t="s">
        <v>2970</v>
      </c>
      <c r="I24" s="3229">
        <v>0</v>
      </c>
      <c r="J24" s="3229" t="s">
        <v>3269</v>
      </c>
      <c r="K24" s="3229" t="s">
        <v>3269</v>
      </c>
      <c r="L24" s="3229">
        <v>76600</v>
      </c>
      <c r="M24" s="3229">
        <v>81200</v>
      </c>
      <c r="N24" s="3229">
        <v>264.42</v>
      </c>
      <c r="O24" s="3229">
        <v>2203.4899999999998</v>
      </c>
      <c r="P24" s="3229">
        <v>6.01</v>
      </c>
      <c r="Q24" s="3229" t="s">
        <v>3268</v>
      </c>
    </row>
    <row r="25" spans="1:17">
      <c r="A25" s="3229" t="s">
        <v>3267</v>
      </c>
      <c r="B25" s="3229" t="s">
        <v>3170</v>
      </c>
      <c r="C25" s="3229" t="s">
        <v>3180</v>
      </c>
      <c r="D25" s="3229">
        <v>55629</v>
      </c>
      <c r="E25" s="3229">
        <v>111258</v>
      </c>
      <c r="F25" s="3229" t="s">
        <v>3266</v>
      </c>
      <c r="G25" s="3229" t="s">
        <v>3167</v>
      </c>
      <c r="H25" s="3229" t="s">
        <v>3231</v>
      </c>
      <c r="I25" s="3229">
        <v>0</v>
      </c>
      <c r="J25" s="3229" t="s">
        <v>3265</v>
      </c>
      <c r="K25" s="3229" t="s">
        <v>3265</v>
      </c>
      <c r="L25" s="3229">
        <v>37300</v>
      </c>
      <c r="M25" s="3229">
        <v>37900</v>
      </c>
      <c r="N25" s="3229">
        <v>454.2</v>
      </c>
      <c r="O25" s="3229">
        <v>3406.5</v>
      </c>
      <c r="P25" s="3229">
        <v>1.61</v>
      </c>
      <c r="Q25" s="3229" t="s">
        <v>3264</v>
      </c>
    </row>
    <row r="26" spans="1:17">
      <c r="A26" s="3229" t="s">
        <v>3263</v>
      </c>
      <c r="B26" s="3229" t="s">
        <v>3170</v>
      </c>
      <c r="C26" s="3229" t="s">
        <v>3180</v>
      </c>
      <c r="D26" s="3229">
        <v>7722</v>
      </c>
      <c r="E26" s="3229">
        <v>10810.8</v>
      </c>
      <c r="F26" s="3229" t="s">
        <v>3262</v>
      </c>
      <c r="G26" s="3229" t="s">
        <v>3167</v>
      </c>
      <c r="H26" s="3229" t="s">
        <v>3231</v>
      </c>
      <c r="I26" s="3229">
        <v>0</v>
      </c>
      <c r="J26" s="3229" t="s">
        <v>3261</v>
      </c>
      <c r="K26" s="3229" t="s">
        <v>3261</v>
      </c>
      <c r="L26" s="3229">
        <v>12400</v>
      </c>
      <c r="M26" s="3229">
        <v>13200</v>
      </c>
      <c r="N26" s="3229">
        <v>1139.5999999999999</v>
      </c>
      <c r="O26" s="3229">
        <v>12210.01</v>
      </c>
      <c r="P26" s="3229">
        <v>6.45</v>
      </c>
      <c r="Q26" s="3229" t="s">
        <v>3260</v>
      </c>
    </row>
    <row r="27" spans="1:17">
      <c r="A27" s="3229" t="s">
        <v>3259</v>
      </c>
      <c r="B27" s="3229" t="s">
        <v>3170</v>
      </c>
      <c r="C27" s="3229" t="s">
        <v>3180</v>
      </c>
      <c r="D27" s="3229">
        <v>41962</v>
      </c>
      <c r="E27" s="3229">
        <v>77629.7</v>
      </c>
      <c r="F27" s="3229" t="s">
        <v>3258</v>
      </c>
      <c r="G27" s="3229" t="s">
        <v>3167</v>
      </c>
      <c r="H27" s="3229" t="s">
        <v>3257</v>
      </c>
      <c r="I27" s="3229">
        <v>0</v>
      </c>
      <c r="J27" s="3229" t="s">
        <v>3256</v>
      </c>
      <c r="K27" s="3229" t="s">
        <v>3256</v>
      </c>
      <c r="L27" s="3229">
        <v>63400</v>
      </c>
      <c r="M27" s="3229">
        <v>67400</v>
      </c>
      <c r="N27" s="3229">
        <v>1070.81</v>
      </c>
      <c r="O27" s="3229">
        <v>8682.24</v>
      </c>
      <c r="P27" s="3229">
        <v>6.31</v>
      </c>
      <c r="Q27" s="3229" t="s">
        <v>3255</v>
      </c>
    </row>
    <row r="28" spans="1:17">
      <c r="A28" s="3229" t="s">
        <v>3254</v>
      </c>
      <c r="B28" s="3229" t="s">
        <v>3170</v>
      </c>
      <c r="C28" s="3229" t="s">
        <v>3180</v>
      </c>
      <c r="D28" s="3229">
        <v>105787</v>
      </c>
      <c r="E28" s="3229">
        <v>232731.4</v>
      </c>
      <c r="F28" s="3229" t="s">
        <v>3244</v>
      </c>
      <c r="G28" s="3229" t="s">
        <v>3167</v>
      </c>
      <c r="H28" s="3229" t="s">
        <v>3231</v>
      </c>
      <c r="I28" s="3229">
        <v>0</v>
      </c>
      <c r="J28" s="3229" t="s">
        <v>3251</v>
      </c>
      <c r="K28" s="3229" t="s">
        <v>3251</v>
      </c>
      <c r="L28" s="3229">
        <v>87400</v>
      </c>
      <c r="M28" s="3229">
        <v>91800</v>
      </c>
      <c r="N28" s="3229">
        <v>578.52</v>
      </c>
      <c r="O28" s="3229">
        <v>3944.46</v>
      </c>
      <c r="P28" s="3229">
        <v>5.03</v>
      </c>
      <c r="Q28" s="3229" t="s">
        <v>3253</v>
      </c>
    </row>
    <row r="29" spans="1:17">
      <c r="A29" s="3229" t="s">
        <v>3252</v>
      </c>
      <c r="B29" s="3229" t="s">
        <v>3170</v>
      </c>
      <c r="C29" s="3229" t="s">
        <v>3180</v>
      </c>
      <c r="D29" s="3229">
        <v>72688</v>
      </c>
      <c r="E29" s="3229">
        <v>159913.60000000001</v>
      </c>
      <c r="F29" s="3229" t="s">
        <v>3244</v>
      </c>
      <c r="G29" s="3229" t="s">
        <v>3167</v>
      </c>
      <c r="H29" s="3229" t="s">
        <v>3231</v>
      </c>
      <c r="I29" s="3229">
        <v>0</v>
      </c>
      <c r="J29" s="3229" t="s">
        <v>3251</v>
      </c>
      <c r="K29" s="3229" t="s">
        <v>3251</v>
      </c>
      <c r="L29" s="3229">
        <v>102500</v>
      </c>
      <c r="M29" s="3229">
        <v>150700</v>
      </c>
      <c r="N29" s="3229">
        <v>1382.16</v>
      </c>
      <c r="O29" s="3229">
        <v>9423.84</v>
      </c>
      <c r="P29" s="3229">
        <v>47.02</v>
      </c>
      <c r="Q29" s="3229" t="s">
        <v>3250</v>
      </c>
    </row>
    <row r="30" spans="1:17">
      <c r="A30" s="3229" t="s">
        <v>3249</v>
      </c>
      <c r="B30" s="3229" t="s">
        <v>3170</v>
      </c>
      <c r="C30" s="3229" t="s">
        <v>3169</v>
      </c>
      <c r="D30" s="3229">
        <v>49740</v>
      </c>
      <c r="E30" s="3229">
        <v>87045</v>
      </c>
      <c r="F30" s="3229" t="s">
        <v>3248</v>
      </c>
      <c r="G30" s="3229" t="s">
        <v>3167</v>
      </c>
      <c r="H30" s="3229" t="s">
        <v>3231</v>
      </c>
      <c r="I30" s="3229">
        <v>0</v>
      </c>
      <c r="J30" s="3229" t="s">
        <v>3247</v>
      </c>
      <c r="K30" s="3229" t="s">
        <v>3247</v>
      </c>
      <c r="L30" s="3229">
        <v>47100</v>
      </c>
      <c r="M30" s="3229">
        <v>50100</v>
      </c>
      <c r="N30" s="3229">
        <v>671.49</v>
      </c>
      <c r="O30" s="3229">
        <v>5755.64</v>
      </c>
      <c r="P30" s="3229">
        <v>6.37</v>
      </c>
      <c r="Q30" s="3229" t="s">
        <v>3246</v>
      </c>
    </row>
    <row r="31" spans="1:17">
      <c r="A31" s="3229" t="s">
        <v>3245</v>
      </c>
      <c r="B31" s="3229" t="s">
        <v>3170</v>
      </c>
      <c r="C31" s="3229" t="s">
        <v>3180</v>
      </c>
      <c r="D31" s="3229">
        <v>82344</v>
      </c>
      <c r="E31" s="3229">
        <v>181156.8</v>
      </c>
      <c r="F31" s="3229" t="s">
        <v>3244</v>
      </c>
      <c r="G31" s="3229" t="s">
        <v>3167</v>
      </c>
      <c r="H31" s="3229" t="s">
        <v>3231</v>
      </c>
      <c r="I31" s="3229">
        <v>0</v>
      </c>
      <c r="J31" s="3229" t="s">
        <v>3243</v>
      </c>
      <c r="K31" s="3229" t="s">
        <v>3243</v>
      </c>
      <c r="L31" s="3229">
        <v>54300</v>
      </c>
      <c r="M31" s="3229">
        <v>81300</v>
      </c>
      <c r="N31" s="3229">
        <v>658.21</v>
      </c>
      <c r="O31" s="3229">
        <v>4487.82</v>
      </c>
      <c r="P31" s="3229">
        <v>49.72</v>
      </c>
      <c r="Q31" s="3229" t="s">
        <v>3242</v>
      </c>
    </row>
    <row r="32" spans="1:17">
      <c r="A32" s="3229" t="s">
        <v>3241</v>
      </c>
      <c r="B32" s="3229" t="s">
        <v>3170</v>
      </c>
      <c r="C32" s="3229" t="s">
        <v>3180</v>
      </c>
      <c r="D32" s="3229">
        <v>68847</v>
      </c>
      <c r="E32" s="3229">
        <v>102582.03</v>
      </c>
      <c r="F32" s="3229" t="s">
        <v>3240</v>
      </c>
      <c r="G32" s="3229" t="s">
        <v>3167</v>
      </c>
      <c r="H32" s="3229" t="s">
        <v>3231</v>
      </c>
      <c r="I32" s="3229">
        <v>0</v>
      </c>
      <c r="J32" s="3229" t="s">
        <v>3236</v>
      </c>
      <c r="K32" s="3229" t="s">
        <v>3235</v>
      </c>
      <c r="L32" s="3229">
        <v>90900</v>
      </c>
      <c r="M32" s="3229">
        <v>136300</v>
      </c>
      <c r="N32" s="3229">
        <v>1319.83</v>
      </c>
      <c r="O32" s="3229">
        <v>13286.93</v>
      </c>
      <c r="P32" s="3229">
        <v>49.94</v>
      </c>
      <c r="Q32" s="3229" t="s">
        <v>3239</v>
      </c>
    </row>
    <row r="33" spans="1:17">
      <c r="A33" s="3229" t="s">
        <v>3238</v>
      </c>
      <c r="B33" s="3229" t="s">
        <v>3170</v>
      </c>
      <c r="C33" s="3229" t="s">
        <v>3169</v>
      </c>
      <c r="D33" s="3229">
        <v>198561</v>
      </c>
      <c r="E33" s="3229">
        <v>216431.49</v>
      </c>
      <c r="F33" s="3229" t="s">
        <v>3237</v>
      </c>
      <c r="G33" s="3229" t="s">
        <v>3167</v>
      </c>
      <c r="H33" s="3229" t="s">
        <v>3231</v>
      </c>
      <c r="I33" s="3229">
        <v>0</v>
      </c>
      <c r="J33" s="3229" t="s">
        <v>3236</v>
      </c>
      <c r="K33" s="3229" t="s">
        <v>3235</v>
      </c>
      <c r="L33" s="3229">
        <v>77800</v>
      </c>
      <c r="M33" s="3229">
        <v>116600</v>
      </c>
      <c r="N33" s="3229">
        <v>391.48</v>
      </c>
      <c r="O33" s="3229">
        <v>5387.39</v>
      </c>
      <c r="P33" s="3229">
        <v>49.87</v>
      </c>
      <c r="Q33" s="3229" t="s">
        <v>3234</v>
      </c>
    </row>
    <row r="34" spans="1:17" s="3230" customFormat="1">
      <c r="A34" s="3230" t="s">
        <v>3233</v>
      </c>
      <c r="B34" s="3230" t="s">
        <v>3170</v>
      </c>
      <c r="C34" s="3230" t="s">
        <v>3180</v>
      </c>
      <c r="D34" s="3230">
        <v>6870</v>
      </c>
      <c r="E34" s="3230">
        <v>7625.7</v>
      </c>
      <c r="F34" s="3230" t="s">
        <v>3232</v>
      </c>
      <c r="G34" s="3230" t="s">
        <v>3167</v>
      </c>
      <c r="H34" s="3230" t="s">
        <v>3231</v>
      </c>
      <c r="I34" s="3230">
        <v>0</v>
      </c>
      <c r="J34" s="3230" t="s">
        <v>3230</v>
      </c>
      <c r="K34" s="3230" t="s">
        <v>3230</v>
      </c>
      <c r="L34" s="3230">
        <v>4800</v>
      </c>
      <c r="M34" s="3230">
        <v>4900</v>
      </c>
      <c r="N34" s="3230">
        <v>475.5</v>
      </c>
      <c r="O34" s="3230">
        <v>6425.64</v>
      </c>
      <c r="P34" s="3230">
        <v>2.08</v>
      </c>
      <c r="Q34" s="3230" t="s">
        <v>3229</v>
      </c>
    </row>
    <row r="35" spans="1:17">
      <c r="A35" s="3229" t="s">
        <v>3228</v>
      </c>
      <c r="B35" s="3229" t="s">
        <v>3170</v>
      </c>
      <c r="C35" s="3229" t="s">
        <v>3169</v>
      </c>
      <c r="D35" s="3229">
        <v>17928</v>
      </c>
      <c r="E35" s="3229">
        <v>34063.199999999997</v>
      </c>
      <c r="F35" s="3229" t="s">
        <v>3227</v>
      </c>
      <c r="G35" s="3229" t="s">
        <v>3167</v>
      </c>
      <c r="H35" s="3229" t="s">
        <v>3226</v>
      </c>
      <c r="I35" s="3229">
        <v>0</v>
      </c>
      <c r="J35" s="3229" t="s">
        <v>3222</v>
      </c>
      <c r="K35" s="3229" t="s">
        <v>3222</v>
      </c>
      <c r="L35" s="3229">
        <v>10900</v>
      </c>
      <c r="M35" s="3229">
        <v>11500</v>
      </c>
      <c r="N35" s="3229">
        <v>427.64</v>
      </c>
      <c r="O35" s="3229">
        <v>3376.08</v>
      </c>
      <c r="P35" s="3229">
        <v>5.5</v>
      </c>
      <c r="Q35" s="3229" t="s">
        <v>3221</v>
      </c>
    </row>
    <row r="36" spans="1:17">
      <c r="A36" s="3229" t="s">
        <v>3225</v>
      </c>
      <c r="B36" s="3229" t="s">
        <v>3170</v>
      </c>
      <c r="C36" s="3229" t="s">
        <v>3180</v>
      </c>
      <c r="D36" s="3229">
        <v>24065</v>
      </c>
      <c r="E36" s="3229">
        <v>50536.5</v>
      </c>
      <c r="F36" s="3229" t="s">
        <v>3224</v>
      </c>
      <c r="G36" s="3229" t="s">
        <v>3167</v>
      </c>
      <c r="H36" s="3229" t="s">
        <v>3223</v>
      </c>
      <c r="I36" s="3229">
        <v>0</v>
      </c>
      <c r="J36" s="3229" t="s">
        <v>3222</v>
      </c>
      <c r="K36" s="3229" t="s">
        <v>3222</v>
      </c>
      <c r="L36" s="3229">
        <v>15600</v>
      </c>
      <c r="M36" s="3229">
        <v>16400</v>
      </c>
      <c r="N36" s="3229">
        <v>454.33</v>
      </c>
      <c r="O36" s="3229">
        <v>3245.18</v>
      </c>
      <c r="P36" s="3229">
        <v>5.13</v>
      </c>
      <c r="Q36" s="3229" t="s">
        <v>3221</v>
      </c>
    </row>
    <row r="37" spans="1:17">
      <c r="A37" s="3229" t="s">
        <v>3220</v>
      </c>
      <c r="B37" s="3229" t="s">
        <v>3170</v>
      </c>
      <c r="C37" s="3229" t="s">
        <v>3180</v>
      </c>
      <c r="D37" s="3229">
        <v>307759</v>
      </c>
      <c r="E37" s="3229">
        <v>488413.53</v>
      </c>
      <c r="F37" s="3229" t="s">
        <v>3219</v>
      </c>
      <c r="G37" s="3229" t="s">
        <v>3167</v>
      </c>
      <c r="H37" s="3229" t="s">
        <v>3218</v>
      </c>
      <c r="I37" s="3229">
        <v>0</v>
      </c>
      <c r="J37" s="3229" t="s">
        <v>3217</v>
      </c>
      <c r="K37" s="3229" t="s">
        <v>3217</v>
      </c>
      <c r="L37" s="3229">
        <v>377700</v>
      </c>
      <c r="M37" s="3229">
        <v>416500</v>
      </c>
      <c r="N37" s="3229">
        <v>902.22</v>
      </c>
      <c r="O37" s="3229">
        <v>8527.61</v>
      </c>
      <c r="P37" s="3229">
        <v>10.27</v>
      </c>
      <c r="Q37" s="3229" t="s">
        <v>3216</v>
      </c>
    </row>
    <row r="38" spans="1:17">
      <c r="A38" s="3229" t="s">
        <v>3215</v>
      </c>
      <c r="B38" s="3229" t="s">
        <v>3170</v>
      </c>
      <c r="C38" s="3229" t="s">
        <v>3169</v>
      </c>
      <c r="D38" s="3229">
        <v>146449</v>
      </c>
      <c r="E38" s="3229">
        <v>284696.86</v>
      </c>
      <c r="F38" s="3229" t="s">
        <v>3214</v>
      </c>
      <c r="G38" s="3229" t="s">
        <v>3167</v>
      </c>
      <c r="H38" s="3229" t="s">
        <v>3194</v>
      </c>
      <c r="I38" s="3229">
        <v>0</v>
      </c>
      <c r="J38" s="3229" t="s">
        <v>3213</v>
      </c>
      <c r="K38" s="3229" t="s">
        <v>3213</v>
      </c>
      <c r="L38" s="3229">
        <v>91600</v>
      </c>
      <c r="M38" s="3229">
        <v>93000</v>
      </c>
      <c r="N38" s="3229">
        <v>423.36</v>
      </c>
      <c r="O38" s="3229">
        <v>3266.63</v>
      </c>
      <c r="P38" s="3229">
        <v>1.53</v>
      </c>
      <c r="Q38" s="3229" t="s">
        <v>3212</v>
      </c>
    </row>
    <row r="39" spans="1:17">
      <c r="A39" s="3229" t="s">
        <v>3211</v>
      </c>
      <c r="B39" s="3229" t="s">
        <v>3170</v>
      </c>
      <c r="C39" s="3229" t="s">
        <v>3169</v>
      </c>
      <c r="D39" s="3229">
        <v>81115</v>
      </c>
      <c r="E39" s="3229">
        <v>157200.87</v>
      </c>
      <c r="F39" s="3229" t="s">
        <v>3210</v>
      </c>
      <c r="G39" s="3229" t="s">
        <v>3167</v>
      </c>
      <c r="H39" s="3229" t="s">
        <v>3194</v>
      </c>
      <c r="I39" s="3229">
        <v>0</v>
      </c>
      <c r="J39" s="3229" t="s">
        <v>3209</v>
      </c>
      <c r="K39" s="3229" t="s">
        <v>3209</v>
      </c>
      <c r="L39" s="3229">
        <v>102000</v>
      </c>
      <c r="M39" s="3229">
        <v>138400</v>
      </c>
      <c r="N39" s="3229">
        <v>1137.48</v>
      </c>
      <c r="O39" s="3229">
        <v>8804.02</v>
      </c>
      <c r="P39" s="3229">
        <v>35.69</v>
      </c>
      <c r="Q39" s="3229" t="s">
        <v>3208</v>
      </c>
    </row>
    <row r="40" spans="1:17">
      <c r="A40" s="3229" t="s">
        <v>3207</v>
      </c>
      <c r="B40" s="3229" t="s">
        <v>3170</v>
      </c>
      <c r="C40" s="3229" t="s">
        <v>3169</v>
      </c>
      <c r="D40" s="3229">
        <v>51335</v>
      </c>
      <c r="E40" s="3229">
        <v>89836.25</v>
      </c>
      <c r="F40" s="3229" t="s">
        <v>3206</v>
      </c>
      <c r="G40" s="3229" t="s">
        <v>3167</v>
      </c>
      <c r="H40" s="3229" t="s">
        <v>3194</v>
      </c>
      <c r="I40" s="3229">
        <v>0</v>
      </c>
      <c r="J40" s="3229" t="s">
        <v>3205</v>
      </c>
      <c r="K40" s="3229" t="s">
        <v>3205</v>
      </c>
      <c r="L40" s="3229">
        <v>47900</v>
      </c>
      <c r="M40" s="3229">
        <v>48900</v>
      </c>
      <c r="N40" s="3229">
        <v>635.04</v>
      </c>
      <c r="O40" s="3229">
        <v>5443.24</v>
      </c>
      <c r="P40" s="3229">
        <v>2.09</v>
      </c>
      <c r="Q40" s="3229" t="s">
        <v>3204</v>
      </c>
    </row>
    <row r="41" spans="1:17">
      <c r="A41" s="3229" t="s">
        <v>3203</v>
      </c>
      <c r="B41" s="3229" t="s">
        <v>3170</v>
      </c>
      <c r="C41" s="3229" t="s">
        <v>3169</v>
      </c>
      <c r="D41" s="3229">
        <v>63223</v>
      </c>
      <c r="E41" s="3229">
        <v>92368.8</v>
      </c>
      <c r="F41" s="3229" t="s">
        <v>3202</v>
      </c>
      <c r="G41" s="3229" t="s">
        <v>3167</v>
      </c>
      <c r="H41" s="3229" t="s">
        <v>3194</v>
      </c>
      <c r="I41" s="3229">
        <v>0</v>
      </c>
      <c r="J41" s="3229" t="s">
        <v>3198</v>
      </c>
      <c r="K41" s="3229" t="s">
        <v>3198</v>
      </c>
      <c r="L41" s="3229">
        <v>71200</v>
      </c>
      <c r="M41" s="3229">
        <v>78400</v>
      </c>
      <c r="N41" s="3229">
        <v>826.7</v>
      </c>
      <c r="O41" s="3229">
        <v>8487.7099999999991</v>
      </c>
      <c r="P41" s="3229">
        <v>10.11</v>
      </c>
      <c r="Q41" s="3229" t="s">
        <v>3201</v>
      </c>
    </row>
    <row r="42" spans="1:17">
      <c r="A42" s="3229" t="s">
        <v>3200</v>
      </c>
      <c r="B42" s="3229" t="s">
        <v>3170</v>
      </c>
      <c r="C42" s="3229" t="s">
        <v>3169</v>
      </c>
      <c r="D42" s="3229">
        <v>17681</v>
      </c>
      <c r="E42" s="3229">
        <v>53043</v>
      </c>
      <c r="F42" s="3229" t="s">
        <v>3199</v>
      </c>
      <c r="G42" s="3229" t="s">
        <v>3167</v>
      </c>
      <c r="H42" s="3229" t="s">
        <v>3194</v>
      </c>
      <c r="I42" s="3229">
        <v>0</v>
      </c>
      <c r="J42" s="3229" t="s">
        <v>3198</v>
      </c>
      <c r="K42" s="3229" t="s">
        <v>3198</v>
      </c>
      <c r="L42" s="3229">
        <v>29500</v>
      </c>
      <c r="M42" s="3229">
        <v>42900</v>
      </c>
      <c r="N42" s="3229">
        <v>1617.56</v>
      </c>
      <c r="O42" s="3229">
        <v>8087.78</v>
      </c>
      <c r="P42" s="3229">
        <v>45.42</v>
      </c>
      <c r="Q42" s="3229" t="s">
        <v>3197</v>
      </c>
    </row>
    <row r="43" spans="1:17">
      <c r="A43" s="3229" t="s">
        <v>3196</v>
      </c>
      <c r="B43" s="3229" t="s">
        <v>3170</v>
      </c>
      <c r="C43" s="3229" t="s">
        <v>3169</v>
      </c>
      <c r="D43" s="3229">
        <v>140824</v>
      </c>
      <c r="E43" s="3229">
        <v>266579.83</v>
      </c>
      <c r="F43" s="3229" t="s">
        <v>3195</v>
      </c>
      <c r="G43" s="3229" t="s">
        <v>3167</v>
      </c>
      <c r="H43" s="3229" t="s">
        <v>3194</v>
      </c>
      <c r="I43" s="3229">
        <v>0</v>
      </c>
      <c r="J43" s="3229" t="s">
        <v>3193</v>
      </c>
      <c r="K43" s="3229" t="s">
        <v>3193</v>
      </c>
      <c r="L43" s="3229">
        <v>139400</v>
      </c>
      <c r="M43" s="3229">
        <v>241400</v>
      </c>
      <c r="N43" s="3229">
        <v>1142.8</v>
      </c>
      <c r="O43" s="3229">
        <v>9055.4500000000007</v>
      </c>
      <c r="P43" s="3229">
        <v>73.17</v>
      </c>
      <c r="Q43" s="3229" t="s">
        <v>3192</v>
      </c>
    </row>
    <row r="44" spans="1:17">
      <c r="A44" s="3229" t="s">
        <v>3191</v>
      </c>
      <c r="B44" s="3229" t="s">
        <v>3170</v>
      </c>
      <c r="C44" s="3229" t="s">
        <v>3169</v>
      </c>
      <c r="D44" s="3229">
        <v>90419</v>
      </c>
      <c r="E44" s="3229">
        <v>159951.21</v>
      </c>
      <c r="F44" s="3229" t="s">
        <v>3190</v>
      </c>
      <c r="G44" s="3229" t="s">
        <v>3167</v>
      </c>
      <c r="H44" s="3229" t="s">
        <v>3166</v>
      </c>
      <c r="I44" s="3229">
        <v>0</v>
      </c>
      <c r="J44" s="3229" t="s">
        <v>3189</v>
      </c>
      <c r="K44" s="3229" t="s">
        <v>3189</v>
      </c>
      <c r="L44" s="3229">
        <v>105100</v>
      </c>
      <c r="M44" s="3229">
        <v>192500</v>
      </c>
      <c r="N44" s="3229">
        <v>1419.32</v>
      </c>
      <c r="O44" s="3229">
        <v>12034.92</v>
      </c>
      <c r="P44" s="3229">
        <v>83.16</v>
      </c>
      <c r="Q44" s="3229" t="s">
        <v>3188</v>
      </c>
    </row>
    <row r="45" spans="1:17">
      <c r="A45" s="3229" t="s">
        <v>3187</v>
      </c>
      <c r="B45" s="3229" t="s">
        <v>3170</v>
      </c>
      <c r="C45" s="3229" t="s">
        <v>3169</v>
      </c>
      <c r="D45" s="3229">
        <v>45696</v>
      </c>
      <c r="E45" s="3229">
        <v>91392</v>
      </c>
      <c r="F45" s="3229" t="s">
        <v>3186</v>
      </c>
      <c r="G45" s="3229" t="s">
        <v>3167</v>
      </c>
      <c r="H45" s="3229" t="s">
        <v>3166</v>
      </c>
      <c r="I45" s="3229">
        <v>0</v>
      </c>
      <c r="J45" s="3229" t="s">
        <v>3185</v>
      </c>
      <c r="K45" s="3229" t="s">
        <v>3185</v>
      </c>
      <c r="L45" s="3229">
        <v>50400</v>
      </c>
      <c r="M45" s="3229">
        <v>78800</v>
      </c>
      <c r="N45" s="3229">
        <v>1149.6300000000001</v>
      </c>
      <c r="O45" s="3229">
        <v>8622.2000000000007</v>
      </c>
      <c r="P45" s="3229">
        <v>56.35</v>
      </c>
      <c r="Q45" s="3229" t="s">
        <v>3184</v>
      </c>
    </row>
    <row r="46" spans="1:17">
      <c r="A46" s="3229" t="s">
        <v>3183</v>
      </c>
      <c r="B46" s="3229" t="s">
        <v>3170</v>
      </c>
      <c r="C46" s="3229" t="s">
        <v>3180</v>
      </c>
      <c r="D46" s="3229">
        <v>34208</v>
      </c>
      <c r="E46" s="3229">
        <v>58153.599999999999</v>
      </c>
      <c r="F46" s="3229" t="s">
        <v>3182</v>
      </c>
      <c r="G46" s="3229" t="s">
        <v>3167</v>
      </c>
      <c r="H46" s="3229" t="s">
        <v>3178</v>
      </c>
      <c r="I46" s="3229">
        <v>0</v>
      </c>
      <c r="J46" s="3229" t="s">
        <v>3177</v>
      </c>
      <c r="K46" s="3229" t="s">
        <v>3177</v>
      </c>
      <c r="L46" s="3229">
        <v>28700</v>
      </c>
      <c r="M46" s="3229">
        <v>47900</v>
      </c>
      <c r="N46" s="3229">
        <v>933.5</v>
      </c>
      <c r="O46" s="3229">
        <v>8236.81</v>
      </c>
      <c r="P46" s="3229">
        <v>66.900000000000006</v>
      </c>
      <c r="Q46" s="3229" t="s">
        <v>3176</v>
      </c>
    </row>
    <row r="47" spans="1:17">
      <c r="A47" s="3229" t="s">
        <v>3181</v>
      </c>
      <c r="B47" s="3229" t="s">
        <v>3170</v>
      </c>
      <c r="C47" s="3229" t="s">
        <v>3180</v>
      </c>
      <c r="D47" s="3229">
        <v>36736</v>
      </c>
      <c r="E47" s="3229">
        <v>58777.599999999999</v>
      </c>
      <c r="F47" s="3229" t="s">
        <v>3179</v>
      </c>
      <c r="G47" s="3229" t="s">
        <v>3167</v>
      </c>
      <c r="H47" s="3229" t="s">
        <v>3178</v>
      </c>
      <c r="I47" s="3229">
        <v>0</v>
      </c>
      <c r="J47" s="3229" t="s">
        <v>3177</v>
      </c>
      <c r="K47" s="3229" t="s">
        <v>3177</v>
      </c>
      <c r="L47" s="3229">
        <v>33200</v>
      </c>
      <c r="M47" s="3229">
        <v>50200</v>
      </c>
      <c r="N47" s="3229">
        <v>911</v>
      </c>
      <c r="O47" s="3229">
        <v>8540.67</v>
      </c>
      <c r="P47" s="3229">
        <v>51.2</v>
      </c>
      <c r="Q47" s="3229" t="s">
        <v>3176</v>
      </c>
    </row>
    <row r="48" spans="1:17">
      <c r="A48" s="3229" t="s">
        <v>3175</v>
      </c>
      <c r="B48" s="3229" t="s">
        <v>3170</v>
      </c>
      <c r="C48" s="3229" t="s">
        <v>3169</v>
      </c>
      <c r="D48" s="3229">
        <v>117875</v>
      </c>
      <c r="E48" s="3229">
        <v>212175</v>
      </c>
      <c r="F48" s="3229" t="s">
        <v>3174</v>
      </c>
      <c r="G48" s="3229" t="s">
        <v>3167</v>
      </c>
      <c r="H48" s="3229" t="s">
        <v>3166</v>
      </c>
      <c r="I48" s="3229">
        <v>0</v>
      </c>
      <c r="J48" s="3229" t="s">
        <v>3173</v>
      </c>
      <c r="K48" s="3229" t="s">
        <v>3173</v>
      </c>
      <c r="L48" s="3229">
        <v>93300</v>
      </c>
      <c r="M48" s="3229">
        <v>167100</v>
      </c>
      <c r="N48" s="3229">
        <v>945.07</v>
      </c>
      <c r="O48" s="3229">
        <v>7875.57</v>
      </c>
      <c r="P48" s="3229">
        <v>79.099999999999994</v>
      </c>
      <c r="Q48" s="3229" t="s">
        <v>3172</v>
      </c>
    </row>
    <row r="49" spans="1:17">
      <c r="A49" s="3229" t="s">
        <v>3171</v>
      </c>
      <c r="B49" s="3229" t="s">
        <v>3170</v>
      </c>
      <c r="C49" s="3229" t="s">
        <v>3169</v>
      </c>
      <c r="D49" s="3229">
        <v>36913</v>
      </c>
      <c r="E49" s="3229">
        <v>55369.5</v>
      </c>
      <c r="F49" s="3229" t="s">
        <v>3168</v>
      </c>
      <c r="G49" s="3229" t="s">
        <v>3167</v>
      </c>
      <c r="H49" s="3229" t="s">
        <v>3166</v>
      </c>
      <c r="I49" s="3229">
        <v>0</v>
      </c>
      <c r="J49" s="3229" t="s">
        <v>3165</v>
      </c>
      <c r="K49" s="3229" t="s">
        <v>3165</v>
      </c>
      <c r="L49" s="3229">
        <v>43800</v>
      </c>
      <c r="M49" s="3229">
        <v>59800</v>
      </c>
      <c r="N49" s="3229">
        <v>1080.02</v>
      </c>
      <c r="O49" s="3229">
        <v>10800.17</v>
      </c>
      <c r="P49" s="3229">
        <v>36.53</v>
      </c>
      <c r="Q49" s="3229" t="s">
        <v>3164</v>
      </c>
    </row>
  </sheetData>
  <phoneticPr fontId="140"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1907</v>
      </c>
      <c r="B1" s="1604"/>
      <c r="C1" s="204"/>
      <c r="D1" s="204"/>
      <c r="E1" s="204"/>
      <c r="F1" s="204"/>
      <c r="G1" s="1241">
        <f>MATCH(B1,'数据-取费表'!A6:A16,0)+5</f>
        <v>9</v>
      </c>
    </row>
    <row r="2" spans="1:9" s="206" customFormat="1" ht="18" customHeight="1">
      <c r="A2" s="207" t="s">
        <v>1908</v>
      </c>
      <c r="B2" s="208">
        <f ca="1">IF(D2="——",C52,C52-E2)</f>
        <v>7442</v>
      </c>
      <c r="C2" s="205" t="s">
        <v>1909</v>
      </c>
      <c r="D2" s="1989" t="s">
        <v>70</v>
      </c>
      <c r="E2" s="1284" t="e">
        <f ca="1">SUMIF(INDIRECT("'"&amp;G2&amp;"'"&amp;"!A:A"),"承租人权益价值",INDIRECT("'"&amp;G2&amp;"'"&amp;"!c:c"))</f>
        <v>#REF!</v>
      </c>
      <c r="F2" s="1990" t="s">
        <v>1909</v>
      </c>
      <c r="G2" s="1991"/>
    </row>
    <row r="3" spans="1:9" s="206" customFormat="1" ht="18" customHeight="1" thickBot="1">
      <c r="A3" s="209" t="s">
        <v>1910</v>
      </c>
      <c r="B3" s="210">
        <f ca="1">ROUND(B2*10000/(IF(B1="",'数据-汇总表'!E3,INDIRECT("'数据-取费表'!k"&amp;$G$1))),0)</f>
        <v>12005</v>
      </c>
      <c r="C3" s="205" t="s">
        <v>1911</v>
      </c>
      <c r="D3" s="205"/>
      <c r="E3" s="205"/>
      <c r="F3" s="205"/>
      <c r="G3" s="205"/>
    </row>
    <row r="4" spans="1:9" s="214" customFormat="1" ht="15.75">
      <c r="A4" s="211" t="s">
        <v>1912</v>
      </c>
      <c r="B4" s="212"/>
      <c r="C4" s="212"/>
      <c r="D4" s="212"/>
      <c r="E4" s="212"/>
      <c r="F4" s="212"/>
      <c r="G4" s="213"/>
    </row>
    <row r="5" spans="1:9" s="220" customFormat="1" ht="13.5" customHeight="1">
      <c r="A5" s="261" t="s">
        <v>1913</v>
      </c>
      <c r="B5" s="216" t="s">
        <v>1914</v>
      </c>
      <c r="C5" s="217">
        <f ca="1">C6+C7+C8</f>
        <v>4143</v>
      </c>
      <c r="D5" s="217" t="s">
        <v>1915</v>
      </c>
      <c r="E5" s="218" t="s">
        <v>1916</v>
      </c>
      <c r="F5" s="218" t="s">
        <v>1917</v>
      </c>
      <c r="G5" s="219"/>
    </row>
    <row r="6" spans="1:9" s="220" customFormat="1" ht="13.5" customHeight="1">
      <c r="A6" s="867" t="s">
        <v>1918</v>
      </c>
      <c r="B6" s="221" t="s">
        <v>1919</v>
      </c>
      <c r="C6" s="222">
        <f>'土地比较法-住宅、综合'!F56</f>
        <v>4020</v>
      </c>
      <c r="D6" s="223"/>
      <c r="E6" s="224"/>
      <c r="F6" s="224"/>
      <c r="G6" s="225"/>
    </row>
    <row r="7" spans="1:9" s="220" customFormat="1" ht="13.5" customHeight="1">
      <c r="A7" s="867" t="s">
        <v>1920</v>
      </c>
      <c r="B7" s="221" t="s">
        <v>1921</v>
      </c>
      <c r="C7" s="226">
        <f>ROUND(C6*F7,0)</f>
        <v>123</v>
      </c>
      <c r="D7" s="226"/>
      <c r="E7" s="224"/>
      <c r="F7" s="227">
        <f>IF(项目基本情况!B8="出让",0,'数据-取费表'!B48+'数据-取费表'!B49)</f>
        <v>3.0499999999999999E-2</v>
      </c>
      <c r="G7" s="225"/>
    </row>
    <row r="8" spans="1:9" s="229" customFormat="1">
      <c r="A8" s="867" t="s">
        <v>1922</v>
      </c>
      <c r="B8" s="221" t="s">
        <v>1923</v>
      </c>
      <c r="C8" s="226">
        <f ca="1">IF(G8="已包含在土地购买价格中","0",IF(B1="",'数据-取费表'!B29,IF(G9="全部缴纳",C9+C10,H9)))</f>
        <v>0</v>
      </c>
      <c r="D8" s="228"/>
      <c r="E8" s="226"/>
      <c r="F8" s="227"/>
      <c r="G8" s="1992" t="s">
        <v>3464</v>
      </c>
    </row>
    <row r="9" spans="1:9" s="220" customFormat="1" ht="13.5" customHeight="1">
      <c r="A9" s="868" t="s">
        <v>619</v>
      </c>
      <c r="B9" s="230" t="s">
        <v>1924</v>
      </c>
      <c r="C9" s="231">
        <f ca="1">ROUND(D9*E9/10000,0)</f>
        <v>0</v>
      </c>
      <c r="D9" s="935">
        <f ca="1">IF(B1="",'数据-汇总表'!E5,IF(INDIRECT("'数据-取费表'!c"&amp;$G$1)="住宅",INDIRECT("'数据-取费表'!k"&amp;$G$1),0))</f>
        <v>0</v>
      </c>
      <c r="E9" s="231">
        <f>'数据-取费表'!B27</f>
        <v>105</v>
      </c>
      <c r="F9" s="227"/>
      <c r="G9" s="1993" t="s">
        <v>3465</v>
      </c>
      <c r="H9" s="1252"/>
      <c r="I9" s="1994" t="s">
        <v>1925</v>
      </c>
    </row>
    <row r="10" spans="1:9" s="220" customFormat="1" ht="13.5" customHeight="1">
      <c r="A10" s="868" t="s">
        <v>620</v>
      </c>
      <c r="B10" s="230" t="s">
        <v>1926</v>
      </c>
      <c r="C10" s="231">
        <f ca="1">ROUND(D10*E10/10000,0)</f>
        <v>65</v>
      </c>
      <c r="D10" s="935">
        <f ca="1">IF(B1="",'数据-汇总表'!E6,IF(INDIRECT("'数据-取费表'!c"&amp;$G$1)="住宅",INDIRECT("'数据-取费表'!s"&amp;$G$1),INDIRECT("'数据-取费表'!k"&amp;$G$1)+INDIRECT("'数据-取费表'!s"&amp;$G$1)))</f>
        <v>6199.09</v>
      </c>
      <c r="E10" s="231">
        <f>'数据-取费表'!B28</f>
        <v>105</v>
      </c>
      <c r="F10" s="227"/>
      <c r="G10" s="232"/>
    </row>
    <row r="11" spans="1:9" s="220" customFormat="1" ht="13.5" hidden="1" customHeight="1">
      <c r="A11" s="233" t="s">
        <v>7</v>
      </c>
      <c r="B11" s="221" t="s">
        <v>1927</v>
      </c>
      <c r="C11" s="217"/>
      <c r="D11" s="937"/>
      <c r="E11" s="224"/>
      <c r="F11" s="224"/>
      <c r="G11" s="225"/>
    </row>
    <row r="12" spans="1:9" s="220" customFormat="1" ht="13.5" hidden="1" customHeight="1">
      <c r="A12" s="233" t="s">
        <v>8</v>
      </c>
      <c r="B12" s="221" t="s">
        <v>1928</v>
      </c>
      <c r="C12" s="217">
        <v>0</v>
      </c>
      <c r="D12" s="937"/>
      <c r="E12" s="234"/>
      <c r="F12" s="227">
        <v>3.0499999999999999E-2</v>
      </c>
      <c r="G12" s="225"/>
    </row>
    <row r="13" spans="1:9" s="220" customFormat="1" ht="13.5" hidden="1" customHeight="1">
      <c r="A13" s="233" t="s">
        <v>9</v>
      </c>
      <c r="B13" s="221" t="s">
        <v>1929</v>
      </c>
      <c r="C13" s="217"/>
      <c r="D13" s="937"/>
      <c r="E13" s="224"/>
      <c r="F13" s="224"/>
      <c r="G13" s="225"/>
    </row>
    <row r="14" spans="1:9" s="220" customFormat="1" ht="13.5" hidden="1" customHeight="1">
      <c r="A14" s="233" t="s">
        <v>10</v>
      </c>
      <c r="B14" s="221" t="s">
        <v>1930</v>
      </c>
      <c r="C14" s="217"/>
      <c r="D14" s="937"/>
      <c r="E14" s="224"/>
      <c r="F14" s="224"/>
      <c r="G14" s="225" t="s">
        <v>1931</v>
      </c>
    </row>
    <row r="15" spans="1:9" s="220" customFormat="1" ht="13.5" hidden="1" customHeight="1">
      <c r="A15" s="233" t="s">
        <v>11</v>
      </c>
      <c r="B15" s="221" t="s">
        <v>1932</v>
      </c>
      <c r="C15" s="226"/>
      <c r="D15" s="937"/>
      <c r="E15" s="224"/>
      <c r="F15" s="224"/>
      <c r="G15" s="225" t="s">
        <v>1933</v>
      </c>
    </row>
    <row r="16" spans="1:9" s="220" customFormat="1" ht="13.5" hidden="1" customHeight="1">
      <c r="A16" s="233" t="s">
        <v>12</v>
      </c>
      <c r="B16" s="221" t="s">
        <v>1930</v>
      </c>
      <c r="C16" s="226"/>
      <c r="D16" s="937"/>
      <c r="E16" s="224"/>
      <c r="F16" s="224"/>
      <c r="G16" s="225"/>
    </row>
    <row r="17" spans="1:7" s="220" customFormat="1" ht="13.5" hidden="1" customHeight="1">
      <c r="A17" s="233" t="s">
        <v>13</v>
      </c>
      <c r="B17" s="221" t="s">
        <v>1934</v>
      </c>
      <c r="C17" s="235"/>
      <c r="D17" s="938"/>
      <c r="E17" s="235"/>
      <c r="F17" s="235"/>
      <c r="G17" s="225" t="s">
        <v>1933</v>
      </c>
    </row>
    <row r="18" spans="1:7" s="220" customFormat="1" ht="13.5" hidden="1" customHeight="1">
      <c r="A18" s="233" t="s">
        <v>14</v>
      </c>
      <c r="B18" s="221" t="s">
        <v>1935</v>
      </c>
      <c r="C18" s="226">
        <v>0</v>
      </c>
      <c r="D18" s="937"/>
      <c r="E18" s="224"/>
      <c r="F18" s="227">
        <v>3.0499999999999999E-2</v>
      </c>
      <c r="G18" s="225" t="s">
        <v>1936</v>
      </c>
    </row>
    <row r="19" spans="1:7" s="229" customFormat="1" ht="13.5" customHeight="1">
      <c r="A19" s="261" t="s">
        <v>1937</v>
      </c>
      <c r="B19" s="216" t="s">
        <v>1938</v>
      </c>
      <c r="C19" s="217" t="str">
        <f>IF(G19="已包含在土地取得成本中","0",ROUND(D19*E19/10000,0))</f>
        <v>0</v>
      </c>
      <c r="D19" s="939">
        <f ca="1">D9+D10</f>
        <v>6199.09</v>
      </c>
      <c r="E19" s="217">
        <f>'数据-取费表'!B31</f>
        <v>200</v>
      </c>
      <c r="F19" s="237"/>
      <c r="G19" s="1992" t="s">
        <v>3466</v>
      </c>
    </row>
    <row r="20" spans="1:7" s="220" customFormat="1" ht="13.5" customHeight="1">
      <c r="A20" s="261" t="s">
        <v>1939</v>
      </c>
      <c r="B20" s="216" t="s">
        <v>1940</v>
      </c>
      <c r="C20" s="238">
        <f ca="1">ROUND((C5+C19)*F20,0)</f>
        <v>83</v>
      </c>
      <c r="D20" s="238"/>
      <c r="E20" s="238"/>
      <c r="F20" s="239">
        <f>'数据-取费表'!B37</f>
        <v>0.02</v>
      </c>
      <c r="G20" s="240" t="s">
        <v>1941</v>
      </c>
    </row>
    <row r="21" spans="1:7" s="220" customFormat="1" ht="13.5" customHeight="1">
      <c r="A21" s="261" t="s">
        <v>1942</v>
      </c>
      <c r="B21" s="216" t="s">
        <v>1943</v>
      </c>
      <c r="C21" s="241">
        <f>F21</f>
        <v>0.02</v>
      </c>
      <c r="D21" s="242" t="s">
        <v>1944</v>
      </c>
      <c r="E21" s="238"/>
      <c r="F21" s="239">
        <f>'数据-取费表'!B38</f>
        <v>0.02</v>
      </c>
      <c r="G21" s="240" t="s">
        <v>1945</v>
      </c>
    </row>
    <row r="22" spans="1:7" s="220" customFormat="1" ht="13.5" customHeight="1">
      <c r="A22" s="261" t="s">
        <v>1946</v>
      </c>
      <c r="B22" s="216" t="s">
        <v>1947</v>
      </c>
      <c r="C22" s="1217">
        <f ca="1">ROUND(SUM(C23:C25),0)</f>
        <v>354</v>
      </c>
      <c r="D22" s="241">
        <f ca="1">C26</f>
        <v>8.0000000000000004E-4</v>
      </c>
      <c r="E22" s="242" t="s">
        <v>1944</v>
      </c>
      <c r="F22" s="243">
        <f ca="1">'数据-取费表'!B40</f>
        <v>4.1499999999999995E-2</v>
      </c>
      <c r="G22" s="240" t="str">
        <f>IF('数据-取费表'!B22&lt;=1,"单利计息","复利计息")</f>
        <v>复利计息</v>
      </c>
    </row>
    <row r="23" spans="1:7" s="220" customFormat="1" ht="13.5" customHeight="1">
      <c r="A23" s="869" t="s">
        <v>1948</v>
      </c>
      <c r="B23" s="221" t="s">
        <v>1949</v>
      </c>
      <c r="C23" s="1218">
        <f ca="1">ROUND(IF('数据-取费表'!B22&lt;=1,C5*F22*'数据-取费表'!B23,C5*(POWER((1+F22),'数据-取费表'!B23)-1)),0)</f>
        <v>351</v>
      </c>
      <c r="D23" s="244"/>
      <c r="E23" s="244"/>
      <c r="F23" s="245"/>
      <c r="G23" s="246" t="s">
        <v>1950</v>
      </c>
    </row>
    <row r="24" spans="1:7" s="220" customFormat="1" ht="13.5" customHeight="1">
      <c r="A24" s="869" t="s">
        <v>1951</v>
      </c>
      <c r="B24" s="221" t="s">
        <v>1952</v>
      </c>
      <c r="C24" s="1218">
        <f ca="1">ROUND(IF('数据-取费表'!B22&lt;=1,C19*F22*('数据-取费表'!B19/2+'数据-取费表'!B21),C19*(POWER((1+F22),('数据-取费表'!B19/2+'数据-取费表'!B21))-1)),0)</f>
        <v>0</v>
      </c>
      <c r="D24" s="244"/>
      <c r="E24" s="244"/>
      <c r="F24" s="245"/>
      <c r="G24" s="246" t="s">
        <v>1953</v>
      </c>
    </row>
    <row r="25" spans="1:7" s="220" customFormat="1" ht="24">
      <c r="A25" s="869" t="s">
        <v>1954</v>
      </c>
      <c r="B25" s="221" t="s">
        <v>1955</v>
      </c>
      <c r="C25" s="1218">
        <f ca="1">ROUND(IF('数据-取费表'!B22&lt;=1,C20*F22*'数据-取费表'!B23/2,C20*(POWER((1+F22),'数据-取费表'!B23/2)-1)),0)</f>
        <v>3</v>
      </c>
      <c r="D25" s="244"/>
      <c r="E25" s="247"/>
      <c r="F25" s="245"/>
      <c r="G25" s="248" t="s">
        <v>1956</v>
      </c>
    </row>
    <row r="26" spans="1:7" s="220" customFormat="1">
      <c r="A26" s="869" t="s">
        <v>614</v>
      </c>
      <c r="B26" s="221" t="s">
        <v>1957</v>
      </c>
      <c r="C26" s="244">
        <f ca="1">ROUND(IF('数据-取费表'!B22&lt;=1,F21*F22*'数据-取费表'!B23/2,F21*(POWER((1+F22),'数据-取费表'!B23/2)-1)),4)</f>
        <v>8.0000000000000004E-4</v>
      </c>
      <c r="D26" s="244"/>
      <c r="E26" s="247"/>
      <c r="F26" s="245"/>
      <c r="G26" s="249"/>
    </row>
    <row r="27" spans="1:7" s="220" customFormat="1" ht="24.75">
      <c r="A27" s="261" t="s">
        <v>1958</v>
      </c>
      <c r="B27" s="250" t="s">
        <v>1959</v>
      </c>
      <c r="C27" s="251">
        <f ca="1">C28</f>
        <v>845</v>
      </c>
      <c r="D27" s="241">
        <f ca="1">C29</f>
        <v>4.0000000000000001E-3</v>
      </c>
      <c r="E27" s="242" t="s">
        <v>1960</v>
      </c>
      <c r="F27" s="252">
        <f ca="1">IF(B1="",'数据-取费表'!Q16,INDIRECT("'数据-取费表'!q"&amp;$G$1))</f>
        <v>0.2</v>
      </c>
      <c r="G27" s="253" t="s">
        <v>1961</v>
      </c>
    </row>
    <row r="28" spans="1:7" s="220" customFormat="1" ht="13.5" customHeight="1">
      <c r="A28" s="869" t="s">
        <v>610</v>
      </c>
      <c r="B28" s="254" t="s">
        <v>1962</v>
      </c>
      <c r="C28" s="255">
        <f ca="1">ROUND((C5+C19+C20)*F27*'数据-取费表'!B21/'数据-取费表'!B20,0)</f>
        <v>845</v>
      </c>
      <c r="D28" s="241"/>
      <c r="E28" s="242"/>
      <c r="F28" s="252"/>
      <c r="G28" s="253"/>
    </row>
    <row r="29" spans="1:7" s="220" customFormat="1" ht="13.5" customHeight="1">
      <c r="A29" s="869" t="s">
        <v>611</v>
      </c>
      <c r="B29" s="254" t="s">
        <v>1963</v>
      </c>
      <c r="C29" s="244">
        <f ca="1">ROUND(C21*F27*'数据-取费表'!B21/'数据-取费表'!B20,4)</f>
        <v>4.0000000000000001E-3</v>
      </c>
      <c r="D29" s="241"/>
      <c r="E29" s="242"/>
      <c r="F29" s="252"/>
      <c r="G29" s="253"/>
    </row>
    <row r="30" spans="1:7" s="220" customFormat="1" ht="13.5" customHeight="1">
      <c r="A30" s="261" t="s">
        <v>1964</v>
      </c>
      <c r="B30" s="216" t="s">
        <v>1965</v>
      </c>
      <c r="C30" s="241">
        <f>ROUND(F30/(1+'数据-取费表'!C42),4)</f>
        <v>5.33E-2</v>
      </c>
      <c r="D30" s="242" t="s">
        <v>1960</v>
      </c>
      <c r="E30" s="247"/>
      <c r="F30" s="243">
        <f>'数据-取费表'!B41</f>
        <v>5.6000000000000001E-2</v>
      </c>
      <c r="G30" s="240" t="s">
        <v>1966</v>
      </c>
    </row>
    <row r="31" spans="1:7" ht="16.5" customHeight="1">
      <c r="A31" s="215">
        <v>1</v>
      </c>
      <c r="B31" s="216" t="s">
        <v>1967</v>
      </c>
      <c r="C31" s="217">
        <f ca="1">ROUND((C5+C19+C20+C22+C27)/(1-C21-D22-D27-C30),0)</f>
        <v>5885</v>
      </c>
      <c r="D31" s="236"/>
      <c r="E31" s="217"/>
      <c r="F31" s="256"/>
      <c r="G31" s="240" t="s">
        <v>1968</v>
      </c>
    </row>
    <row r="32" spans="1:7" s="214" customFormat="1" ht="15.75">
      <c r="A32" s="258" t="s">
        <v>1969</v>
      </c>
      <c r="B32" s="259"/>
      <c r="C32" s="259"/>
      <c r="D32" s="259"/>
      <c r="E32" s="259"/>
      <c r="F32" s="259"/>
      <c r="G32" s="260"/>
    </row>
    <row r="33" spans="1:7" s="220" customFormat="1" ht="13.5" customHeight="1">
      <c r="A33" s="261" t="s">
        <v>601</v>
      </c>
      <c r="B33" s="216" t="s">
        <v>1970</v>
      </c>
      <c r="C33" s="262">
        <f ca="1">SUM(C34:C38)</f>
        <v>1889</v>
      </c>
      <c r="D33" s="238"/>
      <c r="E33" s="218"/>
      <c r="F33" s="247"/>
      <c r="G33" s="240"/>
    </row>
    <row r="34" spans="1:7" s="264" customFormat="1" ht="13.5" customHeight="1">
      <c r="A34" s="869" t="s">
        <v>610</v>
      </c>
      <c r="B34" s="221" t="s">
        <v>1971</v>
      </c>
      <c r="C34" s="226">
        <f ca="1">IF(B1="",IF(F34=100%,'数据-取费表'!M16,'数据-取费表'!O16),IF(F34=100%,INDIRECT("'数据-取费表'!m"&amp;$G$1)+INDIRECT("'数据-取费表'!t"&amp;$G$1),INDIRECT("'数据-取费表'!o"&amp;$G$1)+INDIRECT("'数据-取费表'!aq"&amp;$G$1)))</f>
        <v>1612</v>
      </c>
      <c r="D34" s="223"/>
      <c r="E34" s="226"/>
      <c r="F34" s="263">
        <f ca="1">IF('数据-取费表'!B24=0,1,IF(B1="",'数据-取费表'!N16,INDIRECT("'数据-取费表'!n"&amp;$G$1)))</f>
        <v>1</v>
      </c>
      <c r="G34" s="225" t="s">
        <v>1972</v>
      </c>
    </row>
    <row r="35" spans="1:7" ht="13.5" customHeight="1">
      <c r="A35" s="869" t="s">
        <v>615</v>
      </c>
      <c r="B35" s="221" t="s">
        <v>1973</v>
      </c>
      <c r="C35" s="226">
        <f ca="1">ROUND(C34*F35,0)</f>
        <v>48</v>
      </c>
      <c r="D35" s="226"/>
      <c r="E35" s="226"/>
      <c r="F35" s="265">
        <f>'数据-取费表'!B33</f>
        <v>0.03</v>
      </c>
      <c r="G35" s="225" t="s">
        <v>1974</v>
      </c>
    </row>
    <row r="36" spans="1:7" ht="24">
      <c r="A36" s="869" t="s">
        <v>616</v>
      </c>
      <c r="B36" s="221" t="s">
        <v>1975</v>
      </c>
      <c r="C36" s="226">
        <f ca="1">ROUND(IF(B1="",SUMIF('数据-取费表'!C:C,"住宅",IF(F34=100%,'数据-取费表'!M:M,'数据-取费表'!O:O))*F36,IF(INDIRECT("'数据-取费表'!c"&amp;$G$1)="住宅",IF(F34=100%,INDIRECT("'数据-取费表'!m"&amp;$G$1)*F36,INDIRECT("'数据-取费表'!o"&amp;$G$1)*F36),0)),0)</f>
        <v>81</v>
      </c>
      <c r="D36" s="226"/>
      <c r="E36" s="226"/>
      <c r="F36" s="265">
        <f>'数据-取费表'!B34</f>
        <v>0.05</v>
      </c>
      <c r="G36" s="266" t="s">
        <v>1976</v>
      </c>
    </row>
    <row r="37" spans="1:7" s="264" customFormat="1" ht="13.5" customHeight="1">
      <c r="A37" s="869" t="s">
        <v>617</v>
      </c>
      <c r="B37" s="221" t="s">
        <v>1977</v>
      </c>
      <c r="C37" s="255">
        <f ca="1">ROUND(E37*D37*F34/10000,0)</f>
        <v>124</v>
      </c>
      <c r="D37" s="223">
        <f ca="1">D19</f>
        <v>6199.09</v>
      </c>
      <c r="E37" s="255">
        <f>'数据-取费表'!B35</f>
        <v>200</v>
      </c>
      <c r="F37" s="265"/>
      <c r="G37" s="267" t="s">
        <v>1978</v>
      </c>
    </row>
    <row r="38" spans="1:7" ht="13.5" customHeight="1">
      <c r="A38" s="869" t="s">
        <v>618</v>
      </c>
      <c r="B38" s="221" t="s">
        <v>1979</v>
      </c>
      <c r="C38" s="226">
        <f ca="1">ROUND(C34*F38,0)</f>
        <v>24</v>
      </c>
      <c r="D38" s="226"/>
      <c r="E38" s="226"/>
      <c r="F38" s="265">
        <f>'数据-取费表'!B36</f>
        <v>1.4999999999999999E-2</v>
      </c>
      <c r="G38" s="225" t="s">
        <v>1974</v>
      </c>
    </row>
    <row r="39" spans="1:7" s="220" customFormat="1" ht="13.5" customHeight="1">
      <c r="A39" s="261" t="s">
        <v>1980</v>
      </c>
      <c r="B39" s="216" t="s">
        <v>1981</v>
      </c>
      <c r="C39" s="238">
        <f ca="1">ROUND(C33*F20,0)</f>
        <v>38</v>
      </c>
      <c r="D39" s="238"/>
      <c r="E39" s="238"/>
      <c r="F39" s="2484">
        <f>F20</f>
        <v>0.02</v>
      </c>
      <c r="G39" s="240" t="s">
        <v>1982</v>
      </c>
    </row>
    <row r="40" spans="1:7" s="220" customFormat="1" ht="13.5" customHeight="1">
      <c r="A40" s="261" t="s">
        <v>1983</v>
      </c>
      <c r="B40" s="216" t="s">
        <v>1984</v>
      </c>
      <c r="C40" s="1447">
        <f>F21</f>
        <v>0.02</v>
      </c>
      <c r="D40" s="242" t="s">
        <v>1985</v>
      </c>
      <c r="E40" s="238"/>
      <c r="F40" s="2484">
        <f>F21</f>
        <v>0.02</v>
      </c>
      <c r="G40" s="240" t="s">
        <v>1986</v>
      </c>
    </row>
    <row r="41" spans="1:7" s="220" customFormat="1" ht="13.5" customHeight="1">
      <c r="A41" s="261" t="s">
        <v>1987</v>
      </c>
      <c r="B41" s="216" t="s">
        <v>1988</v>
      </c>
      <c r="C41" s="238">
        <f ca="1">ROUND(SUM(C42:C43),0)</f>
        <v>80</v>
      </c>
      <c r="D41" s="241">
        <f ca="1">C44</f>
        <v>8.0000000000000004E-4</v>
      </c>
      <c r="E41" s="242" t="s">
        <v>1985</v>
      </c>
      <c r="F41" s="2485">
        <f ca="1">F22</f>
        <v>4.1499999999999995E-2</v>
      </c>
      <c r="G41" s="240" t="str">
        <f>IF('数据-取费表'!B22&lt;=1,"单利计息","复利计息")</f>
        <v>复利计息</v>
      </c>
    </row>
    <row r="42" spans="1:7" ht="13.5" customHeight="1">
      <c r="A42" s="869" t="s">
        <v>610</v>
      </c>
      <c r="B42" s="221" t="s">
        <v>1989</v>
      </c>
      <c r="C42" s="244">
        <f ca="1">ROUND(IF('数据-取费表'!B22&lt;=1,C33*F22*'数据-取费表'!B21/2,C33*(POWER((1+F22),'数据-取费表'!B21/2)-1)),0)</f>
        <v>78</v>
      </c>
      <c r="D42" s="244"/>
      <c r="E42" s="244"/>
      <c r="F42" s="245"/>
      <c r="G42" s="3447" t="s">
        <v>1990</v>
      </c>
    </row>
    <row r="43" spans="1:7" ht="13.5" customHeight="1">
      <c r="A43" s="869" t="s">
        <v>611</v>
      </c>
      <c r="B43" s="221" t="s">
        <v>1991</v>
      </c>
      <c r="C43" s="244">
        <f ca="1">ROUND(IF('数据-取费表'!B22&lt;=1,C39*F22*'数据-取费表'!B21/2,C39*(POWER((1+F22),'数据-取费表'!B21/2)-1)),0)</f>
        <v>2</v>
      </c>
      <c r="D43" s="244"/>
      <c r="E43" s="244"/>
      <c r="F43" s="245"/>
      <c r="G43" s="3448"/>
    </row>
    <row r="44" spans="1:7" ht="13.5" customHeight="1">
      <c r="A44" s="869" t="s">
        <v>612</v>
      </c>
      <c r="B44" s="221" t="s">
        <v>1992</v>
      </c>
      <c r="C44" s="244">
        <f ca="1">ROUND(IF('数据-取费表'!B22&lt;=1,C40*F22*'数据-取费表'!B21/2,C40*(POWER((1+F22),'数据-取费表'!B21/2)-1)),4)</f>
        <v>8.0000000000000004E-4</v>
      </c>
      <c r="D44" s="244"/>
      <c r="E44" s="244"/>
      <c r="F44" s="245"/>
      <c r="G44" s="3449"/>
    </row>
    <row r="45" spans="1:7" s="220" customFormat="1" ht="13.5" customHeight="1">
      <c r="A45" s="261" t="s">
        <v>1993</v>
      </c>
      <c r="B45" s="250" t="s">
        <v>1959</v>
      </c>
      <c r="C45" s="251">
        <f ca="1">C46</f>
        <v>385</v>
      </c>
      <c r="D45" s="241">
        <f ca="1">C47</f>
        <v>4.0000000000000001E-3</v>
      </c>
      <c r="E45" s="242" t="s">
        <v>1985</v>
      </c>
      <c r="F45" s="2486">
        <f ca="1">F27</f>
        <v>0.2</v>
      </c>
      <c r="G45" s="253" t="s">
        <v>1994</v>
      </c>
    </row>
    <row r="46" spans="1:7" s="220" customFormat="1" ht="13.5" customHeight="1">
      <c r="A46" s="869" t="s">
        <v>610</v>
      </c>
      <c r="B46" s="254" t="s">
        <v>1995</v>
      </c>
      <c r="C46" s="255">
        <f ca="1">ROUND((C33+C39)*F27,0)</f>
        <v>385</v>
      </c>
      <c r="D46" s="269"/>
      <c r="E46" s="242"/>
      <c r="F46" s="252"/>
      <c r="G46" s="253"/>
    </row>
    <row r="47" spans="1:7" s="220" customFormat="1" ht="13.5" customHeight="1">
      <c r="A47" s="869" t="s">
        <v>611</v>
      </c>
      <c r="B47" s="254" t="s">
        <v>1996</v>
      </c>
      <c r="C47" s="244">
        <f ca="1">ROUND(C40*F27,4)</f>
        <v>4.0000000000000001E-3</v>
      </c>
      <c r="D47" s="269"/>
      <c r="E47" s="242"/>
      <c r="F47" s="252"/>
      <c r="G47" s="253"/>
    </row>
    <row r="48" spans="1:7" s="220" customFormat="1" ht="13.5" customHeight="1">
      <c r="A48" s="261" t="s">
        <v>1958</v>
      </c>
      <c r="B48" s="216" t="s">
        <v>1997</v>
      </c>
      <c r="C48" s="1447">
        <f>ROUND(F30/(1+'数据-取费表'!C42),4)</f>
        <v>5.33E-2</v>
      </c>
      <c r="D48" s="242" t="s">
        <v>1985</v>
      </c>
      <c r="E48" s="238"/>
      <c r="F48" s="2485">
        <f>F30</f>
        <v>5.6000000000000001E-2</v>
      </c>
      <c r="G48" s="240" t="s">
        <v>1998</v>
      </c>
    </row>
    <row r="49" spans="1:7" ht="16.5" customHeight="1">
      <c r="A49" s="261" t="s">
        <v>1964</v>
      </c>
      <c r="B49" s="216" t="s">
        <v>1999</v>
      </c>
      <c r="C49" s="238">
        <f ca="1">ROUND((C33+C39+C41+C45)/(1-C40-D41-D45-C48),0)</f>
        <v>2595</v>
      </c>
      <c r="D49" s="238"/>
      <c r="E49" s="238"/>
      <c r="F49" s="270"/>
      <c r="G49" s="240" t="s">
        <v>2000</v>
      </c>
    </row>
    <row r="50" spans="1:7" s="264" customFormat="1" ht="24">
      <c r="A50" s="261" t="s">
        <v>2001</v>
      </c>
      <c r="B50" s="216" t="s">
        <v>2002</v>
      </c>
      <c r="C50" s="238"/>
      <c r="D50" s="238"/>
      <c r="E50" s="238"/>
      <c r="F50" s="270">
        <f>IF('数据-取费表'!B24=0,'数据-取费表'!N16,1)</f>
        <v>0.6</v>
      </c>
      <c r="G50" s="253" t="s">
        <v>2003</v>
      </c>
    </row>
    <row r="51" spans="1:7" ht="16.5" customHeight="1">
      <c r="A51" s="261" t="s">
        <v>2004</v>
      </c>
      <c r="B51" s="216" t="s">
        <v>2005</v>
      </c>
      <c r="C51" s="238">
        <f ca="1">ROUND(C49*F50,0)</f>
        <v>1557</v>
      </c>
      <c r="D51" s="238"/>
      <c r="E51" s="238"/>
      <c r="F51" s="270"/>
      <c r="G51" s="240" t="s">
        <v>2006</v>
      </c>
    </row>
    <row r="52" spans="1:7" s="214" customFormat="1" ht="16.5" thickBot="1">
      <c r="A52" s="271" t="s">
        <v>2007</v>
      </c>
      <c r="B52" s="272"/>
      <c r="C52" s="273">
        <f ca="1">C31+C51</f>
        <v>7442</v>
      </c>
      <c r="D52" s="272"/>
      <c r="E52" s="272"/>
      <c r="F52" s="272"/>
      <c r="G52" s="274"/>
    </row>
    <row r="55" spans="1:7" ht="15">
      <c r="B55" s="276" t="s">
        <v>2008</v>
      </c>
      <c r="C55" s="277"/>
    </row>
    <row r="56" spans="1:7">
      <c r="B56" s="279" t="s">
        <v>1237</v>
      </c>
      <c r="C56" s="281">
        <f ca="1">1-C57</f>
        <v>0.79100000000000004</v>
      </c>
    </row>
    <row r="57" spans="1:7">
      <c r="B57" s="279" t="s">
        <v>1238</v>
      </c>
      <c r="C57" s="280">
        <f ca="1">ROUND(C51/C52,3)</f>
        <v>0.20899999999999999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1907</v>
      </c>
      <c r="B1" s="1604"/>
      <c r="C1" s="1995" t="s">
        <v>2009</v>
      </c>
      <c r="D1" s="204"/>
      <c r="E1" s="204"/>
      <c r="F1" s="204"/>
      <c r="G1" s="1241">
        <f>MATCH(B1,'数据-取费表'!A6:A16,0)+5</f>
        <v>9</v>
      </c>
      <c r="H1" s="1173" t="str">
        <f>IF(ISERROR(FIND("住宅",B1)),"非住宅","住宅")</f>
        <v>非住宅</v>
      </c>
    </row>
    <row r="2" spans="1:8" s="206" customFormat="1" ht="18" customHeight="1">
      <c r="A2" s="207" t="s">
        <v>1908</v>
      </c>
      <c r="B2" s="208">
        <f ca="1">ROUND(IF(D2="——",C52/10000,C52/10000-E2),0)</f>
        <v>1825</v>
      </c>
      <c r="C2" s="205" t="s">
        <v>1909</v>
      </c>
      <c r="D2" s="1989" t="s">
        <v>70</v>
      </c>
      <c r="E2" s="1284" t="e">
        <f ca="1">SUMIF(INDIRECT("'"&amp;G2&amp;"'"&amp;"!A:A"),"承租人权益价值",INDIRECT("'"&amp;G2&amp;"'"&amp;"!c:c"))</f>
        <v>#REF!</v>
      </c>
      <c r="F2" s="1990" t="s">
        <v>1909</v>
      </c>
      <c r="G2" s="1991"/>
    </row>
    <row r="3" spans="1:8" s="206" customFormat="1" ht="18" customHeight="1" thickBot="1">
      <c r="A3" s="209" t="s">
        <v>1910</v>
      </c>
      <c r="B3" s="210">
        <f ca="1">ROUND(B2*10000/(IF(B1="",'数据-汇总表'!E3,INDIRECT("'数据-取费表'!k"&amp;$G$1))),0)</f>
        <v>2944</v>
      </c>
      <c r="C3" s="205" t="s">
        <v>1911</v>
      </c>
      <c r="D3" s="205"/>
      <c r="E3" s="205"/>
      <c r="F3" s="205"/>
      <c r="G3" s="205"/>
    </row>
    <row r="4" spans="1:8" s="214" customFormat="1" ht="15.75">
      <c r="A4" s="211" t="s">
        <v>1912</v>
      </c>
      <c r="B4" s="212"/>
      <c r="C4" s="212"/>
      <c r="D4" s="212"/>
      <c r="E4" s="212"/>
      <c r="F4" s="212"/>
      <c r="G4" s="213"/>
    </row>
    <row r="5" spans="1:8" s="220" customFormat="1" ht="13.5" customHeight="1">
      <c r="A5" s="261" t="s">
        <v>1913</v>
      </c>
      <c r="B5" s="216" t="s">
        <v>1914</v>
      </c>
      <c r="C5" s="217">
        <f ca="1">C6+C7+C8</f>
        <v>650904</v>
      </c>
      <c r="D5" s="217" t="s">
        <v>1915</v>
      </c>
      <c r="E5" s="218" t="s">
        <v>1916</v>
      </c>
      <c r="F5" s="218" t="s">
        <v>1917</v>
      </c>
      <c r="G5" s="219"/>
    </row>
    <row r="6" spans="1:8" s="220" customFormat="1" ht="13.5" customHeight="1">
      <c r="A6" s="867" t="s">
        <v>1918</v>
      </c>
      <c r="B6" s="221" t="s">
        <v>1919</v>
      </c>
      <c r="C6" s="222"/>
      <c r="D6" s="223"/>
      <c r="E6" s="224"/>
      <c r="F6" s="224"/>
      <c r="G6" s="225"/>
    </row>
    <row r="7" spans="1:8" s="220" customFormat="1" ht="13.5" customHeight="1">
      <c r="A7" s="867" t="s">
        <v>1920</v>
      </c>
      <c r="B7" s="221" t="s">
        <v>1921</v>
      </c>
      <c r="C7" s="226">
        <f>ROUND(C6*F7,0)</f>
        <v>0</v>
      </c>
      <c r="D7" s="226"/>
      <c r="E7" s="224"/>
      <c r="F7" s="227">
        <f>IF(项目基本情况!B8="出让",0,'数据-取费表'!B48+'数据-取费表'!B49)</f>
        <v>3.0499999999999999E-2</v>
      </c>
      <c r="G7" s="225"/>
    </row>
    <row r="8" spans="1:8" s="229" customFormat="1">
      <c r="A8" s="867" t="s">
        <v>1922</v>
      </c>
      <c r="B8" s="221" t="s">
        <v>1923</v>
      </c>
      <c r="C8" s="226">
        <f ca="1">IF(G8="已包含在土地购买价格中",0,C9+C10)</f>
        <v>650904</v>
      </c>
      <c r="D8" s="228"/>
      <c r="E8" s="226"/>
      <c r="F8" s="227"/>
      <c r="G8" s="1992"/>
    </row>
    <row r="9" spans="1:8" s="220" customFormat="1" ht="13.5" customHeight="1">
      <c r="A9" s="868" t="s">
        <v>619</v>
      </c>
      <c r="B9" s="230" t="s">
        <v>1924</v>
      </c>
      <c r="C9" s="231">
        <f ca="1">ROUND(D9*E9,0)</f>
        <v>0</v>
      </c>
      <c r="D9" s="935">
        <f ca="1">IF(B1="",'数据-汇总表'!E5,IF(INDIRECT("'数据-取费表'!c"&amp;$G$1)="住宅",INDIRECT("'数据-取费表'!k"&amp;$G$1),0))</f>
        <v>0</v>
      </c>
      <c r="E9" s="231">
        <f>'数据-取费表'!B27</f>
        <v>105</v>
      </c>
      <c r="F9" s="227"/>
      <c r="G9" s="232"/>
    </row>
    <row r="10" spans="1:8" s="220" customFormat="1" ht="13.5" customHeight="1">
      <c r="A10" s="868" t="s">
        <v>620</v>
      </c>
      <c r="B10" s="230" t="s">
        <v>1926</v>
      </c>
      <c r="C10" s="231">
        <f ca="1">ROUND(D10*E10,0)</f>
        <v>650904</v>
      </c>
      <c r="D10" s="935">
        <f ca="1">IF(B1="",'数据-汇总表'!E6,IF(INDIRECT("'数据-取费表'!c"&amp;$G$1)="住宅",INDIRECT("'数据-取费表'!s"&amp;$G$1),INDIRECT("'数据-取费表'!k"&amp;$G$1)+INDIRECT("'数据-取费表'!s"&amp;$G$1)))</f>
        <v>6199.09</v>
      </c>
      <c r="E10" s="231">
        <f>'数据-取费表'!B28</f>
        <v>105</v>
      </c>
      <c r="F10" s="227"/>
      <c r="G10" s="232"/>
    </row>
    <row r="11" spans="1:8" s="220" customFormat="1" ht="13.5" hidden="1" customHeight="1">
      <c r="A11" s="233" t="s">
        <v>7</v>
      </c>
      <c r="B11" s="221" t="s">
        <v>1927</v>
      </c>
      <c r="C11" s="217"/>
      <c r="D11" s="937"/>
      <c r="E11" s="224"/>
      <c r="F11" s="224"/>
      <c r="G11" s="225"/>
    </row>
    <row r="12" spans="1:8" s="220" customFormat="1" ht="13.5" hidden="1" customHeight="1">
      <c r="A12" s="233" t="s">
        <v>8</v>
      </c>
      <c r="B12" s="221" t="s">
        <v>2010</v>
      </c>
      <c r="C12" s="217">
        <v>0</v>
      </c>
      <c r="D12" s="937"/>
      <c r="E12" s="234"/>
      <c r="F12" s="227">
        <v>3.0499999999999999E-2</v>
      </c>
      <c r="G12" s="225"/>
    </row>
    <row r="13" spans="1:8" s="220" customFormat="1" ht="13.5" hidden="1" customHeight="1">
      <c r="A13" s="233" t="s">
        <v>9</v>
      </c>
      <c r="B13" s="221" t="s">
        <v>2011</v>
      </c>
      <c r="C13" s="217"/>
      <c r="D13" s="937"/>
      <c r="E13" s="224"/>
      <c r="F13" s="224"/>
      <c r="G13" s="225"/>
    </row>
    <row r="14" spans="1:8" s="220" customFormat="1" ht="13.5" hidden="1" customHeight="1">
      <c r="A14" s="233" t="s">
        <v>10</v>
      </c>
      <c r="B14" s="221" t="s">
        <v>1923</v>
      </c>
      <c r="C14" s="217"/>
      <c r="D14" s="937"/>
      <c r="E14" s="224"/>
      <c r="F14" s="224"/>
      <c r="G14" s="225" t="s">
        <v>2012</v>
      </c>
    </row>
    <row r="15" spans="1:8" s="220" customFormat="1" ht="13.5" hidden="1" customHeight="1">
      <c r="A15" s="233" t="s">
        <v>11</v>
      </c>
      <c r="B15" s="221" t="s">
        <v>2013</v>
      </c>
      <c r="C15" s="226"/>
      <c r="D15" s="937"/>
      <c r="E15" s="224"/>
      <c r="F15" s="224"/>
      <c r="G15" s="225" t="s">
        <v>2014</v>
      </c>
    </row>
    <row r="16" spans="1:8" s="220" customFormat="1" ht="13.5" hidden="1" customHeight="1">
      <c r="A16" s="233" t="s">
        <v>12</v>
      </c>
      <c r="B16" s="221" t="s">
        <v>1923</v>
      </c>
      <c r="C16" s="226"/>
      <c r="D16" s="937"/>
      <c r="E16" s="224"/>
      <c r="F16" s="224"/>
      <c r="G16" s="225"/>
    </row>
    <row r="17" spans="1:7" s="220" customFormat="1" ht="13.5" hidden="1" customHeight="1">
      <c r="A17" s="233" t="s">
        <v>13</v>
      </c>
      <c r="B17" s="221" t="s">
        <v>2015</v>
      </c>
      <c r="C17" s="235"/>
      <c r="D17" s="938"/>
      <c r="E17" s="235"/>
      <c r="F17" s="235"/>
      <c r="G17" s="225" t="s">
        <v>2014</v>
      </c>
    </row>
    <row r="18" spans="1:7" s="220" customFormat="1" ht="13.5" hidden="1" customHeight="1">
      <c r="A18" s="233" t="s">
        <v>14</v>
      </c>
      <c r="B18" s="221" t="s">
        <v>2016</v>
      </c>
      <c r="C18" s="226">
        <v>0</v>
      </c>
      <c r="D18" s="937"/>
      <c r="E18" s="224"/>
      <c r="F18" s="227">
        <v>3.0499999999999999E-2</v>
      </c>
      <c r="G18" s="225" t="s">
        <v>2017</v>
      </c>
    </row>
    <row r="19" spans="1:7" s="229" customFormat="1" ht="13.5" customHeight="1">
      <c r="A19" s="261" t="s">
        <v>2018</v>
      </c>
      <c r="B19" s="216" t="s">
        <v>2019</v>
      </c>
      <c r="C19" s="217">
        <f ca="1">IF(G19="已包含在土地取得成本中","0",ROUND(D19*E19,0))</f>
        <v>1239818</v>
      </c>
      <c r="D19" s="939">
        <f ca="1">D9+D10</f>
        <v>6199.09</v>
      </c>
      <c r="E19" s="217">
        <f>'数据-取费表'!B31</f>
        <v>200</v>
      </c>
      <c r="F19" s="237"/>
      <c r="G19" s="1992"/>
    </row>
    <row r="20" spans="1:7" s="220" customFormat="1" ht="13.5" customHeight="1">
      <c r="A20" s="261" t="s">
        <v>2020</v>
      </c>
      <c r="B20" s="216" t="s">
        <v>2021</v>
      </c>
      <c r="C20" s="238">
        <f ca="1">ROUND((C5+C19)*F20,0)</f>
        <v>37814</v>
      </c>
      <c r="D20" s="238"/>
      <c r="E20" s="238"/>
      <c r="F20" s="239">
        <f>'数据-取费表'!B37</f>
        <v>0.02</v>
      </c>
      <c r="G20" s="240" t="s">
        <v>2022</v>
      </c>
    </row>
    <row r="21" spans="1:7" s="220" customFormat="1" ht="13.5" customHeight="1">
      <c r="A21" s="261" t="s">
        <v>2023</v>
      </c>
      <c r="B21" s="216" t="s">
        <v>2024</v>
      </c>
      <c r="C21" s="241">
        <f>F21</f>
        <v>0.02</v>
      </c>
      <c r="D21" s="242" t="s">
        <v>2025</v>
      </c>
      <c r="E21" s="238"/>
      <c r="F21" s="239">
        <f>'数据-取费表'!B38</f>
        <v>0.02</v>
      </c>
      <c r="G21" s="240" t="s">
        <v>2026</v>
      </c>
    </row>
    <row r="22" spans="1:7" s="220" customFormat="1" ht="13.5" customHeight="1">
      <c r="A22" s="261" t="s">
        <v>2027</v>
      </c>
      <c r="B22" s="216" t="s">
        <v>2028</v>
      </c>
      <c r="C22" s="1242">
        <f ca="1">ROUND(SUM(C23:C25),0)</f>
        <v>161755</v>
      </c>
      <c r="D22" s="241">
        <f ca="1">C26</f>
        <v>8.0000000000000004E-4</v>
      </c>
      <c r="E22" s="242" t="s">
        <v>2025</v>
      </c>
      <c r="F22" s="243">
        <f ca="1">'数据-取费表'!B40</f>
        <v>4.1499999999999995E-2</v>
      </c>
      <c r="G22" s="240" t="str">
        <f>IF('数据-取费表'!B22&lt;=1,"单利计息","复利计息")</f>
        <v>复利计息</v>
      </c>
    </row>
    <row r="23" spans="1:7" s="220" customFormat="1" ht="13.5" customHeight="1">
      <c r="A23" s="869" t="s">
        <v>1918</v>
      </c>
      <c r="B23" s="221" t="s">
        <v>2029</v>
      </c>
      <c r="C23" s="1243">
        <f ca="1">ROUND(IF('数据-取费表'!B22&lt;=1,C5*F22*'数据-取费表'!B22,C5*(POWER((1+F22),'数据-取费表'!B22)-1)),0)</f>
        <v>55146</v>
      </c>
      <c r="D23" s="244"/>
      <c r="E23" s="244"/>
      <c r="F23" s="245"/>
      <c r="G23" s="246" t="s">
        <v>2030</v>
      </c>
    </row>
    <row r="24" spans="1:7" s="220" customFormat="1" ht="13.5" customHeight="1">
      <c r="A24" s="869" t="s">
        <v>1920</v>
      </c>
      <c r="B24" s="221" t="s">
        <v>2031</v>
      </c>
      <c r="C24" s="1243">
        <f ca="1">ROUND(IF('数据-取费表'!B22&lt;=1,C19*F22*('数据-取费表'!B19/2+'数据-取费表'!B20),C19*(POWER((1+F22),('数据-取费表'!B19/2+'数据-取费表'!B20))-1)),0)</f>
        <v>105040</v>
      </c>
      <c r="D24" s="244"/>
      <c r="E24" s="244"/>
      <c r="F24" s="245"/>
      <c r="G24" s="246" t="s">
        <v>2032</v>
      </c>
    </row>
    <row r="25" spans="1:7" s="220" customFormat="1" ht="24">
      <c r="A25" s="869" t="s">
        <v>1922</v>
      </c>
      <c r="B25" s="221" t="s">
        <v>2033</v>
      </c>
      <c r="C25" s="1243">
        <f ca="1">ROUND(IF('数据-取费表'!B22&lt;=1,C20*F22*'数据-取费表'!B22/2,C20*(POWER((1+F22),'数据-取费表'!B22/2)-1)),0)</f>
        <v>1569</v>
      </c>
      <c r="D25" s="244"/>
      <c r="E25" s="247"/>
      <c r="F25" s="245"/>
      <c r="G25" s="248" t="s">
        <v>2034</v>
      </c>
    </row>
    <row r="26" spans="1:7" s="220" customFormat="1">
      <c r="A26" s="869" t="s">
        <v>614</v>
      </c>
      <c r="B26" s="221" t="s">
        <v>1957</v>
      </c>
      <c r="C26" s="244">
        <f ca="1">ROUND(IF('数据-取费表'!B22&lt;=1,F21*F22*'数据-取费表'!B22/2,F21*(POWER((1+F22),'数据-取费表'!B22/2)-1)),4)</f>
        <v>8.0000000000000004E-4</v>
      </c>
      <c r="D26" s="244"/>
      <c r="E26" s="247"/>
      <c r="F26" s="245"/>
      <c r="G26" s="249"/>
    </row>
    <row r="27" spans="1:7" s="220" customFormat="1" ht="24.75">
      <c r="A27" s="261" t="s">
        <v>1958</v>
      </c>
      <c r="B27" s="250" t="s">
        <v>1959</v>
      </c>
      <c r="C27" s="251">
        <f ca="1">C28</f>
        <v>385707</v>
      </c>
      <c r="D27" s="241">
        <f ca="1">C29</f>
        <v>4.0000000000000001E-3</v>
      </c>
      <c r="E27" s="242" t="s">
        <v>1960</v>
      </c>
      <c r="F27" s="252">
        <f ca="1">IF(B1="",'数据-取费表'!Q16,INDIRECT("'数据-取费表'!q"&amp;$G$1))</f>
        <v>0.2</v>
      </c>
      <c r="G27" s="253" t="s">
        <v>1961</v>
      </c>
    </row>
    <row r="28" spans="1:7" s="220" customFormat="1" ht="13.5" customHeight="1">
      <c r="A28" s="869" t="s">
        <v>610</v>
      </c>
      <c r="B28" s="254" t="s">
        <v>1962</v>
      </c>
      <c r="C28" s="255">
        <f ca="1">ROUND((C5+C19+C20)*F27,0)</f>
        <v>385707</v>
      </c>
      <c r="D28" s="241"/>
      <c r="E28" s="242"/>
      <c r="F28" s="252"/>
      <c r="G28" s="253"/>
    </row>
    <row r="29" spans="1:7" s="220" customFormat="1" ht="13.5" customHeight="1">
      <c r="A29" s="869" t="s">
        <v>611</v>
      </c>
      <c r="B29" s="254" t="s">
        <v>1963</v>
      </c>
      <c r="C29" s="244">
        <f ca="1">ROUND(C21*F27,4)</f>
        <v>4.0000000000000001E-3</v>
      </c>
      <c r="D29" s="241"/>
      <c r="E29" s="242"/>
      <c r="F29" s="252"/>
      <c r="G29" s="253"/>
    </row>
    <row r="30" spans="1:7" s="220" customFormat="1" ht="13.5" customHeight="1">
      <c r="A30" s="261" t="s">
        <v>1964</v>
      </c>
      <c r="B30" s="216" t="s">
        <v>1965</v>
      </c>
      <c r="C30" s="241">
        <f>ROUND(F30/(1+'数据-取费表'!C42),4)</f>
        <v>5.33E-2</v>
      </c>
      <c r="D30" s="242" t="s">
        <v>1960</v>
      </c>
      <c r="E30" s="247"/>
      <c r="F30" s="243">
        <f>'数据-取费表'!B41</f>
        <v>5.6000000000000001E-2</v>
      </c>
      <c r="G30" s="240" t="s">
        <v>1966</v>
      </c>
    </row>
    <row r="31" spans="1:7" ht="16.5" customHeight="1">
      <c r="A31" s="215">
        <v>1</v>
      </c>
      <c r="B31" s="216" t="s">
        <v>1967</v>
      </c>
      <c r="C31" s="217">
        <f ca="1">ROUND((C5+C19+C20+C22+C27)/(1-C21-D22-D27-C30),0)</f>
        <v>2685756</v>
      </c>
      <c r="D31" s="236"/>
      <c r="E31" s="217"/>
      <c r="F31" s="256"/>
      <c r="G31" s="240" t="s">
        <v>1968</v>
      </c>
    </row>
    <row r="32" spans="1:7" s="214" customFormat="1" ht="15.75">
      <c r="A32" s="258" t="s">
        <v>2035</v>
      </c>
      <c r="B32" s="259"/>
      <c r="C32" s="259"/>
      <c r="D32" s="259"/>
      <c r="E32" s="259"/>
      <c r="F32" s="259"/>
      <c r="G32" s="260"/>
    </row>
    <row r="33" spans="1:7" s="220" customFormat="1" ht="13.5" customHeight="1">
      <c r="A33" s="261" t="s">
        <v>601</v>
      </c>
      <c r="B33" s="216" t="s">
        <v>2036</v>
      </c>
      <c r="C33" s="262">
        <f ca="1">SUM(C34:C38)</f>
        <v>18888628</v>
      </c>
      <c r="D33" s="238"/>
      <c r="E33" s="218"/>
      <c r="F33" s="247"/>
      <c r="G33" s="240"/>
    </row>
    <row r="34" spans="1:7" s="264" customFormat="1" ht="13.5" customHeight="1">
      <c r="A34" s="869" t="s">
        <v>610</v>
      </c>
      <c r="B34" s="221" t="s">
        <v>1971</v>
      </c>
      <c r="C34" s="226">
        <f ca="1">ROUND(IF(B1="",SUMPRODUCT('数据-取费表'!K6:K14,'数据-取费表'!L6:L14),INDIRECT("'数据-取费表'!l"&amp;$G$1)*INDIRECT("'数据-取费表'!k"&amp;$G$1)+'数据-取费表'!L14*INDIRECT("'数据-取费表'!S"&amp;$G$1)),0)</f>
        <v>16117634</v>
      </c>
      <c r="D34" s="223"/>
      <c r="E34" s="226"/>
      <c r="F34" s="263"/>
      <c r="G34" s="225"/>
    </row>
    <row r="35" spans="1:7" ht="13.5" customHeight="1">
      <c r="A35" s="869" t="s">
        <v>615</v>
      </c>
      <c r="B35" s="221" t="s">
        <v>1973</v>
      </c>
      <c r="C35" s="226">
        <f ca="1">ROUND(C34*F35,0)</f>
        <v>483529</v>
      </c>
      <c r="D35" s="226"/>
      <c r="E35" s="226"/>
      <c r="F35" s="265">
        <f>'数据-取费表'!B33</f>
        <v>0.03</v>
      </c>
      <c r="G35" s="225" t="s">
        <v>1974</v>
      </c>
    </row>
    <row r="36" spans="1:7" ht="24">
      <c r="A36" s="869" t="s">
        <v>616</v>
      </c>
      <c r="B36" s="221" t="s">
        <v>1975</v>
      </c>
      <c r="C36" s="226">
        <f ca="1">ROUND(IF(B1="",SUM('数据-取费表'!AP6:AP13)*F36,IF(INDIRECT("'数据-取费表'!c"&amp;$G$1)="住宅",INDIRECT("'数据-取费表'!k"&amp;$G$1)*INDIRECT("'数据-取费表'!l"&amp;$G$1)*F36,0)),0)</f>
        <v>805882</v>
      </c>
      <c r="D36" s="226"/>
      <c r="E36" s="226"/>
      <c r="F36" s="265">
        <f>'数据-取费表'!B34</f>
        <v>0.05</v>
      </c>
      <c r="G36" s="266" t="s">
        <v>1976</v>
      </c>
    </row>
    <row r="37" spans="1:7" s="264" customFormat="1" ht="13.5" customHeight="1">
      <c r="A37" s="869" t="s">
        <v>617</v>
      </c>
      <c r="B37" s="221" t="s">
        <v>1977</v>
      </c>
      <c r="C37" s="255">
        <f ca="1">ROUND(E37*D37,0)</f>
        <v>1239818</v>
      </c>
      <c r="D37" s="223">
        <f ca="1">D19</f>
        <v>6199.09</v>
      </c>
      <c r="E37" s="255">
        <f>'数据-取费表'!B35</f>
        <v>200</v>
      </c>
      <c r="F37" s="265"/>
      <c r="G37" s="267"/>
    </row>
    <row r="38" spans="1:7" ht="13.5" customHeight="1">
      <c r="A38" s="869" t="s">
        <v>618</v>
      </c>
      <c r="B38" s="221" t="s">
        <v>1979</v>
      </c>
      <c r="C38" s="226">
        <f ca="1">ROUND(C34*F38,0)</f>
        <v>241765</v>
      </c>
      <c r="D38" s="226"/>
      <c r="E38" s="226"/>
      <c r="F38" s="265">
        <f>'数据-取费表'!B36</f>
        <v>1.4999999999999999E-2</v>
      </c>
      <c r="G38" s="225" t="s">
        <v>1974</v>
      </c>
    </row>
    <row r="39" spans="1:7" s="220" customFormat="1" ht="13.5" customHeight="1">
      <c r="A39" s="261" t="s">
        <v>1980</v>
      </c>
      <c r="B39" s="216" t="s">
        <v>1981</v>
      </c>
      <c r="C39" s="238">
        <f ca="1">ROUND(C33*F20,0)</f>
        <v>377773</v>
      </c>
      <c r="D39" s="238"/>
      <c r="E39" s="238"/>
      <c r="F39" s="2484">
        <f>F20</f>
        <v>0.02</v>
      </c>
      <c r="G39" s="240" t="s">
        <v>1982</v>
      </c>
    </row>
    <row r="40" spans="1:7" s="220" customFormat="1" ht="13.5" customHeight="1">
      <c r="A40" s="261" t="s">
        <v>1983</v>
      </c>
      <c r="B40" s="216" t="s">
        <v>1984</v>
      </c>
      <c r="C40" s="1447">
        <f>F21</f>
        <v>0.02</v>
      </c>
      <c r="D40" s="242" t="s">
        <v>1985</v>
      </c>
      <c r="E40" s="238"/>
      <c r="F40" s="2484">
        <f>F21</f>
        <v>0.02</v>
      </c>
      <c r="G40" s="240" t="s">
        <v>1986</v>
      </c>
    </row>
    <row r="41" spans="1:7" s="220" customFormat="1" ht="13.5" customHeight="1">
      <c r="A41" s="261" t="s">
        <v>1987</v>
      </c>
      <c r="B41" s="216" t="s">
        <v>1988</v>
      </c>
      <c r="C41" s="238">
        <f ca="1">ROUND(SUM(C42:C43),0)</f>
        <v>799556</v>
      </c>
      <c r="D41" s="241">
        <f ca="1">C44</f>
        <v>8.0000000000000004E-4</v>
      </c>
      <c r="E41" s="242" t="s">
        <v>1985</v>
      </c>
      <c r="F41" s="2485">
        <f ca="1">F22</f>
        <v>4.1499999999999995E-2</v>
      </c>
      <c r="G41" s="240" t="str">
        <f>IF('数据-取费表'!B22&lt;=1,"单利计息","复利计息")</f>
        <v>复利计息</v>
      </c>
    </row>
    <row r="42" spans="1:7" ht="13.5" customHeight="1">
      <c r="A42" s="869" t="s">
        <v>610</v>
      </c>
      <c r="B42" s="221" t="s">
        <v>1989</v>
      </c>
      <c r="C42" s="244">
        <f ca="1">ROUND(IF('数据-取费表'!B22&lt;=1,C33*F22*'数据-取费表'!B20/2,C33*(POWER((1+F22),'数据-取费表'!B20/2)-1)),0)</f>
        <v>783878</v>
      </c>
      <c r="D42" s="244"/>
      <c r="E42" s="244"/>
      <c r="F42" s="245"/>
      <c r="G42" s="3447" t="s">
        <v>2037</v>
      </c>
    </row>
    <row r="43" spans="1:7" ht="13.5" customHeight="1">
      <c r="A43" s="869" t="s">
        <v>611</v>
      </c>
      <c r="B43" s="221" t="s">
        <v>1991</v>
      </c>
      <c r="C43" s="244">
        <f ca="1">ROUND(IF('数据-取费表'!B22&lt;=1,C39*F22*'数据-取费表'!B20/2,C39*(POWER((1+F22),'数据-取费表'!B20/2)-1)),0)</f>
        <v>15678</v>
      </c>
      <c r="D43" s="244"/>
      <c r="E43" s="244"/>
      <c r="F43" s="245"/>
      <c r="G43" s="3448"/>
    </row>
    <row r="44" spans="1:7" ht="13.5" customHeight="1">
      <c r="A44" s="869" t="s">
        <v>612</v>
      </c>
      <c r="B44" s="221" t="s">
        <v>1992</v>
      </c>
      <c r="C44" s="244">
        <f ca="1">ROUND(IF('数据-取费表'!B22&lt;=1,C40*F22*'数据-取费表'!B20/2,C40*(POWER((1+F22),'数据-取费表'!B20/2)-1)),4)</f>
        <v>8.0000000000000004E-4</v>
      </c>
      <c r="D44" s="244"/>
      <c r="E44" s="244"/>
      <c r="F44" s="245"/>
      <c r="G44" s="3449"/>
    </row>
    <row r="45" spans="1:7" s="220" customFormat="1" ht="13.5" customHeight="1">
      <c r="A45" s="261" t="s">
        <v>1993</v>
      </c>
      <c r="B45" s="250" t="s">
        <v>1959</v>
      </c>
      <c r="C45" s="251">
        <f ca="1">C46</f>
        <v>3853280</v>
      </c>
      <c r="D45" s="241">
        <f ca="1">C47</f>
        <v>4.0000000000000001E-3</v>
      </c>
      <c r="E45" s="242" t="s">
        <v>1985</v>
      </c>
      <c r="F45" s="2486">
        <f ca="1">F27</f>
        <v>0.2</v>
      </c>
      <c r="G45" s="253" t="s">
        <v>1994</v>
      </c>
    </row>
    <row r="46" spans="1:7" s="220" customFormat="1" ht="13.5" customHeight="1">
      <c r="A46" s="869" t="s">
        <v>610</v>
      </c>
      <c r="B46" s="254" t="s">
        <v>1995</v>
      </c>
      <c r="C46" s="255">
        <f ca="1">ROUND((C33+C39)*F27,0)</f>
        <v>3853280</v>
      </c>
      <c r="D46" s="269"/>
      <c r="E46" s="242"/>
      <c r="F46" s="252"/>
      <c r="G46" s="253"/>
    </row>
    <row r="47" spans="1:7" s="220" customFormat="1" ht="13.5" customHeight="1">
      <c r="A47" s="869" t="s">
        <v>611</v>
      </c>
      <c r="B47" s="254" t="s">
        <v>1996</v>
      </c>
      <c r="C47" s="244">
        <f ca="1">ROUND(C40*F27,4)</f>
        <v>4.0000000000000001E-3</v>
      </c>
      <c r="D47" s="269"/>
      <c r="E47" s="242"/>
      <c r="F47" s="252"/>
      <c r="G47" s="253"/>
    </row>
    <row r="48" spans="1:7" s="220" customFormat="1" ht="13.5" customHeight="1">
      <c r="A48" s="261" t="s">
        <v>1958</v>
      </c>
      <c r="B48" s="216" t="s">
        <v>1997</v>
      </c>
      <c r="C48" s="268">
        <f>ROUND(F30/(1+'数据-取费表'!C42),4)</f>
        <v>5.33E-2</v>
      </c>
      <c r="D48" s="242" t="s">
        <v>1985</v>
      </c>
      <c r="E48" s="238"/>
      <c r="F48" s="2485">
        <f>F30</f>
        <v>5.6000000000000001E-2</v>
      </c>
      <c r="G48" s="240" t="s">
        <v>1998</v>
      </c>
    </row>
    <row r="49" spans="1:7" ht="16.5" customHeight="1">
      <c r="A49" s="261" t="s">
        <v>1964</v>
      </c>
      <c r="B49" s="216" t="s">
        <v>2038</v>
      </c>
      <c r="C49" s="238">
        <f ca="1">ROUND((C33+C39+C41+C45)/(1-C40-D41-D45-C48),0)</f>
        <v>25945587</v>
      </c>
      <c r="D49" s="238"/>
      <c r="E49" s="238"/>
      <c r="F49" s="270"/>
      <c r="G49" s="240" t="s">
        <v>2000</v>
      </c>
    </row>
    <row r="50" spans="1:7" s="264" customFormat="1">
      <c r="A50" s="261" t="s">
        <v>2001</v>
      </c>
      <c r="B50" s="216" t="s">
        <v>2002</v>
      </c>
      <c r="C50" s="238"/>
      <c r="D50" s="238"/>
      <c r="E50" s="238"/>
      <c r="F50" s="270">
        <f>IF('数据-取费表'!B24=0,'数据-取费表'!N16,1)</f>
        <v>0.6</v>
      </c>
      <c r="G50" s="253"/>
    </row>
    <row r="51" spans="1:7" ht="16.5" customHeight="1">
      <c r="A51" s="261" t="s">
        <v>2004</v>
      </c>
      <c r="B51" s="216" t="s">
        <v>2039</v>
      </c>
      <c r="C51" s="238">
        <f ca="1">ROUND(C49*F50,0)</f>
        <v>15567352</v>
      </c>
      <c r="D51" s="238"/>
      <c r="E51" s="238"/>
      <c r="F51" s="270"/>
      <c r="G51" s="240" t="s">
        <v>2006</v>
      </c>
    </row>
    <row r="52" spans="1:7" s="214" customFormat="1" ht="16.5" thickBot="1">
      <c r="A52" s="271" t="s">
        <v>2007</v>
      </c>
      <c r="B52" s="272"/>
      <c r="C52" s="273">
        <f ca="1">C31+C51</f>
        <v>18253108</v>
      </c>
      <c r="D52" s="272"/>
      <c r="E52" s="272"/>
      <c r="F52" s="272"/>
      <c r="G52" s="274"/>
    </row>
    <row r="55" spans="1:7" ht="15">
      <c r="B55" s="276" t="s">
        <v>2008</v>
      </c>
      <c r="C55" s="277"/>
    </row>
    <row r="56" spans="1:7">
      <c r="B56" s="279" t="s">
        <v>1237</v>
      </c>
      <c r="C56" s="281">
        <f ca="1">1-C57</f>
        <v>0.14700000000000002</v>
      </c>
    </row>
    <row r="57" spans="1:7">
      <c r="B57" s="279" t="s">
        <v>1238</v>
      </c>
      <c r="C57" s="280">
        <f ca="1">ROUND(C51/C52,3)</f>
        <v>0.85299999999999998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5" zoomScale="85" zoomScaleNormal="60" zoomScaleSheetLayoutView="85" workbookViewId="0">
      <selection activeCell="J56" sqref="J5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2322</v>
      </c>
      <c r="B1" s="355"/>
      <c r="C1" s="356" t="s">
        <v>2323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1908</v>
      </c>
      <c r="B2" s="627">
        <f>F65</f>
        <v>4020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1910</v>
      </c>
      <c r="B3" s="566">
        <f>ROUND(IF(D3="",B2*10000/'数据-汇总表'!E3,B2*10000/D3),0)</f>
        <v>6485</v>
      </c>
      <c r="C3" s="209" t="s">
        <v>2324</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2223</v>
      </c>
      <c r="B4" s="362"/>
      <c r="C4" s="3468" t="s">
        <v>2224</v>
      </c>
      <c r="D4" s="3469"/>
      <c r="E4" s="3470" t="s">
        <v>2225</v>
      </c>
      <c r="F4" s="3471"/>
      <c r="G4" s="3468" t="s">
        <v>2226</v>
      </c>
      <c r="H4" s="3469"/>
      <c r="I4" s="3468" t="s">
        <v>2227</v>
      </c>
      <c r="J4" s="3469"/>
      <c r="K4" s="567" t="s">
        <v>2228</v>
      </c>
      <c r="L4" s="2892"/>
      <c r="M4" s="2893"/>
      <c r="N4" s="2893"/>
      <c r="O4" s="2893"/>
      <c r="P4" s="3472" t="s">
        <v>2229</v>
      </c>
      <c r="Q4" s="3473"/>
      <c r="R4" s="3455" t="s">
        <v>2225</v>
      </c>
      <c r="S4" s="3456"/>
      <c r="T4" s="3455" t="s">
        <v>2226</v>
      </c>
      <c r="U4" s="3456"/>
      <c r="V4" s="3480" t="s">
        <v>2227</v>
      </c>
      <c r="W4" s="3480"/>
      <c r="X4" s="1489"/>
      <c r="Y4" s="3455" t="s">
        <v>2229</v>
      </c>
      <c r="Z4" s="3456"/>
      <c r="AA4" s="3450" t="s">
        <v>2225</v>
      </c>
      <c r="AB4" s="3451" t="s">
        <v>2226</v>
      </c>
      <c r="AC4" s="3450" t="s">
        <v>2227</v>
      </c>
    </row>
    <row r="5" spans="1:30" ht="15">
      <c r="A5" s="364"/>
      <c r="B5" s="365"/>
      <c r="C5" s="3461" t="s">
        <v>2120</v>
      </c>
      <c r="D5" s="3462"/>
      <c r="E5" s="3459" t="str">
        <f>Sheet0!A6</f>
        <v>海陵区江州南路西侧、迎春西路南侧</v>
      </c>
      <c r="F5" s="3460"/>
      <c r="G5" s="3461" t="str">
        <f>Sheet0!A15</f>
        <v>泰州经济开发区吴陵南路东侧、梅兰西路北侧</v>
      </c>
      <c r="H5" s="3462"/>
      <c r="I5" s="3461" t="str">
        <f>Sheet0!A34</f>
        <v>海陵区青年北路东侧、十胜街北侧</v>
      </c>
      <c r="J5" s="3462"/>
      <c r="K5" s="567"/>
      <c r="L5" s="2892"/>
      <c r="M5" s="2893"/>
      <c r="N5" s="2893"/>
      <c r="O5" s="2893"/>
      <c r="P5" s="3474"/>
      <c r="Q5" s="3475"/>
      <c r="R5" s="3457"/>
      <c r="S5" s="3458"/>
      <c r="T5" s="3457"/>
      <c r="U5" s="3458"/>
      <c r="V5" s="3480"/>
      <c r="W5" s="3480"/>
      <c r="X5" s="1489"/>
      <c r="Y5" s="3457"/>
      <c r="Z5" s="3458"/>
      <c r="AA5" s="3451"/>
      <c r="AB5" s="3451"/>
      <c r="AC5" s="3451"/>
    </row>
    <row r="6" spans="1:30" ht="15.75" thickBot="1">
      <c r="A6" s="366"/>
      <c r="B6" s="367"/>
      <c r="C6" s="3463" t="s">
        <v>2124</v>
      </c>
      <c r="D6" s="3464"/>
      <c r="E6" s="3465" t="s">
        <v>2124</v>
      </c>
      <c r="F6" s="3466"/>
      <c r="G6" s="3463" t="s">
        <v>2124</v>
      </c>
      <c r="H6" s="3464"/>
      <c r="I6" s="3463" t="s">
        <v>2124</v>
      </c>
      <c r="J6" s="3464"/>
      <c r="K6" s="567" t="s">
        <v>2125</v>
      </c>
      <c r="L6" s="2892"/>
      <c r="M6" s="2893"/>
      <c r="N6" s="2893"/>
      <c r="O6" s="2893"/>
      <c r="P6" s="3476"/>
      <c r="Q6" s="3477"/>
      <c r="R6" s="3457"/>
      <c r="S6" s="3458"/>
      <c r="T6" s="3478"/>
      <c r="U6" s="3479"/>
      <c r="V6" s="3480"/>
      <c r="W6" s="3480"/>
      <c r="X6" s="1489"/>
      <c r="Y6" s="3478"/>
      <c r="Z6" s="3479"/>
      <c r="AA6" s="3452"/>
      <c r="AB6" s="3452"/>
      <c r="AC6" s="3452"/>
    </row>
    <row r="7" spans="1:30" s="113" customFormat="1" ht="15.75" thickBot="1">
      <c r="A7" s="368" t="s">
        <v>2126</v>
      </c>
      <c r="B7" s="369"/>
      <c r="C7" s="370">
        <f>'数据-取费表'!B2</f>
        <v>44915</v>
      </c>
      <c r="D7" s="371">
        <v>100</v>
      </c>
      <c r="E7" s="372" t="str">
        <f>Sheet0!K6</f>
        <v>2022-12-15</v>
      </c>
      <c r="F7" s="373">
        <f>SUMIF(69:69,YEAR(E7)&amp;"-"&amp;INT((MONTH(E7)+2)/3),70:70)</f>
        <v>100</v>
      </c>
      <c r="G7" s="2109" t="str">
        <f>Sheet0!K15</f>
        <v>2022-11-03</v>
      </c>
      <c r="H7" s="371">
        <f>SUMIF(69:69,YEAR(G7)&amp;"-"&amp;INT((MONTH(G7)+2)/3),70:70)</f>
        <v>100</v>
      </c>
      <c r="I7" s="2109" t="str">
        <f>Sheet0!K34</f>
        <v>2021-03-11</v>
      </c>
      <c r="J7" s="371">
        <f>SUMIF(69:69,YEAR(I7)&amp;"-"&amp;INT((MONTH(I7)+2)/3),70:70)</f>
        <v>96.5</v>
      </c>
      <c r="K7" s="568"/>
      <c r="L7" s="2894"/>
      <c r="M7" s="2895"/>
      <c r="N7" s="2895"/>
      <c r="O7" s="2895"/>
      <c r="P7" s="3453" t="s">
        <v>2127</v>
      </c>
      <c r="Q7" s="3481"/>
      <c r="R7" s="710" t="s">
        <v>17</v>
      </c>
      <c r="S7" s="711">
        <f t="shared" ref="S7:S15" si="0">F7</f>
        <v>100</v>
      </c>
      <c r="T7" s="710" t="s">
        <v>17</v>
      </c>
      <c r="U7" s="711">
        <f t="shared" ref="U7:U15" si="1">H7</f>
        <v>100</v>
      </c>
      <c r="V7" s="710" t="s">
        <v>17</v>
      </c>
      <c r="W7" s="711">
        <f t="shared" ref="W7:W15" si="2">J7</f>
        <v>96.5</v>
      </c>
      <c r="X7" s="712"/>
      <c r="Y7" s="3453" t="s">
        <v>2127</v>
      </c>
      <c r="Z7" s="3454"/>
      <c r="AA7" s="713">
        <f>D7/F7</f>
        <v>1</v>
      </c>
      <c r="AB7" s="713">
        <f>D7/H7</f>
        <v>1</v>
      </c>
      <c r="AC7" s="713">
        <f>D7/J7</f>
        <v>1.0362694300518134</v>
      </c>
    </row>
    <row r="8" spans="1:30" s="113" customFormat="1" ht="15.75" thickBot="1">
      <c r="A8" s="368" t="s">
        <v>2128</v>
      </c>
      <c r="B8" s="369"/>
      <c r="C8" s="374" t="s">
        <v>2129</v>
      </c>
      <c r="D8" s="371">
        <v>100</v>
      </c>
      <c r="E8" s="374" t="s">
        <v>3356</v>
      </c>
      <c r="F8" s="373">
        <f>SUMIF(72:72,E8,73:73)-SUMIF(72:72,C8,73:73)+100</f>
        <v>100</v>
      </c>
      <c r="G8" s="374" t="s">
        <v>3356</v>
      </c>
      <c r="H8" s="371">
        <f>SUMIF(72:72,G8,73:73)-SUMIF(72:72,C8,73:73)+100</f>
        <v>100</v>
      </c>
      <c r="I8" s="374" t="s">
        <v>3356</v>
      </c>
      <c r="J8" s="371">
        <f>SUMIF(72:72,I8,73:73)-SUMIF(72:72,C8,73:73)+100</f>
        <v>100</v>
      </c>
      <c r="K8" s="568"/>
      <c r="L8" s="2894"/>
      <c r="M8" s="2895"/>
      <c r="N8" s="2895"/>
      <c r="O8" s="2895"/>
      <c r="P8" s="3453" t="s">
        <v>2130</v>
      </c>
      <c r="Q8" s="3454"/>
      <c r="R8" s="710" t="s">
        <v>17</v>
      </c>
      <c r="S8" s="711">
        <f t="shared" si="0"/>
        <v>100</v>
      </c>
      <c r="T8" s="710" t="s">
        <v>17</v>
      </c>
      <c r="U8" s="711">
        <f t="shared" si="1"/>
        <v>100</v>
      </c>
      <c r="V8" s="710" t="s">
        <v>17</v>
      </c>
      <c r="W8" s="711">
        <f t="shared" si="2"/>
        <v>100</v>
      </c>
      <c r="X8" s="712"/>
      <c r="Y8" s="3453" t="s">
        <v>2130</v>
      </c>
      <c r="Z8" s="3454"/>
      <c r="AA8" s="713">
        <f t="shared" ref="AA8:AA45" si="3">D8/F8</f>
        <v>1</v>
      </c>
      <c r="AB8" s="713">
        <f t="shared" ref="AB8:AB45" si="4">D8/H8</f>
        <v>1</v>
      </c>
      <c r="AC8" s="713">
        <f t="shared" ref="AC8:AC45" si="5">D8/J8</f>
        <v>1</v>
      </c>
    </row>
    <row r="9" spans="1:30" s="113" customFormat="1">
      <c r="A9" s="375" t="s">
        <v>2131</v>
      </c>
      <c r="B9" s="67" t="s">
        <v>2132</v>
      </c>
      <c r="C9" s="2112" t="s">
        <v>3357</v>
      </c>
      <c r="D9" s="131">
        <v>100</v>
      </c>
      <c r="E9" s="2112" t="s">
        <v>3357</v>
      </c>
      <c r="F9" s="131">
        <f>SUMIF(74:74,E9,75:75)-SUMIF(74:74,C9,75:75)+100</f>
        <v>100</v>
      </c>
      <c r="G9" s="2112" t="s">
        <v>3357</v>
      </c>
      <c r="H9" s="131">
        <f>SUMIF(74:74,G9,75:75)-SUMIF(74:74,C9,75:75)+100</f>
        <v>100</v>
      </c>
      <c r="I9" s="2112" t="s">
        <v>3357</v>
      </c>
      <c r="J9" s="131">
        <f>SUMIF(74:74,I9,75:75)-SUMIF(74:74,C9,75:75)+100</f>
        <v>100</v>
      </c>
      <c r="K9" s="568"/>
      <c r="L9" s="2894"/>
      <c r="M9" s="2895"/>
      <c r="N9" s="2895"/>
      <c r="O9" s="2949"/>
      <c r="P9" s="3467" t="s">
        <v>2133</v>
      </c>
      <c r="Q9" s="1477" t="str">
        <f t="shared" ref="Q9:Q15" si="6">B9</f>
        <v>用途</v>
      </c>
      <c r="R9" s="710" t="s">
        <v>17</v>
      </c>
      <c r="S9" s="711">
        <f t="shared" si="0"/>
        <v>100</v>
      </c>
      <c r="T9" s="710" t="s">
        <v>17</v>
      </c>
      <c r="U9" s="711">
        <f t="shared" si="1"/>
        <v>100</v>
      </c>
      <c r="V9" s="710" t="s">
        <v>17</v>
      </c>
      <c r="W9" s="711">
        <f t="shared" si="2"/>
        <v>100</v>
      </c>
      <c r="X9" s="712"/>
      <c r="Y9" s="3423" t="s">
        <v>2134</v>
      </c>
      <c r="Z9" s="55" t="str">
        <f t="shared" ref="Z9:Z15" si="7">Q9</f>
        <v>用途</v>
      </c>
      <c r="AA9" s="713">
        <f t="shared" si="3"/>
        <v>1</v>
      </c>
      <c r="AB9" s="713">
        <f t="shared" si="4"/>
        <v>1</v>
      </c>
      <c r="AC9" s="713">
        <f t="shared" si="5"/>
        <v>1</v>
      </c>
    </row>
    <row r="10" spans="1:30" s="386" customFormat="1" ht="27">
      <c r="A10" s="380"/>
      <c r="B10" s="381" t="s">
        <v>2135</v>
      </c>
      <c r="C10" s="391"/>
      <c r="D10" s="132">
        <v>100</v>
      </c>
      <c r="E10" s="424"/>
      <c r="F10" s="132">
        <f>ROUND(100/'数据-取费表'!G16,0)</f>
        <v>101</v>
      </c>
      <c r="G10" s="422"/>
      <c r="H10" s="132">
        <f>ROUND(100/'数据-取费表'!G16,0)</f>
        <v>101</v>
      </c>
      <c r="I10" s="422"/>
      <c r="J10" s="132">
        <f>ROUND(100/'数据-取费表'!G16,0)</f>
        <v>101</v>
      </c>
      <c r="K10" s="628"/>
      <c r="L10" s="2896"/>
      <c r="M10" s="2897"/>
      <c r="N10" s="2897"/>
      <c r="O10" s="2950"/>
      <c r="P10" s="3467"/>
      <c r="Q10" s="1477" t="str">
        <f t="shared" si="6"/>
        <v>土地使用年限（年）</v>
      </c>
      <c r="R10" s="710" t="s">
        <v>17</v>
      </c>
      <c r="S10" s="711">
        <f t="shared" si="0"/>
        <v>101</v>
      </c>
      <c r="T10" s="710" t="s">
        <v>17</v>
      </c>
      <c r="U10" s="711">
        <f t="shared" si="1"/>
        <v>101</v>
      </c>
      <c r="V10" s="710" t="s">
        <v>17</v>
      </c>
      <c r="W10" s="711">
        <f t="shared" si="2"/>
        <v>101</v>
      </c>
      <c r="X10" s="712"/>
      <c r="Y10" s="3423"/>
      <c r="Z10" s="55" t="str">
        <f t="shared" si="7"/>
        <v>土地使用年限（年）</v>
      </c>
      <c r="AA10" s="713">
        <f t="shared" si="3"/>
        <v>0.99009900990099009</v>
      </c>
      <c r="AB10" s="713">
        <f t="shared" si="4"/>
        <v>0.99009900990099009</v>
      </c>
      <c r="AC10" s="713">
        <f t="shared" si="5"/>
        <v>0.99009900990099009</v>
      </c>
    </row>
    <row r="11" spans="1:30" ht="15.75" thickBot="1">
      <c r="A11" s="387"/>
      <c r="B11" s="381" t="s">
        <v>2136</v>
      </c>
      <c r="C11" s="388"/>
      <c r="D11" s="132">
        <v>100</v>
      </c>
      <c r="E11" s="388">
        <v>1.6</v>
      </c>
      <c r="F11" s="132">
        <f>LOOKUP(E11,79:79,80:80)-LOOKUP(C11,79:79,80:80)+100</f>
        <v>98</v>
      </c>
      <c r="G11" s="389">
        <v>1.6</v>
      </c>
      <c r="H11" s="132">
        <f>LOOKUP(G11,79:79,80:80)-LOOKUP(C11,79:79,80:80)+100</f>
        <v>98</v>
      </c>
      <c r="I11" s="388">
        <v>1.1100000000000001</v>
      </c>
      <c r="J11" s="132">
        <f>LOOKUP(I11,79:79,80:80)-LOOKUP(C11,79:79,80:80)+100</f>
        <v>98</v>
      </c>
      <c r="K11" s="629">
        <v>2</v>
      </c>
      <c r="L11" s="2898"/>
      <c r="M11" s="2893"/>
      <c r="N11" s="2893"/>
      <c r="O11" s="2951"/>
      <c r="P11" s="3467"/>
      <c r="Q11" s="1477" t="str">
        <f t="shared" si="6"/>
        <v>容积率</v>
      </c>
      <c r="R11" s="710" t="s">
        <v>17</v>
      </c>
      <c r="S11" s="711">
        <f t="shared" si="0"/>
        <v>98</v>
      </c>
      <c r="T11" s="710" t="s">
        <v>17</v>
      </c>
      <c r="U11" s="711">
        <f t="shared" si="1"/>
        <v>98</v>
      </c>
      <c r="V11" s="710" t="s">
        <v>17</v>
      </c>
      <c r="W11" s="711">
        <f t="shared" si="2"/>
        <v>98</v>
      </c>
      <c r="X11" s="712"/>
      <c r="Y11" s="3423"/>
      <c r="Z11" s="55" t="str">
        <f t="shared" si="7"/>
        <v>容积率</v>
      </c>
      <c r="AA11" s="713">
        <f t="shared" si="3"/>
        <v>1.0204081632653061</v>
      </c>
      <c r="AB11" s="713">
        <f t="shared" si="4"/>
        <v>1.0204081632653061</v>
      </c>
      <c r="AC11" s="713">
        <f t="shared" si="5"/>
        <v>1.0204081632653061</v>
      </c>
    </row>
    <row r="12" spans="1:30" s="113" customFormat="1" ht="15" hidden="1">
      <c r="A12" s="390"/>
      <c r="B12" s="2029" t="s">
        <v>2325</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67"/>
      <c r="Q12" s="1477" t="str">
        <f t="shared" si="6"/>
        <v>配建</v>
      </c>
      <c r="R12" s="710" t="s">
        <v>17</v>
      </c>
      <c r="S12" s="711">
        <f t="shared" si="0"/>
        <v>100</v>
      </c>
      <c r="T12" s="710" t="s">
        <v>17</v>
      </c>
      <c r="U12" s="711">
        <f t="shared" si="1"/>
        <v>100</v>
      </c>
      <c r="V12" s="710" t="s">
        <v>17</v>
      </c>
      <c r="W12" s="711">
        <f t="shared" si="2"/>
        <v>100</v>
      </c>
      <c r="X12" s="712"/>
      <c r="Y12" s="3423"/>
      <c r="Z12" s="55" t="str">
        <f t="shared" si="7"/>
        <v>配建</v>
      </c>
      <c r="AA12" s="713">
        <f>D12/F12</f>
        <v>1</v>
      </c>
      <c r="AB12" s="713">
        <f>D12/H12</f>
        <v>1</v>
      </c>
      <c r="AC12" s="713">
        <f>D12/J12</f>
        <v>1</v>
      </c>
    </row>
    <row r="13" spans="1:30" ht="15" hidden="1">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67"/>
      <c r="Q13" s="1477">
        <f t="shared" si="6"/>
        <v>111</v>
      </c>
      <c r="R13" s="710" t="s">
        <v>17</v>
      </c>
      <c r="S13" s="711">
        <f t="shared" si="0"/>
        <v>100</v>
      </c>
      <c r="T13" s="710" t="s">
        <v>17</v>
      </c>
      <c r="U13" s="711">
        <f t="shared" si="1"/>
        <v>100</v>
      </c>
      <c r="V13" s="710" t="s">
        <v>17</v>
      </c>
      <c r="W13" s="711">
        <f t="shared" si="2"/>
        <v>100</v>
      </c>
      <c r="X13" s="712"/>
      <c r="Y13" s="3423"/>
      <c r="Z13" s="55">
        <f t="shared" si="7"/>
        <v>111</v>
      </c>
      <c r="AA13" s="713">
        <f>D13/F13</f>
        <v>1</v>
      </c>
      <c r="AB13" s="713">
        <f>D13/H13</f>
        <v>1</v>
      </c>
      <c r="AC13" s="713">
        <f>D13/J13</f>
        <v>1</v>
      </c>
    </row>
    <row r="14" spans="1:30" ht="15.75" hidden="1"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67"/>
      <c r="Q14" s="1477">
        <f t="shared" si="6"/>
        <v>111</v>
      </c>
      <c r="R14" s="710" t="s">
        <v>17</v>
      </c>
      <c r="S14" s="711">
        <f t="shared" si="0"/>
        <v>100</v>
      </c>
      <c r="T14" s="710" t="s">
        <v>17</v>
      </c>
      <c r="U14" s="711">
        <f t="shared" si="1"/>
        <v>100</v>
      </c>
      <c r="V14" s="710" t="s">
        <v>17</v>
      </c>
      <c r="W14" s="711">
        <f t="shared" si="2"/>
        <v>100</v>
      </c>
      <c r="X14" s="712"/>
      <c r="Y14" s="3423"/>
      <c r="Z14" s="55">
        <f t="shared" si="7"/>
        <v>111</v>
      </c>
      <c r="AA14" s="713">
        <f>D14/F14</f>
        <v>1</v>
      </c>
      <c r="AB14" s="713">
        <f>D14/H14</f>
        <v>1</v>
      </c>
      <c r="AC14" s="713">
        <f>D14/J14</f>
        <v>1</v>
      </c>
    </row>
    <row r="15" spans="1:30" ht="15">
      <c r="A15" s="399" t="s">
        <v>2137</v>
      </c>
      <c r="B15" s="65" t="s">
        <v>1703</v>
      </c>
      <c r="C15" s="2032">
        <f>估价对象房地状况!C15</f>
        <v>0</v>
      </c>
      <c r="D15" s="400">
        <v>100</v>
      </c>
      <c r="E15" s="401"/>
      <c r="F15" s="400">
        <f>SUMIF(87:87,E16,88:88)-SUMIF(87:87,C16,88:88)+100</f>
        <v>100</v>
      </c>
      <c r="G15" s="401"/>
      <c r="H15" s="400">
        <f>SUMIF(87:87,G16,88:88)-SUMIF(87:87,C16,88:88)+100</f>
        <v>100</v>
      </c>
      <c r="I15" s="403"/>
      <c r="J15" s="400">
        <f>SUMIF(87:87,I16,88:88)-SUMIF(87:87,C16,88:88)+100</f>
        <v>100</v>
      </c>
      <c r="K15" s="629">
        <v>2</v>
      </c>
      <c r="L15" s="2899"/>
      <c r="M15" s="2893"/>
      <c r="N15" s="2893"/>
      <c r="O15" s="2951"/>
      <c r="P15" s="3482" t="s">
        <v>2138</v>
      </c>
      <c r="Q15" s="1486" t="str">
        <f t="shared" si="6"/>
        <v>居住社区成熟度</v>
      </c>
      <c r="R15" s="714" t="s">
        <v>17</v>
      </c>
      <c r="S15" s="715">
        <f t="shared" si="0"/>
        <v>100</v>
      </c>
      <c r="T15" s="714" t="s">
        <v>17</v>
      </c>
      <c r="U15" s="715">
        <f t="shared" si="1"/>
        <v>100</v>
      </c>
      <c r="V15" s="714" t="s">
        <v>17</v>
      </c>
      <c r="W15" s="715">
        <f t="shared" si="2"/>
        <v>100</v>
      </c>
      <c r="X15" s="1489"/>
      <c r="Y15" s="3482" t="s">
        <v>2138</v>
      </c>
      <c r="Z15" s="1490" t="str">
        <f t="shared" si="7"/>
        <v>居住社区成熟度</v>
      </c>
      <c r="AA15" s="1487">
        <f t="shared" si="3"/>
        <v>1</v>
      </c>
      <c r="AB15" s="1487">
        <f t="shared" si="4"/>
        <v>1</v>
      </c>
      <c r="AC15" s="1487">
        <f t="shared" si="5"/>
        <v>1</v>
      </c>
    </row>
    <row r="16" spans="1:30" ht="15">
      <c r="A16" s="387"/>
      <c r="B16" s="405"/>
      <c r="C16" s="406" t="s">
        <v>3365</v>
      </c>
      <c r="D16" s="407"/>
      <c r="E16" s="406" t="s">
        <v>3365</v>
      </c>
      <c r="F16" s="407"/>
      <c r="G16" s="406" t="s">
        <v>3365</v>
      </c>
      <c r="H16" s="409"/>
      <c r="I16" s="406" t="s">
        <v>3365</v>
      </c>
      <c r="J16" s="407"/>
      <c r="K16" s="628"/>
      <c r="L16" s="2899"/>
      <c r="M16" s="2893"/>
      <c r="N16" s="2893"/>
      <c r="O16" s="2951"/>
      <c r="P16" s="3483"/>
      <c r="Q16" s="1486"/>
      <c r="R16" s="714"/>
      <c r="S16" s="715"/>
      <c r="T16" s="714"/>
      <c r="U16" s="715"/>
      <c r="V16" s="714"/>
      <c r="W16" s="715"/>
      <c r="X16" s="1489"/>
      <c r="Y16" s="3483"/>
      <c r="Z16" s="1490"/>
      <c r="AA16" s="1487">
        <v>1</v>
      </c>
      <c r="AB16" s="1487">
        <v>1</v>
      </c>
      <c r="AC16" s="1487">
        <v>1</v>
      </c>
    </row>
    <row r="17" spans="1:29" ht="15" hidden="1">
      <c r="A17" s="387"/>
      <c r="B17" s="410" t="s">
        <v>2231</v>
      </c>
      <c r="C17" s="2090">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83"/>
      <c r="Q17" s="1486" t="str">
        <f>B17</f>
        <v>商业繁华度</v>
      </c>
      <c r="R17" s="714" t="s">
        <v>17</v>
      </c>
      <c r="S17" s="715">
        <f>F17</f>
        <v>100</v>
      </c>
      <c r="T17" s="714" t="s">
        <v>17</v>
      </c>
      <c r="U17" s="715">
        <f>H17</f>
        <v>100</v>
      </c>
      <c r="V17" s="714" t="s">
        <v>17</v>
      </c>
      <c r="W17" s="715">
        <f>J17</f>
        <v>100</v>
      </c>
      <c r="X17" s="1489"/>
      <c r="Y17" s="3483"/>
      <c r="Z17" s="1490" t="str">
        <f>Q17</f>
        <v>商业繁华度</v>
      </c>
      <c r="AA17" s="1487">
        <f t="shared" si="3"/>
        <v>1</v>
      </c>
      <c r="AB17" s="1487">
        <f t="shared" si="4"/>
        <v>1</v>
      </c>
      <c r="AC17" s="1487">
        <f t="shared" si="5"/>
        <v>1</v>
      </c>
    </row>
    <row r="18" spans="1:29" ht="15" hidden="1">
      <c r="A18" s="387"/>
      <c r="B18" s="415"/>
      <c r="C18" s="2037"/>
      <c r="D18" s="409"/>
      <c r="E18" s="2039"/>
      <c r="F18" s="409"/>
      <c r="G18" s="2039"/>
      <c r="H18" s="407"/>
      <c r="I18" s="2038"/>
      <c r="J18" s="407"/>
      <c r="K18" s="628"/>
      <c r="L18" s="2899"/>
      <c r="M18" s="2893"/>
      <c r="N18" s="2893"/>
      <c r="O18" s="2951"/>
      <c r="P18" s="3483"/>
      <c r="Q18" s="1486"/>
      <c r="R18" s="714"/>
      <c r="S18" s="715"/>
      <c r="T18" s="714"/>
      <c r="U18" s="715"/>
      <c r="V18" s="714"/>
      <c r="W18" s="715"/>
      <c r="X18" s="1489"/>
      <c r="Y18" s="3483"/>
      <c r="Z18" s="1490"/>
      <c r="AA18" s="1487">
        <v>1</v>
      </c>
      <c r="AB18" s="1487">
        <v>1</v>
      </c>
      <c r="AC18" s="1487">
        <v>1</v>
      </c>
    </row>
    <row r="19" spans="1:29" ht="15" hidden="1">
      <c r="A19" s="387"/>
      <c r="B19" s="410" t="s">
        <v>2265</v>
      </c>
      <c r="C19" s="2090">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83"/>
      <c r="Q19" s="1486" t="str">
        <f>B19</f>
        <v>办公集聚程度</v>
      </c>
      <c r="R19" s="714" t="s">
        <v>17</v>
      </c>
      <c r="S19" s="715">
        <f>F19</f>
        <v>100</v>
      </c>
      <c r="T19" s="714" t="s">
        <v>17</v>
      </c>
      <c r="U19" s="715">
        <f>H19</f>
        <v>100</v>
      </c>
      <c r="V19" s="714" t="s">
        <v>17</v>
      </c>
      <c r="W19" s="715">
        <f>J19</f>
        <v>100</v>
      </c>
      <c r="X19" s="1489"/>
      <c r="Y19" s="3483"/>
      <c r="Z19" s="1490" t="str">
        <f>Q19</f>
        <v>办公集聚程度</v>
      </c>
      <c r="AA19" s="1487">
        <f t="shared" si="3"/>
        <v>1</v>
      </c>
      <c r="AB19" s="1487">
        <f t="shared" si="4"/>
        <v>1</v>
      </c>
      <c r="AC19" s="1487">
        <f t="shared" si="5"/>
        <v>1</v>
      </c>
    </row>
    <row r="20" spans="1:29" ht="15" hidden="1">
      <c r="A20" s="387"/>
      <c r="B20" s="415"/>
      <c r="C20" s="406"/>
      <c r="D20" s="407"/>
      <c r="E20" s="2034"/>
      <c r="F20" s="407"/>
      <c r="G20" s="2034"/>
      <c r="H20" s="407"/>
      <c r="I20" s="2033"/>
      <c r="J20" s="407"/>
      <c r="K20" s="628"/>
      <c r="L20" s="2899"/>
      <c r="M20" s="2893"/>
      <c r="N20" s="2893"/>
      <c r="O20" s="2951"/>
      <c r="P20" s="3483"/>
      <c r="Q20" s="1486"/>
      <c r="R20" s="714"/>
      <c r="S20" s="715"/>
      <c r="T20" s="714"/>
      <c r="U20" s="715"/>
      <c r="V20" s="714"/>
      <c r="W20" s="715"/>
      <c r="X20" s="1489"/>
      <c r="Y20" s="3483"/>
      <c r="Z20" s="1490"/>
      <c r="AA20" s="1487">
        <v>1</v>
      </c>
      <c r="AB20" s="1487">
        <v>1</v>
      </c>
      <c r="AC20" s="1487">
        <v>1</v>
      </c>
    </row>
    <row r="21" spans="1:29" ht="15">
      <c r="A21" s="387"/>
      <c r="B21" s="410" t="s">
        <v>2287</v>
      </c>
      <c r="C21" s="2036">
        <f>估价对象房地状况!C18</f>
        <v>0</v>
      </c>
      <c r="D21" s="409">
        <v>100</v>
      </c>
      <c r="E21" s="411"/>
      <c r="F21" s="414">
        <f>SUMIF(93:93,E22,94:94)-SUMIF(93:93,C22,94:94)+100</f>
        <v>100</v>
      </c>
      <c r="G21" s="411"/>
      <c r="H21" s="409">
        <f>SUMIF(93:93,G22,94:94)-SUMIF(93:93,C22,94:94)+100</f>
        <v>100</v>
      </c>
      <c r="I21" s="413"/>
      <c r="J21" s="409">
        <f>SUMIF(93:93,I22,94:94)-SUMIF(93:93,C22,94:94)+100</f>
        <v>100</v>
      </c>
      <c r="K21" s="629">
        <v>2</v>
      </c>
      <c r="L21" s="2899"/>
      <c r="M21" s="2893"/>
      <c r="N21" s="2893"/>
      <c r="O21" s="2951"/>
      <c r="P21" s="3483"/>
      <c r="Q21" s="1486" t="str">
        <f>B21</f>
        <v>交通便捷度</v>
      </c>
      <c r="R21" s="714" t="s">
        <v>17</v>
      </c>
      <c r="S21" s="715">
        <f>F21</f>
        <v>100</v>
      </c>
      <c r="T21" s="714" t="s">
        <v>17</v>
      </c>
      <c r="U21" s="715">
        <f>H21</f>
        <v>100</v>
      </c>
      <c r="V21" s="714" t="s">
        <v>17</v>
      </c>
      <c r="W21" s="715">
        <f>J21</f>
        <v>100</v>
      </c>
      <c r="X21" s="1489"/>
      <c r="Y21" s="3483"/>
      <c r="Z21" s="1490" t="str">
        <f>Q21</f>
        <v>交通便捷度</v>
      </c>
      <c r="AA21" s="1487">
        <f t="shared" si="3"/>
        <v>1</v>
      </c>
      <c r="AB21" s="1487">
        <f t="shared" si="4"/>
        <v>1</v>
      </c>
      <c r="AC21" s="1487">
        <f t="shared" si="5"/>
        <v>1</v>
      </c>
    </row>
    <row r="22" spans="1:29" ht="15">
      <c r="A22" s="387"/>
      <c r="B22" s="1246"/>
      <c r="C22" s="406" t="s">
        <v>3365</v>
      </c>
      <c r="D22" s="409"/>
      <c r="E22" s="406" t="s">
        <v>3365</v>
      </c>
      <c r="F22" s="407"/>
      <c r="G22" s="406" t="s">
        <v>3365</v>
      </c>
      <c r="H22" s="407"/>
      <c r="I22" s="406" t="s">
        <v>3365</v>
      </c>
      <c r="J22" s="407"/>
      <c r="K22" s="628"/>
      <c r="L22" s="2899"/>
      <c r="M22" s="2893"/>
      <c r="N22" s="2893"/>
      <c r="O22" s="2951"/>
      <c r="P22" s="3483"/>
      <c r="Q22" s="1486"/>
      <c r="R22" s="714"/>
      <c r="S22" s="715"/>
      <c r="T22" s="714"/>
      <c r="U22" s="715"/>
      <c r="V22" s="714"/>
      <c r="W22" s="715"/>
      <c r="X22" s="1489"/>
      <c r="Y22" s="3483"/>
      <c r="Z22" s="1490"/>
      <c r="AA22" s="1487">
        <v>1</v>
      </c>
      <c r="AB22" s="1487">
        <v>1</v>
      </c>
      <c r="AC22" s="1487">
        <v>1</v>
      </c>
    </row>
    <row r="23" spans="1:29" ht="15">
      <c r="A23" s="364"/>
      <c r="B23" s="410" t="s">
        <v>2326</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v>2</v>
      </c>
      <c r="L23" s="2899"/>
      <c r="M23" s="2893"/>
      <c r="N23" s="2893"/>
      <c r="O23" s="2951"/>
      <c r="P23" s="3483"/>
      <c r="Q23" s="1486" t="str">
        <f t="shared" ref="Q23:Q37" si="8">B23</f>
        <v>区域土地利用方向</v>
      </c>
      <c r="R23" s="714" t="s">
        <v>17</v>
      </c>
      <c r="S23" s="715">
        <f>F23</f>
        <v>100</v>
      </c>
      <c r="T23" s="714" t="s">
        <v>17</v>
      </c>
      <c r="U23" s="715">
        <f>H23</f>
        <v>100</v>
      </c>
      <c r="V23" s="714" t="s">
        <v>17</v>
      </c>
      <c r="W23" s="715">
        <f>J23</f>
        <v>100</v>
      </c>
      <c r="X23" s="1489"/>
      <c r="Y23" s="3483"/>
      <c r="Z23" s="1490" t="str">
        <f>Q23</f>
        <v>区域土地利用方向</v>
      </c>
      <c r="AA23" s="1487">
        <f t="shared" si="3"/>
        <v>1</v>
      </c>
      <c r="AB23" s="1487">
        <f t="shared" si="4"/>
        <v>1</v>
      </c>
      <c r="AC23" s="1487">
        <f t="shared" si="5"/>
        <v>1</v>
      </c>
    </row>
    <row r="24" spans="1:29" ht="15">
      <c r="A24" s="364"/>
      <c r="B24" s="415"/>
      <c r="C24" s="406" t="s">
        <v>3365</v>
      </c>
      <c r="D24" s="407"/>
      <c r="E24" s="406" t="s">
        <v>3365</v>
      </c>
      <c r="F24" s="407"/>
      <c r="G24" s="406" t="s">
        <v>3365</v>
      </c>
      <c r="H24" s="407"/>
      <c r="I24" s="406" t="s">
        <v>3365</v>
      </c>
      <c r="J24" s="407"/>
      <c r="K24" s="751"/>
      <c r="L24" s="2899"/>
      <c r="M24" s="2893"/>
      <c r="N24" s="2893"/>
      <c r="O24" s="2951"/>
      <c r="P24" s="3483"/>
      <c r="Q24" s="1486"/>
      <c r="R24" s="714"/>
      <c r="S24" s="715"/>
      <c r="T24" s="714"/>
      <c r="U24" s="715"/>
      <c r="V24" s="714"/>
      <c r="W24" s="715"/>
      <c r="X24" s="1489"/>
      <c r="Y24" s="3483"/>
      <c r="Z24" s="1490"/>
      <c r="AA24" s="1487"/>
      <c r="AB24" s="1487"/>
      <c r="AC24" s="1487"/>
    </row>
    <row r="25" spans="1:29" ht="27">
      <c r="A25" s="364"/>
      <c r="B25" s="1246" t="s">
        <v>2327</v>
      </c>
      <c r="C25" s="2090">
        <f>估价对象房地状况!C20</f>
        <v>0</v>
      </c>
      <c r="D25" s="409">
        <v>100</v>
      </c>
      <c r="E25" s="411"/>
      <c r="F25" s="409">
        <f>SUMIF(97:97,E26,98:98)-SUMIF(97:97,C26,98:98)+100</f>
        <v>100</v>
      </c>
      <c r="G25" s="411"/>
      <c r="H25" s="409">
        <f>SUMIF(97:97,G26,98:98)-SUMIF(97:97,C26,98:98)+100</f>
        <v>100</v>
      </c>
      <c r="I25" s="413"/>
      <c r="J25" s="409">
        <f>SUMIF(97:97,I26,98:98)-SUMIF(97:97,C26,98:98)+100</f>
        <v>100</v>
      </c>
      <c r="K25" s="629">
        <v>2</v>
      </c>
      <c r="L25" s="2899"/>
      <c r="M25" s="2893"/>
      <c r="N25" s="2893"/>
      <c r="O25" s="2951"/>
      <c r="P25" s="3483"/>
      <c r="Q25" s="1486" t="str">
        <f t="shared" si="8"/>
        <v>自然及人文环境状况</v>
      </c>
      <c r="R25" s="714" t="s">
        <v>17</v>
      </c>
      <c r="S25" s="715">
        <f>F25</f>
        <v>100</v>
      </c>
      <c r="T25" s="714" t="s">
        <v>17</v>
      </c>
      <c r="U25" s="715">
        <f>H25</f>
        <v>100</v>
      </c>
      <c r="V25" s="714" t="s">
        <v>17</v>
      </c>
      <c r="W25" s="715">
        <f>J25</f>
        <v>100</v>
      </c>
      <c r="X25" s="1489"/>
      <c r="Y25" s="3483"/>
      <c r="Z25" s="1490" t="str">
        <f>Q25</f>
        <v>自然及人文环境状况</v>
      </c>
      <c r="AA25" s="1487">
        <f t="shared" si="3"/>
        <v>1</v>
      </c>
      <c r="AB25" s="1487">
        <f t="shared" si="4"/>
        <v>1</v>
      </c>
      <c r="AC25" s="1487">
        <f t="shared" si="5"/>
        <v>1</v>
      </c>
    </row>
    <row r="26" spans="1:29" ht="15">
      <c r="A26" s="364"/>
      <c r="B26" s="415"/>
      <c r="C26" s="406" t="s">
        <v>3365</v>
      </c>
      <c r="D26" s="407"/>
      <c r="E26" s="406" t="s">
        <v>3365</v>
      </c>
      <c r="F26" s="407"/>
      <c r="G26" s="406" t="s">
        <v>3365</v>
      </c>
      <c r="H26" s="407"/>
      <c r="I26" s="406" t="s">
        <v>3365</v>
      </c>
      <c r="J26" s="407"/>
      <c r="K26" s="628"/>
      <c r="L26" s="2899"/>
      <c r="M26" s="2893"/>
      <c r="N26" s="2893"/>
      <c r="O26" s="2951"/>
      <c r="P26" s="3483"/>
      <c r="Q26" s="1486"/>
      <c r="R26" s="714"/>
      <c r="S26" s="715"/>
      <c r="T26" s="714"/>
      <c r="U26" s="715"/>
      <c r="V26" s="714"/>
      <c r="W26" s="715"/>
      <c r="X26" s="1489"/>
      <c r="Y26" s="3483"/>
      <c r="Z26" s="1490"/>
      <c r="AA26" s="1487">
        <v>1</v>
      </c>
      <c r="AB26" s="1487">
        <v>1</v>
      </c>
      <c r="AC26" s="1487">
        <v>1</v>
      </c>
    </row>
    <row r="27" spans="1:29" s="113" customFormat="1" ht="15">
      <c r="A27" s="605"/>
      <c r="B27" s="1246" t="s">
        <v>2232</v>
      </c>
      <c r="C27" s="2036">
        <f>估价对象房地状况!C21</f>
        <v>0</v>
      </c>
      <c r="D27" s="409">
        <v>100</v>
      </c>
      <c r="E27" s="411"/>
      <c r="F27" s="409">
        <f>SUMIF(99:99,E28,100:100)-SUMIF(99:99,C28,100:100)+100</f>
        <v>100</v>
      </c>
      <c r="G27" s="411"/>
      <c r="H27" s="409">
        <f>SUMIF(99:99,G28,100:100)-SUMIF(99:99,C28,100:100)+100</f>
        <v>100</v>
      </c>
      <c r="I27" s="413"/>
      <c r="J27" s="409">
        <f>SUMIF(99:99,I28,100:100)-SUMIF(99:99,C28,100:100)+100</f>
        <v>100</v>
      </c>
      <c r="K27" s="629">
        <v>2</v>
      </c>
      <c r="L27" s="2894"/>
      <c r="M27" s="2895"/>
      <c r="N27" s="2895"/>
      <c r="O27" s="2949"/>
      <c r="P27" s="3483"/>
      <c r="Q27" s="1477" t="str">
        <f t="shared" si="8"/>
        <v>公共配套设施</v>
      </c>
      <c r="R27" s="710" t="s">
        <v>17</v>
      </c>
      <c r="S27" s="711">
        <f>F27</f>
        <v>100</v>
      </c>
      <c r="T27" s="710" t="s">
        <v>17</v>
      </c>
      <c r="U27" s="711">
        <f>H27</f>
        <v>100</v>
      </c>
      <c r="V27" s="710" t="s">
        <v>17</v>
      </c>
      <c r="W27" s="711">
        <f>J27</f>
        <v>100</v>
      </c>
      <c r="X27" s="712"/>
      <c r="Y27" s="3483"/>
      <c r="Z27" s="55" t="str">
        <f>Q27</f>
        <v>公共配套设施</v>
      </c>
      <c r="AA27" s="1487">
        <f>D27/F27</f>
        <v>1</v>
      </c>
      <c r="AB27" s="1487">
        <f>D27/H27</f>
        <v>1</v>
      </c>
      <c r="AC27" s="1487">
        <f>D27/J27</f>
        <v>1</v>
      </c>
    </row>
    <row r="28" spans="1:29" s="113" customFormat="1" ht="15">
      <c r="A28" s="605"/>
      <c r="B28" s="415"/>
      <c r="C28" s="2113" t="s">
        <v>3365</v>
      </c>
      <c r="D28" s="407"/>
      <c r="E28" s="406" t="s">
        <v>3365</v>
      </c>
      <c r="F28" s="407"/>
      <c r="G28" s="406" t="s">
        <v>3365</v>
      </c>
      <c r="H28" s="407"/>
      <c r="I28" s="406" t="s">
        <v>3365</v>
      </c>
      <c r="J28" s="407"/>
      <c r="K28" s="628"/>
      <c r="L28" s="2894"/>
      <c r="M28" s="2895"/>
      <c r="N28" s="2895"/>
      <c r="O28" s="2949"/>
      <c r="P28" s="3483"/>
      <c r="Q28" s="1477"/>
      <c r="R28" s="710"/>
      <c r="S28" s="711"/>
      <c r="T28" s="710"/>
      <c r="U28" s="711"/>
      <c r="V28" s="710"/>
      <c r="W28" s="711"/>
      <c r="X28" s="712"/>
      <c r="Y28" s="3483"/>
      <c r="Z28" s="55"/>
      <c r="AA28" s="1487">
        <v>1</v>
      </c>
      <c r="AB28" s="1487">
        <v>1</v>
      </c>
      <c r="AC28" s="1487">
        <v>1</v>
      </c>
    </row>
    <row r="29" spans="1:29" s="113" customFormat="1" ht="15">
      <c r="A29" s="605"/>
      <c r="B29" s="1246" t="s">
        <v>2233</v>
      </c>
      <c r="C29" s="2036">
        <f>估价对象房地状况!C22</f>
        <v>0</v>
      </c>
      <c r="D29" s="409">
        <v>100</v>
      </c>
      <c r="E29" s="411"/>
      <c r="F29" s="409">
        <f>SUMIF(101:101,E30,102:102)-SUMIF(101:101,C30,102:102)+100</f>
        <v>100</v>
      </c>
      <c r="G29" s="411"/>
      <c r="H29" s="409">
        <f>SUMIF(101:101,G30,102:102)-SUMIF(101:101,C30,102:102)+100</f>
        <v>100</v>
      </c>
      <c r="I29" s="413"/>
      <c r="J29" s="409">
        <f>SUMIF(101:101,I30,102:102)-SUMIF(101:101,C30,102:102)+100</f>
        <v>100</v>
      </c>
      <c r="K29" s="629">
        <v>2</v>
      </c>
      <c r="L29" s="2894"/>
      <c r="M29" s="2895"/>
      <c r="N29" s="2895"/>
      <c r="O29" s="2949"/>
      <c r="P29" s="3483"/>
      <c r="Q29" s="1477" t="str">
        <f t="shared" ref="Q29" si="9">B29</f>
        <v>基础设施水平</v>
      </c>
      <c r="R29" s="710" t="s">
        <v>17</v>
      </c>
      <c r="S29" s="711">
        <f>F29</f>
        <v>100</v>
      </c>
      <c r="T29" s="710" t="s">
        <v>17</v>
      </c>
      <c r="U29" s="711">
        <f>H29</f>
        <v>100</v>
      </c>
      <c r="V29" s="710" t="s">
        <v>17</v>
      </c>
      <c r="W29" s="711">
        <f>J29</f>
        <v>100</v>
      </c>
      <c r="X29" s="712"/>
      <c r="Y29" s="3483"/>
      <c r="Z29" s="55" t="str">
        <f>Q29</f>
        <v>基础设施水平</v>
      </c>
      <c r="AA29" s="1487">
        <f>D29/F29</f>
        <v>1</v>
      </c>
      <c r="AB29" s="1487">
        <f>D29/H29</f>
        <v>1</v>
      </c>
      <c r="AC29" s="1487">
        <f>D29/J29</f>
        <v>1</v>
      </c>
    </row>
    <row r="30" spans="1:29" s="113" customFormat="1" ht="15.75" thickBot="1">
      <c r="A30" s="605"/>
      <c r="B30" s="415"/>
      <c r="C30" s="2113" t="s">
        <v>3363</v>
      </c>
      <c r="D30" s="407"/>
      <c r="E30" s="2113" t="s">
        <v>3363</v>
      </c>
      <c r="F30" s="407"/>
      <c r="G30" s="2113" t="s">
        <v>3363</v>
      </c>
      <c r="H30" s="407"/>
      <c r="I30" s="2113" t="s">
        <v>3363</v>
      </c>
      <c r="J30" s="407"/>
      <c r="K30" s="628"/>
      <c r="L30" s="2894"/>
      <c r="M30" s="2895"/>
      <c r="N30" s="2895"/>
      <c r="O30" s="2949"/>
      <c r="P30" s="3483"/>
      <c r="Q30" s="1477"/>
      <c r="R30" s="710"/>
      <c r="S30" s="711"/>
      <c r="T30" s="710"/>
      <c r="U30" s="711"/>
      <c r="V30" s="710"/>
      <c r="W30" s="711"/>
      <c r="X30" s="712"/>
      <c r="Y30" s="3483"/>
      <c r="Z30" s="55"/>
      <c r="AA30" s="1487">
        <v>1</v>
      </c>
      <c r="AB30" s="1487">
        <v>1</v>
      </c>
      <c r="AC30" s="1487">
        <v>1</v>
      </c>
    </row>
    <row r="31" spans="1:29" ht="15" hidden="1">
      <c r="A31" s="387"/>
      <c r="B31" s="415" t="s">
        <v>2234</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83"/>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83"/>
      <c r="Z31" s="1490" t="str">
        <f t="shared" ref="Z31:Z45" si="13">Q31</f>
        <v>临街状况</v>
      </c>
      <c r="AA31" s="1487">
        <f t="shared" si="3"/>
        <v>1</v>
      </c>
      <c r="AB31" s="1487">
        <f t="shared" si="4"/>
        <v>1</v>
      </c>
      <c r="AC31" s="1487">
        <f t="shared" si="5"/>
        <v>1</v>
      </c>
    </row>
    <row r="32" spans="1:29" ht="27" hidden="1">
      <c r="A32" s="387"/>
      <c r="B32" s="1246" t="s">
        <v>2269</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83"/>
      <c r="Q32" s="1486" t="str">
        <f t="shared" si="8"/>
        <v>毗邻道路的类型与等级</v>
      </c>
      <c r="R32" s="714" t="s">
        <v>17</v>
      </c>
      <c r="S32" s="715">
        <f t="shared" si="10"/>
        <v>100</v>
      </c>
      <c r="T32" s="714" t="s">
        <v>17</v>
      </c>
      <c r="U32" s="715">
        <f t="shared" si="11"/>
        <v>100</v>
      </c>
      <c r="V32" s="714" t="s">
        <v>17</v>
      </c>
      <c r="W32" s="715">
        <f t="shared" si="12"/>
        <v>100</v>
      </c>
      <c r="X32" s="1489"/>
      <c r="Y32" s="3483"/>
      <c r="Z32" s="1490" t="str">
        <f t="shared" si="13"/>
        <v>毗邻道路的类型与等级</v>
      </c>
      <c r="AA32" s="1487">
        <f t="shared" si="3"/>
        <v>1</v>
      </c>
      <c r="AB32" s="1487">
        <f t="shared" si="4"/>
        <v>1</v>
      </c>
      <c r="AC32" s="1487">
        <f t="shared" si="5"/>
        <v>1</v>
      </c>
    </row>
    <row r="33" spans="1:29" ht="15" hidden="1">
      <c r="A33" s="387"/>
      <c r="B33" s="415"/>
      <c r="C33" s="406"/>
      <c r="D33" s="407"/>
      <c r="E33" s="2040"/>
      <c r="F33" s="407"/>
      <c r="G33" s="2040"/>
      <c r="H33" s="407"/>
      <c r="I33" s="406"/>
      <c r="J33" s="407"/>
      <c r="K33" s="570"/>
      <c r="L33" s="2899"/>
      <c r="M33" s="2893"/>
      <c r="N33" s="2893"/>
      <c r="O33" s="2951"/>
      <c r="P33" s="3483"/>
      <c r="Q33" s="1486"/>
      <c r="R33" s="714"/>
      <c r="S33" s="715"/>
      <c r="T33" s="714"/>
      <c r="U33" s="715"/>
      <c r="V33" s="714"/>
      <c r="W33" s="715"/>
      <c r="X33" s="1489"/>
      <c r="Y33" s="3483"/>
      <c r="Z33" s="1490"/>
      <c r="AA33" s="1487">
        <v>1</v>
      </c>
      <c r="AB33" s="1487">
        <v>1</v>
      </c>
      <c r="AC33" s="1487">
        <v>1</v>
      </c>
    </row>
    <row r="34" spans="1:29" ht="15" hidden="1">
      <c r="A34" s="387"/>
      <c r="B34" s="381" t="s">
        <v>2328</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83"/>
      <c r="Q34" s="1486" t="str">
        <f t="shared" si="8"/>
        <v>土地级别</v>
      </c>
      <c r="R34" s="714" t="s">
        <v>17</v>
      </c>
      <c r="S34" s="715">
        <f t="shared" si="10"/>
        <v>100</v>
      </c>
      <c r="T34" s="714" t="s">
        <v>17</v>
      </c>
      <c r="U34" s="715">
        <f t="shared" si="11"/>
        <v>100</v>
      </c>
      <c r="V34" s="714" t="s">
        <v>17</v>
      </c>
      <c r="W34" s="715">
        <f t="shared" si="12"/>
        <v>100</v>
      </c>
      <c r="X34" s="1489"/>
      <c r="Y34" s="3483"/>
      <c r="Z34" s="1490" t="str">
        <f t="shared" si="13"/>
        <v>土地级别</v>
      </c>
      <c r="AA34" s="1487">
        <f t="shared" si="3"/>
        <v>1</v>
      </c>
      <c r="AB34" s="1487">
        <f t="shared" si="4"/>
        <v>1</v>
      </c>
      <c r="AC34" s="1487">
        <f t="shared" si="5"/>
        <v>1</v>
      </c>
    </row>
    <row r="35" spans="1:29" ht="15" hidden="1">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83"/>
      <c r="Q35" s="1486">
        <f t="shared" si="8"/>
        <v>111</v>
      </c>
      <c r="R35" s="714" t="s">
        <v>17</v>
      </c>
      <c r="S35" s="715">
        <f t="shared" si="10"/>
        <v>100</v>
      </c>
      <c r="T35" s="714" t="s">
        <v>17</v>
      </c>
      <c r="U35" s="715">
        <f t="shared" si="11"/>
        <v>100</v>
      </c>
      <c r="V35" s="714" t="s">
        <v>17</v>
      </c>
      <c r="W35" s="715">
        <f t="shared" si="12"/>
        <v>100</v>
      </c>
      <c r="X35" s="1489"/>
      <c r="Y35" s="3483"/>
      <c r="Z35" s="1490">
        <f t="shared" si="13"/>
        <v>111</v>
      </c>
      <c r="AA35" s="1487">
        <f t="shared" si="3"/>
        <v>1</v>
      </c>
      <c r="AB35" s="1487">
        <f t="shared" si="4"/>
        <v>1</v>
      </c>
      <c r="AC35" s="1487">
        <f t="shared" si="5"/>
        <v>1</v>
      </c>
    </row>
    <row r="36" spans="1:29" ht="15" hidden="1">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484" t="s">
        <v>2143</v>
      </c>
      <c r="Q36" s="1486">
        <f t="shared" si="8"/>
        <v>111</v>
      </c>
      <c r="R36" s="714" t="s">
        <v>17</v>
      </c>
      <c r="S36" s="715">
        <f t="shared" si="10"/>
        <v>100</v>
      </c>
      <c r="T36" s="714" t="s">
        <v>17</v>
      </c>
      <c r="U36" s="715">
        <f t="shared" si="11"/>
        <v>100</v>
      </c>
      <c r="V36" s="714" t="s">
        <v>17</v>
      </c>
      <c r="W36" s="715">
        <f t="shared" si="12"/>
        <v>100</v>
      </c>
      <c r="X36" s="1489"/>
      <c r="Y36" s="3485" t="s">
        <v>2143</v>
      </c>
      <c r="Z36" s="1490">
        <f t="shared" si="13"/>
        <v>111</v>
      </c>
      <c r="AA36" s="1487">
        <f t="shared" si="3"/>
        <v>1</v>
      </c>
      <c r="AB36" s="1487">
        <f t="shared" si="4"/>
        <v>1</v>
      </c>
      <c r="AC36" s="1487">
        <f t="shared" si="5"/>
        <v>1</v>
      </c>
    </row>
    <row r="37" spans="1:29" s="430" customFormat="1" ht="15.75" hidden="1"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85"/>
      <c r="Q37" s="1486">
        <f t="shared" si="8"/>
        <v>111</v>
      </c>
      <c r="R37" s="717" t="s">
        <v>17</v>
      </c>
      <c r="S37" s="718">
        <f t="shared" si="10"/>
        <v>100</v>
      </c>
      <c r="T37" s="717" t="s">
        <v>17</v>
      </c>
      <c r="U37" s="718">
        <f t="shared" si="11"/>
        <v>100</v>
      </c>
      <c r="V37" s="717" t="s">
        <v>17</v>
      </c>
      <c r="W37" s="718">
        <f t="shared" si="12"/>
        <v>100</v>
      </c>
      <c r="X37" s="719"/>
      <c r="Y37" s="3485"/>
      <c r="Z37" s="720">
        <f t="shared" si="13"/>
        <v>111</v>
      </c>
      <c r="AA37" s="1487">
        <f t="shared" si="3"/>
        <v>1</v>
      </c>
      <c r="AB37" s="1487">
        <f t="shared" si="4"/>
        <v>1</v>
      </c>
      <c r="AC37" s="1487">
        <f t="shared" si="5"/>
        <v>1</v>
      </c>
    </row>
    <row r="38" spans="1:29" ht="15">
      <c r="A38" s="431" t="s">
        <v>2141</v>
      </c>
      <c r="B38" s="415" t="s">
        <v>2329</v>
      </c>
      <c r="C38" s="635"/>
      <c r="D38" s="426">
        <v>100</v>
      </c>
      <c r="E38" s="635">
        <f>Sheet0!D6</f>
        <v>18412</v>
      </c>
      <c r="F38" s="426">
        <f>LOOKUP(E38,116:116,117:117)-LOOKUP(C38,116:116,117:117)+100</f>
        <v>100</v>
      </c>
      <c r="G38" s="635">
        <f>Sheet0!D15</f>
        <v>70999</v>
      </c>
      <c r="H38" s="426">
        <f>LOOKUP(G38,116:116,117:117)-LOOKUP(C38,116:116,117:117)+100</f>
        <v>103</v>
      </c>
      <c r="I38" s="487">
        <f>Sheet0!D34</f>
        <v>6870</v>
      </c>
      <c r="J38" s="426">
        <f>LOOKUP(I38,116:116,117:117)-LOOKUP(C38,116:116,117:117)+100</f>
        <v>100</v>
      </c>
      <c r="K38" s="570"/>
      <c r="L38" s="2899"/>
      <c r="M38" s="2893"/>
      <c r="N38" s="2893"/>
      <c r="O38" s="2951"/>
      <c r="P38" s="3485"/>
      <c r="Q38" s="1486" t="str">
        <f>B38</f>
        <v>宗地面积</v>
      </c>
      <c r="R38" s="714" t="s">
        <v>17</v>
      </c>
      <c r="S38" s="715">
        <f t="shared" si="10"/>
        <v>100</v>
      </c>
      <c r="T38" s="714" t="s">
        <v>17</v>
      </c>
      <c r="U38" s="715">
        <f t="shared" si="11"/>
        <v>103</v>
      </c>
      <c r="V38" s="714" t="s">
        <v>17</v>
      </c>
      <c r="W38" s="715">
        <f t="shared" si="12"/>
        <v>100</v>
      </c>
      <c r="X38" s="1489"/>
      <c r="Y38" s="3485"/>
      <c r="Z38" s="1490" t="str">
        <f t="shared" si="13"/>
        <v>宗地面积</v>
      </c>
      <c r="AA38" s="1487">
        <f t="shared" si="3"/>
        <v>1</v>
      </c>
      <c r="AB38" s="1487">
        <f t="shared" si="4"/>
        <v>0.970873786407767</v>
      </c>
      <c r="AC38" s="1487">
        <f t="shared" si="5"/>
        <v>1</v>
      </c>
    </row>
    <row r="39" spans="1:29" ht="15">
      <c r="A39" s="431"/>
      <c r="B39" s="381" t="s">
        <v>2330</v>
      </c>
      <c r="C39" s="2042" t="s">
        <v>3359</v>
      </c>
      <c r="D39" s="394">
        <v>100</v>
      </c>
      <c r="E39" s="2042" t="s">
        <v>3359</v>
      </c>
      <c r="F39" s="394">
        <f>SUMIF(118:118,E39,119:119)-SUMIF(118:118,C39,119:119)+100</f>
        <v>100</v>
      </c>
      <c r="G39" s="2042" t="s">
        <v>3359</v>
      </c>
      <c r="H39" s="394">
        <f>SUMIF(118:118,G39,119:119)-SUMIF(118:118,C39,119:119)+100</f>
        <v>100</v>
      </c>
      <c r="I39" s="2042" t="s">
        <v>3359</v>
      </c>
      <c r="J39" s="394">
        <f>SUMIF(118:118,I39,119:119)-SUMIF(118:118,C39,119:119)+100</f>
        <v>100</v>
      </c>
      <c r="K39" s="569">
        <v>1</v>
      </c>
      <c r="L39" s="2899"/>
      <c r="M39" s="2893"/>
      <c r="N39" s="2893"/>
      <c r="O39" s="2951"/>
      <c r="P39" s="3485"/>
      <c r="Q39" s="1486" t="str">
        <f t="shared" ref="Q39:Q45" si="14">B39</f>
        <v>宗地形状</v>
      </c>
      <c r="R39" s="714" t="s">
        <v>17</v>
      </c>
      <c r="S39" s="715">
        <f t="shared" si="10"/>
        <v>100</v>
      </c>
      <c r="T39" s="714" t="s">
        <v>17</v>
      </c>
      <c r="U39" s="715">
        <f t="shared" si="11"/>
        <v>100</v>
      </c>
      <c r="V39" s="714" t="s">
        <v>17</v>
      </c>
      <c r="W39" s="715">
        <f t="shared" si="12"/>
        <v>100</v>
      </c>
      <c r="X39" s="1489"/>
      <c r="Y39" s="3485"/>
      <c r="Z39" s="1490" t="str">
        <f t="shared" si="13"/>
        <v>宗地形状</v>
      </c>
      <c r="AA39" s="1487">
        <f t="shared" si="3"/>
        <v>1</v>
      </c>
      <c r="AB39" s="1487">
        <f t="shared" si="4"/>
        <v>1</v>
      </c>
      <c r="AC39" s="1487">
        <f t="shared" si="5"/>
        <v>1</v>
      </c>
    </row>
    <row r="40" spans="1:29" ht="15">
      <c r="A40" s="431"/>
      <c r="B40" s="381" t="s">
        <v>2331</v>
      </c>
      <c r="C40" s="2042" t="s">
        <v>3361</v>
      </c>
      <c r="D40" s="394">
        <v>100</v>
      </c>
      <c r="E40" s="2042" t="s">
        <v>3361</v>
      </c>
      <c r="F40" s="394">
        <f>SUMIF(120:120,E40,121:121)-SUMIF(120:120,C40,121:121)+100</f>
        <v>100</v>
      </c>
      <c r="G40" s="2042" t="s">
        <v>3361</v>
      </c>
      <c r="H40" s="394">
        <f>SUMIF(120:120,G40,121:121)-SUMIF(120:120,C40,121:121)+100</f>
        <v>100</v>
      </c>
      <c r="I40" s="2042" t="s">
        <v>3361</v>
      </c>
      <c r="J40" s="394">
        <f>SUMIF(120:120,I40,121:121)-SUMIF(120:120,C40,121:121)+100</f>
        <v>100</v>
      </c>
      <c r="K40" s="569">
        <v>1</v>
      </c>
      <c r="L40" s="2899"/>
      <c r="M40" s="2893"/>
      <c r="N40" s="2893"/>
      <c r="O40" s="2951"/>
      <c r="P40" s="3485"/>
      <c r="Q40" s="1486" t="str">
        <f t="shared" si="14"/>
        <v>临街宽度及深度</v>
      </c>
      <c r="R40" s="714" t="s">
        <v>17</v>
      </c>
      <c r="S40" s="715">
        <f t="shared" si="10"/>
        <v>100</v>
      </c>
      <c r="T40" s="714" t="s">
        <v>17</v>
      </c>
      <c r="U40" s="715">
        <f t="shared" si="11"/>
        <v>100</v>
      </c>
      <c r="V40" s="714" t="s">
        <v>17</v>
      </c>
      <c r="W40" s="715">
        <f t="shared" si="12"/>
        <v>100</v>
      </c>
      <c r="X40" s="1489"/>
      <c r="Y40" s="3485"/>
      <c r="Z40" s="1490" t="str">
        <f t="shared" si="13"/>
        <v>临街宽度及深度</v>
      </c>
      <c r="AA40" s="1487">
        <f t="shared" si="3"/>
        <v>1</v>
      </c>
      <c r="AB40" s="1487">
        <f t="shared" si="4"/>
        <v>1</v>
      </c>
      <c r="AC40" s="1487">
        <f t="shared" si="5"/>
        <v>1</v>
      </c>
    </row>
    <row r="41" spans="1:29" s="113" customFormat="1" ht="15">
      <c r="A41" s="432"/>
      <c r="B41" s="381" t="s">
        <v>2332</v>
      </c>
      <c r="C41" s="2115" t="s">
        <v>3363</v>
      </c>
      <c r="D41" s="132">
        <v>100</v>
      </c>
      <c r="E41" s="2115" t="s">
        <v>3363</v>
      </c>
      <c r="F41" s="394">
        <f>SUMIF(122:122,E41,123:123)-SUMIF(122:122,C41,123:123)+100</f>
        <v>100</v>
      </c>
      <c r="G41" s="2115" t="s">
        <v>3363</v>
      </c>
      <c r="H41" s="394">
        <f>SUMIF(122:122,G41,123:123)-SUMIF(122:122,C41,123:123)+100</f>
        <v>100</v>
      </c>
      <c r="I41" s="2115" t="s">
        <v>3363</v>
      </c>
      <c r="J41" s="394">
        <f>SUMIF(122:122,I41,123:123)-SUMIF(122:122,C41,123:123)+100</f>
        <v>100</v>
      </c>
      <c r="K41" s="569">
        <v>1</v>
      </c>
      <c r="L41" s="2894"/>
      <c r="M41" s="2895"/>
      <c r="N41" s="2895"/>
      <c r="O41" s="2949"/>
      <c r="P41" s="3485"/>
      <c r="Q41" s="1486" t="str">
        <f t="shared" si="14"/>
        <v>宗地开发程度</v>
      </c>
      <c r="R41" s="710" t="s">
        <v>17</v>
      </c>
      <c r="S41" s="711">
        <f t="shared" si="10"/>
        <v>100</v>
      </c>
      <c r="T41" s="710" t="s">
        <v>17</v>
      </c>
      <c r="U41" s="711">
        <f t="shared" si="11"/>
        <v>100</v>
      </c>
      <c r="V41" s="710" t="s">
        <v>17</v>
      </c>
      <c r="W41" s="711">
        <f t="shared" si="12"/>
        <v>100</v>
      </c>
      <c r="X41" s="712"/>
      <c r="Y41" s="3485"/>
      <c r="Z41" s="55" t="str">
        <f t="shared" si="13"/>
        <v>宗地开发程度</v>
      </c>
      <c r="AA41" s="713">
        <f t="shared" si="3"/>
        <v>1</v>
      </c>
      <c r="AB41" s="713">
        <f t="shared" si="4"/>
        <v>1</v>
      </c>
      <c r="AC41" s="713">
        <f t="shared" si="5"/>
        <v>1</v>
      </c>
    </row>
    <row r="42" spans="1:29" ht="15.75" thickBot="1">
      <c r="A42" s="431"/>
      <c r="B42" s="381" t="s">
        <v>2333</v>
      </c>
      <c r="C42" s="2042" t="s">
        <v>3365</v>
      </c>
      <c r="D42" s="394">
        <v>100</v>
      </c>
      <c r="E42" s="2042" t="s">
        <v>3365</v>
      </c>
      <c r="F42" s="394">
        <f>SUMIF(124:124,E42,125:125)-SUMIF(124:124,C42,125:125)+100</f>
        <v>100</v>
      </c>
      <c r="G42" s="2042" t="s">
        <v>3365</v>
      </c>
      <c r="H42" s="394">
        <f>SUMIF(124:124,G42,125:125)-SUMIF(124:124,C42,125:125)+100</f>
        <v>100</v>
      </c>
      <c r="I42" s="2042" t="s">
        <v>3365</v>
      </c>
      <c r="J42" s="394">
        <f>SUMIF(124:124,I42,125:125)-SUMIF(124:124,C42,125:125)+100</f>
        <v>100</v>
      </c>
      <c r="K42" s="569">
        <v>1</v>
      </c>
      <c r="L42" s="2899"/>
      <c r="M42" s="2893"/>
      <c r="N42" s="2893"/>
      <c r="O42" s="2951"/>
      <c r="P42" s="3485" t="s">
        <v>2143</v>
      </c>
      <c r="Q42" s="1486" t="str">
        <f t="shared" si="14"/>
        <v>工程地质条件</v>
      </c>
      <c r="R42" s="714" t="s">
        <v>17</v>
      </c>
      <c r="S42" s="715">
        <f t="shared" si="10"/>
        <v>100</v>
      </c>
      <c r="T42" s="714" t="s">
        <v>17</v>
      </c>
      <c r="U42" s="715">
        <f t="shared" si="11"/>
        <v>100</v>
      </c>
      <c r="V42" s="714" t="s">
        <v>17</v>
      </c>
      <c r="W42" s="715">
        <f t="shared" si="12"/>
        <v>100</v>
      </c>
      <c r="X42" s="1489"/>
      <c r="Y42" s="3485" t="s">
        <v>2143</v>
      </c>
      <c r="Z42" s="1490" t="str">
        <f t="shared" si="13"/>
        <v>工程地质条件</v>
      </c>
      <c r="AA42" s="1487">
        <f t="shared" si="3"/>
        <v>1</v>
      </c>
      <c r="AB42" s="1487">
        <f t="shared" si="4"/>
        <v>1</v>
      </c>
      <c r="AC42" s="1487">
        <f t="shared" si="5"/>
        <v>1</v>
      </c>
    </row>
    <row r="43" spans="1:29" ht="15" hidden="1">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85"/>
      <c r="Q43" s="1486">
        <f t="shared" si="14"/>
        <v>111</v>
      </c>
      <c r="R43" s="714" t="s">
        <v>17</v>
      </c>
      <c r="S43" s="715">
        <f t="shared" si="10"/>
        <v>100</v>
      </c>
      <c r="T43" s="714" t="s">
        <v>17</v>
      </c>
      <c r="U43" s="715">
        <f t="shared" si="11"/>
        <v>100</v>
      </c>
      <c r="V43" s="714" t="s">
        <v>17</v>
      </c>
      <c r="W43" s="715">
        <f t="shared" si="12"/>
        <v>100</v>
      </c>
      <c r="X43" s="1489"/>
      <c r="Y43" s="3485"/>
      <c r="Z43" s="1490">
        <f t="shared" si="13"/>
        <v>111</v>
      </c>
      <c r="AA43" s="1487">
        <f t="shared" si="3"/>
        <v>1</v>
      </c>
      <c r="AB43" s="1487">
        <f t="shared" si="4"/>
        <v>1</v>
      </c>
      <c r="AC43" s="1487">
        <f t="shared" si="5"/>
        <v>1</v>
      </c>
    </row>
    <row r="44" spans="1:29" ht="15" hidden="1">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85"/>
      <c r="Q44" s="1486">
        <f t="shared" si="14"/>
        <v>111</v>
      </c>
      <c r="R44" s="714" t="s">
        <v>17</v>
      </c>
      <c r="S44" s="715">
        <f t="shared" si="10"/>
        <v>100</v>
      </c>
      <c r="T44" s="714" t="s">
        <v>17</v>
      </c>
      <c r="U44" s="715">
        <f t="shared" si="11"/>
        <v>100</v>
      </c>
      <c r="V44" s="714" t="s">
        <v>17</v>
      </c>
      <c r="W44" s="715">
        <f t="shared" si="12"/>
        <v>100</v>
      </c>
      <c r="X44" s="1489"/>
      <c r="Y44" s="3485"/>
      <c r="Z44" s="1490">
        <f t="shared" si="13"/>
        <v>111</v>
      </c>
      <c r="AA44" s="1487">
        <f t="shared" si="3"/>
        <v>1</v>
      </c>
      <c r="AB44" s="1487">
        <f t="shared" si="4"/>
        <v>1</v>
      </c>
      <c r="AC44" s="1487">
        <f t="shared" si="5"/>
        <v>1</v>
      </c>
    </row>
    <row r="45" spans="1:29" s="430" customFormat="1" ht="15.75" hidden="1" thickBot="1">
      <c r="A45" s="427"/>
      <c r="B45" s="1249">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85"/>
      <c r="Q45" s="1486">
        <f t="shared" si="14"/>
        <v>111</v>
      </c>
      <c r="R45" s="717" t="s">
        <v>17</v>
      </c>
      <c r="S45" s="718">
        <f t="shared" si="10"/>
        <v>100</v>
      </c>
      <c r="T45" s="717" t="s">
        <v>17</v>
      </c>
      <c r="U45" s="718">
        <f t="shared" si="11"/>
        <v>100</v>
      </c>
      <c r="V45" s="717" t="s">
        <v>17</v>
      </c>
      <c r="W45" s="718">
        <f t="shared" si="12"/>
        <v>100</v>
      </c>
      <c r="X45" s="719"/>
      <c r="Y45" s="3485"/>
      <c r="Z45" s="720">
        <f t="shared" si="13"/>
        <v>111</v>
      </c>
      <c r="AA45" s="1487">
        <f t="shared" si="3"/>
        <v>1</v>
      </c>
      <c r="AB45" s="1487">
        <f t="shared" si="4"/>
        <v>1</v>
      </c>
      <c r="AC45" s="1487">
        <f t="shared" si="5"/>
        <v>1</v>
      </c>
    </row>
    <row r="46" spans="1:29" ht="15">
      <c r="A46" s="438" t="s">
        <v>2298</v>
      </c>
      <c r="B46" s="2117" t="s">
        <v>2334</v>
      </c>
      <c r="C46" s="638" t="s">
        <v>1</v>
      </c>
      <c r="D46" s="440"/>
      <c r="E46" s="441">
        <f>ROUND(Sheet0!O6,0)</f>
        <v>6212</v>
      </c>
      <c r="F46" s="442"/>
      <c r="G46" s="443">
        <f>ROUND(Sheet0!O15,0)</f>
        <v>6576</v>
      </c>
      <c r="H46" s="444"/>
      <c r="I46" s="441">
        <f>ROUND(Sheet0!O34,0)</f>
        <v>6426</v>
      </c>
      <c r="J46" s="444"/>
      <c r="K46" s="723"/>
      <c r="L46" s="2901"/>
      <c r="M46" s="2902"/>
      <c r="N46" s="2893"/>
      <c r="O46" s="2902"/>
      <c r="P46" s="3467" t="str">
        <f>A46</f>
        <v>成交单价</v>
      </c>
      <c r="Q46" s="3467"/>
      <c r="R46" s="3480">
        <f>E46</f>
        <v>6212</v>
      </c>
      <c r="S46" s="3480"/>
      <c r="T46" s="3480">
        <f>G46</f>
        <v>6576</v>
      </c>
      <c r="U46" s="3480"/>
      <c r="V46" s="3480">
        <f>I46</f>
        <v>6426</v>
      </c>
      <c r="W46" s="3480"/>
      <c r="X46" s="699"/>
      <c r="Y46" s="721"/>
      <c r="Z46" s="699"/>
      <c r="AA46" s="699"/>
      <c r="AB46" s="699"/>
      <c r="AC46" s="699"/>
    </row>
    <row r="47" spans="1:29" ht="15.75" thickBot="1">
      <c r="A47" s="445" t="s">
        <v>2247</v>
      </c>
      <c r="B47" s="639"/>
      <c r="C47" s="448">
        <f>R48</f>
        <v>6485</v>
      </c>
      <c r="D47" s="2487" t="s">
        <v>2637</v>
      </c>
      <c r="E47" s="448">
        <f>R47</f>
        <v>6276</v>
      </c>
      <c r="F47" s="2488"/>
      <c r="G47" s="447">
        <f>T47</f>
        <v>6450</v>
      </c>
      <c r="H47" s="2488"/>
      <c r="I47" s="448">
        <f>V47</f>
        <v>6728</v>
      </c>
      <c r="J47" s="2488"/>
      <c r="K47" s="2490">
        <f>F47+H47+J47</f>
        <v>0</v>
      </c>
      <c r="L47" s="2901"/>
      <c r="M47" s="2902"/>
      <c r="N47" s="2902"/>
      <c r="O47" s="2902"/>
      <c r="P47" s="3467" t="str">
        <f>A47</f>
        <v>比较价值（元/平方米）</v>
      </c>
      <c r="Q47" s="3467"/>
      <c r="R47" s="3486">
        <f>ROUND(PRODUCT(R46,AA7:AA45),0)</f>
        <v>6276</v>
      </c>
      <c r="S47" s="3486"/>
      <c r="T47" s="3486">
        <f>ROUND(PRODUCT(T46,AB7:AB45),0)</f>
        <v>6450</v>
      </c>
      <c r="U47" s="3486"/>
      <c r="V47" s="3486">
        <f>ROUND(PRODUCT(V46,AC7:AC45),0)</f>
        <v>6728</v>
      </c>
      <c r="W47" s="3486"/>
      <c r="X47" s="699"/>
      <c r="Y47" s="699"/>
      <c r="Z47" s="699"/>
      <c r="AA47" s="699"/>
      <c r="AB47" s="699"/>
      <c r="AC47" s="699"/>
    </row>
    <row r="48" spans="1:29" ht="15.75" thickBot="1">
      <c r="A48" s="449" t="s">
        <v>2335</v>
      </c>
      <c r="B48" s="450"/>
      <c r="C48" s="451">
        <f>R48</f>
        <v>6485</v>
      </c>
      <c r="D48" s="451"/>
      <c r="E48" s="451"/>
      <c r="F48" s="451"/>
      <c r="G48" s="451"/>
      <c r="H48" s="451"/>
      <c r="I48" s="451"/>
      <c r="J48" s="451"/>
      <c r="K48" s="724"/>
      <c r="L48" s="2901"/>
      <c r="M48" s="2902"/>
      <c r="N48" s="2902"/>
      <c r="O48" s="2902"/>
      <c r="P48" s="3487" t="str">
        <f>A48</f>
        <v>估价对象XX用房的比较价值（楼面单价，元/平方米）</v>
      </c>
      <c r="Q48" s="3488"/>
      <c r="R48" s="3489">
        <f>ROUND(IF(D47="简单平均",AVERAGE(R47:W47),R47*F47+T47*H47+V47*J47),0)</f>
        <v>6485</v>
      </c>
      <c r="S48" s="3489"/>
      <c r="T48" s="3489"/>
      <c r="U48" s="3489"/>
      <c r="V48" s="3489"/>
      <c r="W48" s="3489"/>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2249</v>
      </c>
      <c r="D51" s="455"/>
      <c r="E51" s="456">
        <f>IF(E46&lt;E47,E47/E46-1,E46/E47-1)</f>
        <v>1.0302640051513157E-2</v>
      </c>
      <c r="F51" s="457" t="str">
        <f>IF(OR(E51&gt;=0.3,E51&lt;=-0.3),"超过30%","")</f>
        <v/>
      </c>
      <c r="G51" s="456">
        <f>IF(G46&lt;G47,G47/G46-1,G46/G47-1)</f>
        <v>1.9534883720930152E-2</v>
      </c>
      <c r="H51" s="457" t="str">
        <f>IF(OR(G51&gt;=0.3,G51&lt;=-0.3),"超过30%","")</f>
        <v/>
      </c>
      <c r="I51" s="456">
        <f>IF(I46&lt;I47,I47/I46-1,I46/I47-1)</f>
        <v>4.6996576408341095E-2</v>
      </c>
      <c r="J51" s="457" t="str">
        <f>IF(OR(I51&gt;=0.3,I51&lt;=-0.3),"超过30%","")</f>
        <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2250</v>
      </c>
      <c r="D52" s="458"/>
      <c r="E52" s="456">
        <f>IF(E47&lt;G47,G47/E47-1,E47/G47-1)</f>
        <v>2.7724665391969383E-2</v>
      </c>
      <c r="F52" s="457" t="str">
        <f>IF(OR(E52&gt;=0.2,E52&lt;=-0.2),"超过20%","")</f>
        <v/>
      </c>
      <c r="G52" s="456">
        <f>IF(G47&lt;I47,I47/G47-1,G47/I47-1)</f>
        <v>4.3100775193798402E-2</v>
      </c>
      <c r="H52" s="457" t="str">
        <f>IF(OR(G52&gt;=0.2,G52&lt;=-0.2),"超过20%","")</f>
        <v/>
      </c>
      <c r="I52" s="456">
        <f>IF(I47&lt;E47,E47/I47-1,I47/E47-1)</f>
        <v>7.2020395156150441E-2</v>
      </c>
      <c r="J52" s="457" t="str">
        <f>IF(OR(I52&gt;=0.2,I52&lt;=-0.2),"超过20%","")</f>
        <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2251</v>
      </c>
      <c r="D53" s="458"/>
      <c r="E53" s="456">
        <f>IF(E46&lt;G46,G46/E46-1,E46/G46-1)</f>
        <v>5.8596265292981231E-2</v>
      </c>
      <c r="F53" s="457" t="str">
        <f>IF(OR(E53&gt;=0.3,E53&lt;=-0.3),"超过30%","")</f>
        <v/>
      </c>
      <c r="G53" s="456">
        <f>IF(G46&lt;I46,I46/G46-1,G46/I46-1)</f>
        <v>2.3342670401493848E-2</v>
      </c>
      <c r="H53" s="457" t="str">
        <f>IF(OR(G53&gt;=0.3,G53&lt;=-0.3),"超过30%","")</f>
        <v/>
      </c>
      <c r="I53" s="456">
        <f>IF(I46&lt;E46,E46/I46-1,I46/E46-1)</f>
        <v>3.4449452672247194E-2</v>
      </c>
      <c r="J53" s="457" t="str">
        <f>IF(OR(I53&gt;=0.3,I53&lt;=-0.3),"超过30%","")</f>
        <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2336</v>
      </c>
      <c r="B55" s="641" t="s">
        <v>2337</v>
      </c>
      <c r="C55" s="2118" t="s">
        <v>2338</v>
      </c>
      <c r="D55" s="2119" t="s">
        <v>2339</v>
      </c>
      <c r="E55" s="642" t="s">
        <v>2340</v>
      </c>
      <c r="F55" s="1002" t="s">
        <v>2341</v>
      </c>
      <c r="G55" s="3468" t="s">
        <v>2342</v>
      </c>
      <c r="H55" s="3490"/>
      <c r="I55" s="140" t="s">
        <v>2343</v>
      </c>
      <c r="J55" s="2120">
        <f>项目基本情况!F35</f>
        <v>0</v>
      </c>
      <c r="K55" s="2121" t="s">
        <v>2344</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2345</v>
      </c>
      <c r="B56" s="645">
        <f>C48</f>
        <v>6485</v>
      </c>
      <c r="C56" s="646">
        <v>1</v>
      </c>
      <c r="D56" s="1056">
        <v>1</v>
      </c>
      <c r="E56" s="646">
        <f>'数据-汇总表'!E8+'数据-汇总表'!E9</f>
        <v>6199.09</v>
      </c>
      <c r="F56" s="998">
        <f t="shared" ref="F56:F64" si="15">ROUND(B56*E56/10000,0)</f>
        <v>4020</v>
      </c>
      <c r="G56" s="3491"/>
      <c r="H56" s="3467"/>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2346</v>
      </c>
      <c r="B57" s="224">
        <f>ROUND($C$48*C57*D57,0)</f>
        <v>0</v>
      </c>
      <c r="C57" s="176">
        <f t="shared" ref="C57:C64" si="16">IF($C$55="北京市系数",I57,J57)</f>
        <v>0</v>
      </c>
      <c r="D57" s="1057">
        <v>0.25</v>
      </c>
      <c r="E57" s="650"/>
      <c r="F57" s="998">
        <f t="shared" si="15"/>
        <v>0</v>
      </c>
      <c r="G57" s="3226" t="s">
        <v>2347</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2348</v>
      </c>
      <c r="B58" s="224">
        <f t="shared" ref="B58:B64" si="17">ROUND($C$48*C58*D58,0)</f>
        <v>0</v>
      </c>
      <c r="C58" s="176">
        <f t="shared" si="16"/>
        <v>0</v>
      </c>
      <c r="D58" s="1057">
        <v>0.25</v>
      </c>
      <c r="E58" s="650"/>
      <c r="F58" s="998">
        <f t="shared" si="15"/>
        <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2349</v>
      </c>
      <c r="B59" s="224">
        <f t="shared" si="17"/>
        <v>0</v>
      </c>
      <c r="C59" s="176">
        <f t="shared" si="16"/>
        <v>0</v>
      </c>
      <c r="D59" s="1057">
        <v>0.25</v>
      </c>
      <c r="E59" s="650"/>
      <c r="F59" s="998">
        <f t="shared" si="15"/>
        <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2350</v>
      </c>
      <c r="B60" s="224">
        <f t="shared" si="17"/>
        <v>0</v>
      </c>
      <c r="C60" s="176">
        <f t="shared" si="16"/>
        <v>0</v>
      </c>
      <c r="D60" s="1057">
        <v>0.25</v>
      </c>
      <c r="E60" s="223">
        <f>'数据-汇总表'!E11</f>
        <v>0</v>
      </c>
      <c r="F60" s="998">
        <f t="shared" si="15"/>
        <v>0</v>
      </c>
      <c r="G60" s="2122" t="s">
        <v>2351</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2352</v>
      </c>
      <c r="B61" s="224">
        <f t="shared" si="17"/>
        <v>0</v>
      </c>
      <c r="C61" s="176">
        <f t="shared" si="16"/>
        <v>0</v>
      </c>
      <c r="D61" s="1057">
        <v>0.25</v>
      </c>
      <c r="E61" s="223">
        <f>'数据-汇总表'!E12</f>
        <v>0</v>
      </c>
      <c r="F61" s="998">
        <f t="shared" si="15"/>
        <v>0</v>
      </c>
      <c r="G61" s="1004" t="s">
        <v>2353</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2354</v>
      </c>
      <c r="B62" s="224">
        <f t="shared" si="17"/>
        <v>0</v>
      </c>
      <c r="C62" s="176">
        <f t="shared" si="16"/>
        <v>0</v>
      </c>
      <c r="D62" s="1057">
        <v>0.25</v>
      </c>
      <c r="E62" s="223">
        <f>'数据-汇总表'!E13</f>
        <v>0</v>
      </c>
      <c r="F62" s="998">
        <f t="shared" si="15"/>
        <v>0</v>
      </c>
      <c r="G62" s="1004" t="s">
        <v>2355</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2356</v>
      </c>
      <c r="B63" s="224">
        <f t="shared" si="17"/>
        <v>0</v>
      </c>
      <c r="C63" s="176">
        <f t="shared" si="16"/>
        <v>0</v>
      </c>
      <c r="D63" s="1057">
        <v>0.25</v>
      </c>
      <c r="E63" s="223">
        <f>'数据-汇总表'!E14</f>
        <v>0</v>
      </c>
      <c r="F63" s="998">
        <f t="shared" si="15"/>
        <v>0</v>
      </c>
      <c r="G63" s="2122" t="s">
        <v>2347</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2357</v>
      </c>
      <c r="B64" s="224">
        <f t="shared" si="17"/>
        <v>0</v>
      </c>
      <c r="C64" s="176">
        <f t="shared" si="16"/>
        <v>0</v>
      </c>
      <c r="D64" s="1057">
        <v>0.25</v>
      </c>
      <c r="E64" s="223">
        <f>'数据-汇总表'!E15</f>
        <v>0</v>
      </c>
      <c r="F64" s="998">
        <f t="shared" si="15"/>
        <v>0</v>
      </c>
      <c r="G64" s="2123" t="s">
        <v>2351</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2358</v>
      </c>
      <c r="B65" s="652" t="s">
        <v>28</v>
      </c>
      <c r="C65" s="652" t="s">
        <v>29</v>
      </c>
      <c r="D65" s="652" t="s">
        <v>816</v>
      </c>
      <c r="E65" s="652">
        <f>IF(B46="楼面地价",SUM(E56:E64),'数据-汇总表'!D3)</f>
        <v>6199.09</v>
      </c>
      <c r="F65" s="653">
        <f>IF(B46="楼面地价",SUM(F56:F64),ROUND(C48*E65/10000,0))</f>
        <v>4020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2022-12-1</v>
      </c>
      <c r="D67" s="701">
        <f>EDATE(C67,-3)</f>
        <v>44805</v>
      </c>
      <c r="E67" s="701">
        <f>EDATE(D67,-3)</f>
        <v>44713</v>
      </c>
      <c r="F67" s="701">
        <f t="shared" ref="F67:O67" si="18">EDATE(E67,-3)</f>
        <v>44621</v>
      </c>
      <c r="G67" s="701">
        <f t="shared" si="18"/>
        <v>44531</v>
      </c>
      <c r="H67" s="701">
        <f t="shared" si="18"/>
        <v>44440</v>
      </c>
      <c r="I67" s="701">
        <f t="shared" si="18"/>
        <v>44348</v>
      </c>
      <c r="J67" s="701">
        <f t="shared" si="18"/>
        <v>44256</v>
      </c>
      <c r="K67" s="701">
        <f t="shared" si="18"/>
        <v>44166</v>
      </c>
      <c r="L67" s="701">
        <f t="shared" si="18"/>
        <v>44075</v>
      </c>
      <c r="M67" s="701">
        <f t="shared" si="18"/>
        <v>43983</v>
      </c>
      <c r="N67" s="701">
        <f t="shared" si="18"/>
        <v>43891</v>
      </c>
      <c r="O67" s="701">
        <f t="shared" si="18"/>
        <v>43800</v>
      </c>
      <c r="P67" s="2902"/>
      <c r="Q67" s="2902"/>
      <c r="R67" s="2902"/>
      <c r="S67" s="2902"/>
      <c r="T67" s="2902"/>
      <c r="U67" s="2902"/>
      <c r="V67" s="2902"/>
      <c r="W67" s="2902"/>
      <c r="X67" s="2902"/>
      <c r="Y67" s="2902"/>
      <c r="Z67" s="2902"/>
      <c r="AA67" s="2902"/>
      <c r="AB67" s="2902"/>
      <c r="AC67" s="2902"/>
    </row>
    <row r="68" spans="1:29" ht="21.75" thickBot="1">
      <c r="A68" s="703" t="s">
        <v>2252</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4" t="s">
        <v>2359</v>
      </c>
      <c r="B69" s="1222"/>
      <c r="C69" s="1296" t="str">
        <f>YEAR(C67)&amp;"-"&amp;ROUNDUP(MONTH(C67)/3,0)</f>
        <v>2022-4</v>
      </c>
      <c r="D69" s="1296" t="str">
        <f>YEAR(D67)&amp;"-"&amp;ROUNDUP(MONTH(D67)/3,0)</f>
        <v>2022-3</v>
      </c>
      <c r="E69" s="1296" t="str">
        <f t="shared" ref="E69:O69" si="19">YEAR(E67)&amp;"-"&amp;ROUNDUP(MONTH(E67)/3,0)</f>
        <v>2022-2</v>
      </c>
      <c r="F69" s="1296" t="str">
        <f t="shared" si="19"/>
        <v>2022-1</v>
      </c>
      <c r="G69" s="1296" t="str">
        <f t="shared" si="19"/>
        <v>2021-4</v>
      </c>
      <c r="H69" s="1296" t="str">
        <f t="shared" si="19"/>
        <v>2021-3</v>
      </c>
      <c r="I69" s="1296" t="str">
        <f t="shared" si="19"/>
        <v>2021-2</v>
      </c>
      <c r="J69" s="1296" t="str">
        <f t="shared" si="19"/>
        <v>2021-1</v>
      </c>
      <c r="K69" s="1296" t="str">
        <f t="shared" si="19"/>
        <v>2020-4</v>
      </c>
      <c r="L69" s="1296" t="str">
        <f t="shared" si="19"/>
        <v>2020-3</v>
      </c>
      <c r="M69" s="1296" t="str">
        <f t="shared" si="19"/>
        <v>2020-2</v>
      </c>
      <c r="N69" s="1296" t="str">
        <f t="shared" si="19"/>
        <v>2020-1</v>
      </c>
      <c r="O69" s="1296" t="str">
        <f t="shared" si="19"/>
        <v>2019-4</v>
      </c>
      <c r="P69" s="2953"/>
      <c r="Q69" s="2918"/>
      <c r="R69" s="2918"/>
      <c r="S69" s="2918"/>
      <c r="T69" s="2918"/>
      <c r="U69" s="2918"/>
      <c r="V69" s="2918"/>
      <c r="W69" s="2918"/>
      <c r="X69" s="2918"/>
      <c r="Y69" s="2918"/>
      <c r="Z69" s="2918"/>
      <c r="AA69" s="2918"/>
      <c r="AB69" s="2918"/>
      <c r="AC69" s="2918"/>
    </row>
    <row r="70" spans="1:29" s="113" customFormat="1" ht="30" customHeight="1">
      <c r="A70" s="2125" t="s">
        <v>2360</v>
      </c>
      <c r="B70" s="294" t="str">
        <f>"北京市平均增长率"&amp;TEXT(SUMIF(基准地价修正!N21:N25,A70,基准地价修正!P21:P25),"0.00%")</f>
        <v>北京市平均增长率0.00%</v>
      </c>
      <c r="C70" s="560">
        <v>100</v>
      </c>
      <c r="D70" s="552">
        <f>C70-$C$71</f>
        <v>99.5</v>
      </c>
      <c r="E70" s="552">
        <f t="shared" ref="E70:O70" si="20">D70-$C$71</f>
        <v>99</v>
      </c>
      <c r="F70" s="552">
        <f t="shared" si="20"/>
        <v>98.5</v>
      </c>
      <c r="G70" s="552">
        <f t="shared" si="20"/>
        <v>98</v>
      </c>
      <c r="H70" s="552">
        <f t="shared" si="20"/>
        <v>97.5</v>
      </c>
      <c r="I70" s="552">
        <f t="shared" si="20"/>
        <v>97</v>
      </c>
      <c r="J70" s="552">
        <f t="shared" si="20"/>
        <v>96.5</v>
      </c>
      <c r="K70" s="552">
        <f t="shared" si="20"/>
        <v>96</v>
      </c>
      <c r="L70" s="552">
        <f t="shared" si="20"/>
        <v>95.5</v>
      </c>
      <c r="M70" s="552">
        <f t="shared" si="20"/>
        <v>95</v>
      </c>
      <c r="N70" s="552">
        <f t="shared" si="20"/>
        <v>94.5</v>
      </c>
      <c r="O70" s="552">
        <f t="shared" si="20"/>
        <v>94</v>
      </c>
      <c r="P70" s="2916"/>
      <c r="Q70" s="2836"/>
      <c r="R70" s="2836"/>
      <c r="S70" s="2836"/>
      <c r="T70" s="2836"/>
      <c r="U70" s="2836"/>
      <c r="V70" s="2836"/>
      <c r="W70" s="2836"/>
      <c r="X70" s="2836"/>
      <c r="Y70" s="2836"/>
      <c r="Z70" s="2836"/>
      <c r="AA70" s="2836"/>
      <c r="AB70" s="2836"/>
      <c r="AC70" s="2836"/>
    </row>
    <row r="71" spans="1:29" s="113" customFormat="1" ht="15.75" thickBot="1">
      <c r="A71" s="472" t="s">
        <v>2163</v>
      </c>
      <c r="B71" s="473"/>
      <c r="C71" s="474">
        <v>0.5</v>
      </c>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2128</v>
      </c>
      <c r="B72" s="467"/>
      <c r="C72" s="479" t="s">
        <v>2230</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2166</v>
      </c>
      <c r="B74" s="485" t="s">
        <v>2132</v>
      </c>
      <c r="C74" s="3231" t="s">
        <v>3358</v>
      </c>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v>100</v>
      </c>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2135</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2136</v>
      </c>
      <c r="C78" s="504" t="str">
        <f>C79&amp;"（含）"&amp;"-"&amp;D79</f>
        <v>0（含）-1</v>
      </c>
      <c r="D78" s="504" t="str">
        <f t="shared" ref="D78:L78" si="21">D79&amp;"（含）"&amp;"-"&amp;E79</f>
        <v>1（含）-2</v>
      </c>
      <c r="E78" s="504" t="str">
        <f t="shared" si="21"/>
        <v>2（含）-3</v>
      </c>
      <c r="F78" s="504" t="str">
        <f t="shared" si="21"/>
        <v>3（含）-4</v>
      </c>
      <c r="G78" s="504" t="str">
        <f t="shared" si="21"/>
        <v>4（含）-5</v>
      </c>
      <c r="H78" s="504" t="str">
        <f t="shared" si="21"/>
        <v>5（含）-6</v>
      </c>
      <c r="I78" s="504" t="str">
        <f t="shared" si="21"/>
        <v>6（含）-7</v>
      </c>
      <c r="J78" s="504" t="str">
        <f t="shared" si="21"/>
        <v>7（含）-8</v>
      </c>
      <c r="K78" s="504" t="str">
        <f t="shared" si="21"/>
        <v>8（含）-9</v>
      </c>
      <c r="L78" s="504" t="str">
        <f t="shared" si="21"/>
        <v>9（含）-10</v>
      </c>
      <c r="M78" s="407" t="str">
        <f>M79&amp;"（含）"&amp;"-"&amp;P79</f>
        <v>10（含）-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v>0</v>
      </c>
      <c r="D79" s="506">
        <v>1</v>
      </c>
      <c r="E79" s="506">
        <v>2</v>
      </c>
      <c r="F79" s="506">
        <v>3</v>
      </c>
      <c r="G79" s="506">
        <v>4</v>
      </c>
      <c r="H79" s="506">
        <v>5</v>
      </c>
      <c r="I79" s="506">
        <v>6</v>
      </c>
      <c r="J79" s="506">
        <v>7</v>
      </c>
      <c r="K79" s="507">
        <v>8</v>
      </c>
      <c r="L79" s="508">
        <v>9</v>
      </c>
      <c r="M79" s="509">
        <v>10</v>
      </c>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2">IF($B$46="单位面积地价",C80+$K11,C80-$K11)</f>
        <v>98</v>
      </c>
      <c r="E80" s="501">
        <f t="shared" si="22"/>
        <v>96</v>
      </c>
      <c r="F80" s="501">
        <f t="shared" si="22"/>
        <v>94</v>
      </c>
      <c r="G80" s="501">
        <f t="shared" si="22"/>
        <v>92</v>
      </c>
      <c r="H80" s="501">
        <f t="shared" si="22"/>
        <v>90</v>
      </c>
      <c r="I80" s="501">
        <f t="shared" si="22"/>
        <v>88</v>
      </c>
      <c r="J80" s="501">
        <f t="shared" si="22"/>
        <v>86</v>
      </c>
      <c r="K80" s="501">
        <f t="shared" si="22"/>
        <v>84</v>
      </c>
      <c r="L80" s="501">
        <f t="shared" si="22"/>
        <v>82</v>
      </c>
      <c r="M80" s="501">
        <f t="shared" si="22"/>
        <v>80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2137</v>
      </c>
      <c r="B87" s="485" t="s">
        <v>2174</v>
      </c>
      <c r="C87" s="530" t="s">
        <v>2175</v>
      </c>
      <c r="D87" s="530" t="s">
        <v>2176</v>
      </c>
      <c r="E87" s="530" t="s">
        <v>2177</v>
      </c>
      <c r="F87" s="530" t="s">
        <v>2178</v>
      </c>
      <c r="G87" s="530" t="s">
        <v>2179</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98</v>
      </c>
      <c r="E88" s="501">
        <f>D88-$K15</f>
        <v>96</v>
      </c>
      <c r="F88" s="501">
        <f>E88-$K15</f>
        <v>94</v>
      </c>
      <c r="G88" s="501">
        <f>F88-$K15</f>
        <v>92</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2361</v>
      </c>
      <c r="C89" s="535" t="s">
        <v>2175</v>
      </c>
      <c r="D89" s="535" t="s">
        <v>2176</v>
      </c>
      <c r="E89" s="535" t="s">
        <v>2177</v>
      </c>
      <c r="F89" s="535" t="s">
        <v>2178</v>
      </c>
      <c r="G89" s="535" t="s">
        <v>2179</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2275</v>
      </c>
      <c r="C91" s="535" t="s">
        <v>2175</v>
      </c>
      <c r="D91" s="535" t="s">
        <v>2176</v>
      </c>
      <c r="E91" s="535" t="s">
        <v>2177</v>
      </c>
      <c r="F91" s="535" t="s">
        <v>2178</v>
      </c>
      <c r="G91" s="535" t="s">
        <v>2179</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2180</v>
      </c>
      <c r="C93" s="535" t="s">
        <v>2175</v>
      </c>
      <c r="D93" s="535" t="s">
        <v>2176</v>
      </c>
      <c r="E93" s="535" t="s">
        <v>2177</v>
      </c>
      <c r="F93" s="535" t="s">
        <v>2178</v>
      </c>
      <c r="G93" s="535" t="s">
        <v>2179</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98</v>
      </c>
      <c r="E94" s="501">
        <f>D94-$K21</f>
        <v>96</v>
      </c>
      <c r="F94" s="501">
        <f>E94-$K21</f>
        <v>94</v>
      </c>
      <c r="G94" s="501">
        <f>F94-$K21</f>
        <v>92</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2362</v>
      </c>
      <c r="C95" s="535" t="s">
        <v>2175</v>
      </c>
      <c r="D95" s="535" t="s">
        <v>2176</v>
      </c>
      <c r="E95" s="535" t="s">
        <v>2177</v>
      </c>
      <c r="F95" s="535" t="s">
        <v>2178</v>
      </c>
      <c r="G95" s="535" t="s">
        <v>2179</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98</v>
      </c>
      <c r="E96" s="501">
        <f>D96-$K23</f>
        <v>96</v>
      </c>
      <c r="F96" s="501">
        <f>E96-$K23</f>
        <v>94</v>
      </c>
      <c r="G96" s="501">
        <f>F96-$K23</f>
        <v>92</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2363</v>
      </c>
      <c r="C97" s="530" t="s">
        <v>2175</v>
      </c>
      <c r="D97" s="530" t="s">
        <v>2176</v>
      </c>
      <c r="E97" s="530" t="s">
        <v>2177</v>
      </c>
      <c r="F97" s="530" t="s">
        <v>2178</v>
      </c>
      <c r="G97" s="530" t="s">
        <v>2179</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98</v>
      </c>
      <c r="E98" s="501">
        <f>D98-$K25</f>
        <v>96</v>
      </c>
      <c r="F98" s="501">
        <f>E98-$K25</f>
        <v>94</v>
      </c>
      <c r="G98" s="501">
        <f>F98-$K25</f>
        <v>92</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2232</v>
      </c>
      <c r="C99" s="530" t="s">
        <v>2175</v>
      </c>
      <c r="D99" s="530" t="s">
        <v>2176</v>
      </c>
      <c r="E99" s="530" t="s">
        <v>2177</v>
      </c>
      <c r="F99" s="530" t="s">
        <v>2178</v>
      </c>
      <c r="G99" s="530" t="s">
        <v>2179</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98</v>
      </c>
      <c r="E100" s="501">
        <f>D100-$K27</f>
        <v>96</v>
      </c>
      <c r="F100" s="501">
        <f>E100-$K27</f>
        <v>94</v>
      </c>
      <c r="G100" s="501">
        <f>F100-$K27</f>
        <v>92</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2233</v>
      </c>
      <c r="C101" s="616" t="s">
        <v>2253</v>
      </c>
      <c r="D101" s="616" t="s">
        <v>2254</v>
      </c>
      <c r="E101" s="616" t="s">
        <v>2255</v>
      </c>
      <c r="F101" s="616" t="s">
        <v>2256</v>
      </c>
      <c r="G101" s="616" t="s">
        <v>2257</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98</v>
      </c>
      <c r="E102" s="501">
        <f>D102-$K29</f>
        <v>96</v>
      </c>
      <c r="F102" s="501">
        <f>E102-$K29</f>
        <v>94</v>
      </c>
      <c r="G102" s="501">
        <f>F102-$K29</f>
        <v>92</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2364</v>
      </c>
      <c r="D103" s="496" t="s">
        <v>2365</v>
      </c>
      <c r="E103" s="496" t="s">
        <v>2366</v>
      </c>
      <c r="F103" s="496" t="s">
        <v>2367</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3">C104-$K31</f>
        <v>100</v>
      </c>
      <c r="E104" s="501">
        <f t="shared" si="23"/>
        <v>100</v>
      </c>
      <c r="F104" s="501">
        <f t="shared" si="23"/>
        <v>100</v>
      </c>
      <c r="G104" s="501">
        <f t="shared" si="23"/>
        <v>100</v>
      </c>
      <c r="H104" s="501">
        <f t="shared" si="23"/>
        <v>100</v>
      </c>
      <c r="I104" s="501">
        <f t="shared" si="23"/>
        <v>100</v>
      </c>
      <c r="J104" s="501">
        <f t="shared" si="23"/>
        <v>100</v>
      </c>
      <c r="K104" s="501">
        <f t="shared" si="23"/>
        <v>100</v>
      </c>
      <c r="L104" s="501">
        <f t="shared" si="23"/>
        <v>100</v>
      </c>
      <c r="M104" s="501">
        <f t="shared" si="23"/>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2269</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C106-$K32</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1">
        <f t="shared" si="24"/>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2328</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C108-$K34</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1">
        <f t="shared" si="25"/>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ht="28.5">
      <c r="A115" s="484" t="s">
        <v>2141</v>
      </c>
      <c r="B115" s="485" t="s">
        <v>2368</v>
      </c>
      <c r="C115" s="486" t="str">
        <f>C116&amp;"(含)"&amp;"-"&amp;D116</f>
        <v>0(含)-20000</v>
      </c>
      <c r="D115" s="486" t="str">
        <f t="shared" ref="D115:M115" si="26">D116&amp;"(含)"&amp;"-"&amp;E116</f>
        <v>20000(含)-40000</v>
      </c>
      <c r="E115" s="486" t="str">
        <f t="shared" si="26"/>
        <v>40000(含)-60000</v>
      </c>
      <c r="F115" s="486" t="str">
        <f t="shared" si="26"/>
        <v>60000(含)-80000</v>
      </c>
      <c r="G115" s="486" t="str">
        <f t="shared" si="26"/>
        <v>80000(含)-100000</v>
      </c>
      <c r="H115" s="486" t="str">
        <f t="shared" si="26"/>
        <v>100000(含)-120000</v>
      </c>
      <c r="I115" s="486" t="str">
        <f t="shared" si="26"/>
        <v>120000(含)-140000</v>
      </c>
      <c r="J115" s="486" t="str">
        <f t="shared" si="26"/>
        <v>140000(含)-160000</v>
      </c>
      <c r="K115" s="486" t="str">
        <f t="shared" si="26"/>
        <v>160000(含)-180000</v>
      </c>
      <c r="L115" s="486" t="str">
        <f t="shared" si="26"/>
        <v>180000(含)-200000</v>
      </c>
      <c r="M115" s="486" t="str">
        <f t="shared" si="26"/>
        <v>200000(含)-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v>0</v>
      </c>
      <c r="D116" s="552">
        <v>20000</v>
      </c>
      <c r="E116" s="552">
        <v>40000</v>
      </c>
      <c r="F116" s="552">
        <v>60000</v>
      </c>
      <c r="G116" s="552">
        <v>80000</v>
      </c>
      <c r="H116" s="552">
        <v>100000</v>
      </c>
      <c r="I116" s="552">
        <v>120000</v>
      </c>
      <c r="J116" s="552">
        <v>140000</v>
      </c>
      <c r="K116" s="552">
        <v>160000</v>
      </c>
      <c r="L116" s="552">
        <v>180000</v>
      </c>
      <c r="M116" s="552">
        <v>200000</v>
      </c>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v>100</v>
      </c>
      <c r="D117" s="548">
        <v>101</v>
      </c>
      <c r="E117" s="527">
        <v>102</v>
      </c>
      <c r="F117" s="548">
        <v>103</v>
      </c>
      <c r="G117" s="527">
        <v>104</v>
      </c>
      <c r="H117" s="548">
        <v>105</v>
      </c>
      <c r="I117" s="527">
        <v>106</v>
      </c>
      <c r="J117" s="548">
        <v>107</v>
      </c>
      <c r="K117" s="527">
        <v>108</v>
      </c>
      <c r="L117" s="548">
        <v>109</v>
      </c>
      <c r="M117" s="527">
        <v>110</v>
      </c>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2369</v>
      </c>
      <c r="C118" s="3232" t="s">
        <v>3360</v>
      </c>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7">C119-$K39</f>
        <v>99</v>
      </c>
      <c r="E119" s="501">
        <f t="shared" si="27"/>
        <v>98</v>
      </c>
      <c r="F119" s="501">
        <f t="shared" si="27"/>
        <v>97</v>
      </c>
      <c r="G119" s="501">
        <f t="shared" si="27"/>
        <v>96</v>
      </c>
      <c r="H119" s="501">
        <f t="shared" si="27"/>
        <v>95</v>
      </c>
      <c r="I119" s="501">
        <f t="shared" si="27"/>
        <v>94</v>
      </c>
      <c r="J119" s="501">
        <f t="shared" si="27"/>
        <v>93</v>
      </c>
      <c r="K119" s="501">
        <f t="shared" si="27"/>
        <v>92</v>
      </c>
      <c r="L119" s="501">
        <f t="shared" si="27"/>
        <v>91</v>
      </c>
      <c r="M119" s="502">
        <f t="shared" si="27"/>
        <v>90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2370</v>
      </c>
      <c r="C120" s="3233" t="s">
        <v>3362</v>
      </c>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8">C121-$K40</f>
        <v>99</v>
      </c>
      <c r="E121" s="501">
        <f t="shared" si="28"/>
        <v>98</v>
      </c>
      <c r="F121" s="501">
        <f t="shared" si="28"/>
        <v>97</v>
      </c>
      <c r="G121" s="501">
        <f t="shared" si="28"/>
        <v>96</v>
      </c>
      <c r="H121" s="501">
        <f t="shared" si="28"/>
        <v>95</v>
      </c>
      <c r="I121" s="501">
        <f t="shared" si="28"/>
        <v>94</v>
      </c>
      <c r="J121" s="501">
        <f t="shared" si="28"/>
        <v>93</v>
      </c>
      <c r="K121" s="501">
        <f t="shared" si="28"/>
        <v>92</v>
      </c>
      <c r="L121" s="501">
        <f t="shared" si="28"/>
        <v>91</v>
      </c>
      <c r="M121" s="502">
        <f t="shared" si="28"/>
        <v>90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2371</v>
      </c>
      <c r="C122" s="3233" t="s">
        <v>3364</v>
      </c>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9">C123-$K41</f>
        <v>99</v>
      </c>
      <c r="E123" s="501">
        <f t="shared" si="29"/>
        <v>98</v>
      </c>
      <c r="F123" s="501">
        <f t="shared" si="29"/>
        <v>97</v>
      </c>
      <c r="G123" s="501">
        <f t="shared" si="29"/>
        <v>96</v>
      </c>
      <c r="H123" s="501">
        <f t="shared" si="29"/>
        <v>95</v>
      </c>
      <c r="I123" s="501">
        <f t="shared" si="29"/>
        <v>94</v>
      </c>
      <c r="J123" s="501">
        <f t="shared" si="29"/>
        <v>93</v>
      </c>
      <c r="K123" s="501">
        <f t="shared" si="29"/>
        <v>92</v>
      </c>
      <c r="L123" s="501">
        <f t="shared" si="29"/>
        <v>91</v>
      </c>
      <c r="M123" s="502">
        <f t="shared" si="29"/>
        <v>90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2372</v>
      </c>
      <c r="C124" s="3233" t="s">
        <v>3366</v>
      </c>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30">C125-$K42</f>
        <v>99</v>
      </c>
      <c r="E125" s="501">
        <f t="shared" si="30"/>
        <v>98</v>
      </c>
      <c r="F125" s="501">
        <f t="shared" si="30"/>
        <v>97</v>
      </c>
      <c r="G125" s="501">
        <f t="shared" si="30"/>
        <v>96</v>
      </c>
      <c r="H125" s="501">
        <f t="shared" si="30"/>
        <v>95</v>
      </c>
      <c r="I125" s="501">
        <f t="shared" si="30"/>
        <v>94</v>
      </c>
      <c r="J125" s="501">
        <f t="shared" si="30"/>
        <v>93</v>
      </c>
      <c r="K125" s="501">
        <f t="shared" si="30"/>
        <v>92</v>
      </c>
      <c r="L125" s="501">
        <f t="shared" si="30"/>
        <v>91</v>
      </c>
      <c r="M125" s="502">
        <f t="shared" si="30"/>
        <v>90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3" priority="18" stopIfTrue="1" operator="containsText" text="超过">
      <formula>NOT(ISERROR(SEARCH("超过",F51)))</formula>
    </cfRule>
  </conditionalFormatting>
  <conditionalFormatting sqref="J53">
    <cfRule type="containsText" dxfId="182" priority="17" stopIfTrue="1" operator="containsText" text="超过">
      <formula>NOT(ISERROR(SEARCH("超过",J53)))</formula>
    </cfRule>
  </conditionalFormatting>
  <conditionalFormatting sqref="H53">
    <cfRule type="containsText" dxfId="181" priority="16" stopIfTrue="1" operator="containsText" text="超过">
      <formula>NOT(ISERROR(SEARCH("超过",H53)))</formula>
    </cfRule>
  </conditionalFormatting>
  <conditionalFormatting sqref="F53">
    <cfRule type="containsText" dxfId="180" priority="15" stopIfTrue="1" operator="containsText" text="超过">
      <formula>NOT(ISERROR(SEARCH("超过",F53)))</formula>
    </cfRule>
  </conditionalFormatting>
  <conditionalFormatting sqref="F52 H52 J52">
    <cfRule type="containsText" dxfId="179" priority="14" stopIfTrue="1" operator="containsText" text="超过">
      <formula>NOT(ISERROR(SEARCH("超过",F52)))</formula>
    </cfRule>
  </conditionalFormatting>
  <conditionalFormatting sqref="E51">
    <cfRule type="expression" dxfId="178" priority="13" stopIfTrue="1">
      <formula>$F$51="超过30%"</formula>
    </cfRule>
  </conditionalFormatting>
  <conditionalFormatting sqref="G53">
    <cfRule type="expression" dxfId="177" priority="12" stopIfTrue="1">
      <formula>$H$53="超过30%"</formula>
    </cfRule>
  </conditionalFormatting>
  <conditionalFormatting sqref="E52">
    <cfRule type="expression" dxfId="176" priority="11" stopIfTrue="1">
      <formula>$F$52="超过20%"</formula>
    </cfRule>
  </conditionalFormatting>
  <conditionalFormatting sqref="E53">
    <cfRule type="expression" dxfId="175" priority="10" stopIfTrue="1">
      <formula>$F$53="超过30%"</formula>
    </cfRule>
  </conditionalFormatting>
  <conditionalFormatting sqref="G51">
    <cfRule type="expression" dxfId="174" priority="9" stopIfTrue="1">
      <formula>$H$53+$H$51="超过30%"</formula>
    </cfRule>
  </conditionalFormatting>
  <conditionalFormatting sqref="G52">
    <cfRule type="expression" dxfId="173" priority="8" stopIfTrue="1">
      <formula>$H$52="超过20%"</formula>
    </cfRule>
  </conditionalFormatting>
  <conditionalFormatting sqref="I51">
    <cfRule type="expression" dxfId="172" priority="7" stopIfTrue="1">
      <formula>$J$51="超过30%"</formula>
    </cfRule>
  </conditionalFormatting>
  <conditionalFormatting sqref="I52">
    <cfRule type="expression" dxfId="171" priority="6" stopIfTrue="1">
      <formula>$J$52="超过20%"</formula>
    </cfRule>
  </conditionalFormatting>
  <conditionalFormatting sqref="I53">
    <cfRule type="expression" dxfId="170" priority="5" stopIfTrue="1">
      <formula>$J$53="超过30%"</formula>
    </cfRule>
  </conditionalFormatting>
  <conditionalFormatting sqref="F47">
    <cfRule type="expression" dxfId="169" priority="4">
      <formula>$D$47="简单平均"</formula>
    </cfRule>
  </conditionalFormatting>
  <conditionalFormatting sqref="H47">
    <cfRule type="expression" dxfId="168" priority="3">
      <formula>$D$47="简单平均"</formula>
    </cfRule>
  </conditionalFormatting>
  <conditionalFormatting sqref="J47">
    <cfRule type="expression" dxfId="167" priority="2">
      <formula>$D$47="简单平均"</formula>
    </cfRule>
  </conditionalFormatting>
  <conditionalFormatting sqref="F7:F45 H7:H45 J7:J45">
    <cfRule type="cellIs" dxfId="16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L26" sqref="L26"/>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2040</v>
      </c>
      <c r="B1" s="1305"/>
      <c r="C1" s="1306"/>
      <c r="D1" s="1304"/>
      <c r="E1" s="2985"/>
      <c r="F1" s="2985"/>
      <c r="G1" s="2848"/>
      <c r="H1" s="2985"/>
      <c r="I1" s="2985"/>
      <c r="J1" s="2985"/>
      <c r="K1" s="2986">
        <f>MATCH(C1,'数据-取费表'!A6:A16,0)+5</f>
        <v>9</v>
      </c>
    </row>
    <row r="2" spans="1:33" ht="18" customHeight="1">
      <c r="A2" s="207" t="s">
        <v>1908</v>
      </c>
      <c r="B2" s="210">
        <f ca="1">C32</f>
        <v>10016</v>
      </c>
      <c r="C2" s="282" t="s">
        <v>2041</v>
      </c>
      <c r="D2" s="282"/>
      <c r="E2" s="2985"/>
      <c r="F2" s="2985"/>
      <c r="G2" s="2985"/>
      <c r="H2" s="2985"/>
      <c r="I2" s="2985"/>
      <c r="J2" s="2985"/>
      <c r="K2" s="2985"/>
    </row>
    <row r="3" spans="1:33" ht="18" customHeight="1" thickBot="1">
      <c r="A3" s="209" t="s">
        <v>1910</v>
      </c>
      <c r="B3" s="210">
        <f ca="1">ROUND(B2*10000/IF(C1="",'数据-汇总表'!E3,INDIRECT("'数据-取费表'!K"&amp;$K$1)),0)</f>
        <v>16157</v>
      </c>
      <c r="C3" s="282" t="s">
        <v>2042</v>
      </c>
      <c r="D3" s="282"/>
      <c r="E3" s="2985"/>
      <c r="F3" s="2985"/>
      <c r="G3" s="2985"/>
      <c r="H3" s="2985"/>
      <c r="I3" s="2985"/>
      <c r="J3" s="2985"/>
      <c r="K3" s="2985"/>
    </row>
    <row r="4" spans="1:33" s="874" customFormat="1" ht="16.5" customHeight="1">
      <c r="A4" s="871" t="s">
        <v>2043</v>
      </c>
      <c r="B4" s="872"/>
      <c r="C4" s="914">
        <f>SUM(C8:K8)</f>
        <v>11883.859208</v>
      </c>
      <c r="D4" s="872"/>
      <c r="E4" s="872"/>
      <c r="F4" s="872"/>
      <c r="G4" s="872"/>
      <c r="H4" s="872"/>
      <c r="I4" s="872"/>
      <c r="J4" s="872"/>
      <c r="K4" s="873"/>
    </row>
    <row r="5" spans="1:33" s="878" customFormat="1" ht="15">
      <c r="A5" s="875" t="s">
        <v>2044</v>
      </c>
      <c r="B5" s="876" t="s">
        <v>2045</v>
      </c>
      <c r="C5" s="1996" t="s">
        <v>3478</v>
      </c>
      <c r="D5" s="1996" t="s">
        <v>3368</v>
      </c>
      <c r="E5" s="1996" t="s">
        <v>3369</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2046</v>
      </c>
      <c r="C6" s="880">
        <f>'比较法-叠墅'!C49</f>
        <v>21720</v>
      </c>
      <c r="D6" s="880">
        <f>E6*1.2</f>
        <v>20373.599999999999</v>
      </c>
      <c r="E6" s="880">
        <f>'比较法-高层'!C49</f>
        <v>16978</v>
      </c>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2047</v>
      </c>
      <c r="B7" s="136" t="s">
        <v>2048</v>
      </c>
      <c r="C7" s="283">
        <f>SUMIF('数据-汇总表'!$C19:$C33,假设开发法!C5,'数据-汇总表'!$E19:$E33)</f>
        <v>1576.91</v>
      </c>
      <c r="D7" s="283">
        <f>SUMIF('数据-汇总表'!$C19:$C33,假设开发法!D5,'数据-汇总表'!$E19:$E33)</f>
        <v>1800.3000000000002</v>
      </c>
      <c r="E7" s="283">
        <f>SUMIF('数据-汇总表'!$C19:$C33,假设开发法!E5,'数据-汇总表'!$E19:$E33)</f>
        <v>2821.88</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2049</v>
      </c>
      <c r="B8" s="169" t="s">
        <v>2050</v>
      </c>
      <c r="C8" s="915">
        <f>'比较法-叠墅'!B2</f>
        <v>3425</v>
      </c>
      <c r="D8" s="915">
        <f>D6*D7/10000</f>
        <v>3667.8592079999999</v>
      </c>
      <c r="E8" s="915">
        <f>'比较法-高层'!B2</f>
        <v>4791</v>
      </c>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2051</v>
      </c>
      <c r="B9" s="872"/>
      <c r="C9" s="872"/>
      <c r="D9" s="872"/>
      <c r="E9" s="872"/>
      <c r="F9" s="872"/>
      <c r="G9" s="872"/>
      <c r="H9" s="872"/>
      <c r="I9" s="872"/>
      <c r="J9" s="872"/>
      <c r="K9" s="873"/>
    </row>
    <row r="10" spans="1:33" s="888" customFormat="1" ht="13.5" customHeight="1">
      <c r="A10" s="875" t="s">
        <v>2052</v>
      </c>
      <c r="B10" s="8" t="s">
        <v>2053</v>
      </c>
      <c r="C10" s="884" t="s">
        <v>2054</v>
      </c>
      <c r="D10" s="885" t="s">
        <v>2055</v>
      </c>
      <c r="E10" s="885" t="s">
        <v>2056</v>
      </c>
      <c r="F10" s="885" t="s">
        <v>2057</v>
      </c>
      <c r="G10" s="8"/>
      <c r="H10" s="886"/>
      <c r="I10" s="886"/>
      <c r="J10" s="886"/>
      <c r="K10" s="887"/>
    </row>
    <row r="11" spans="1:33" s="893" customFormat="1" ht="13.5" customHeight="1">
      <c r="A11" s="889" t="s">
        <v>1060</v>
      </c>
      <c r="B11" s="890" t="s">
        <v>2058</v>
      </c>
      <c r="C11" s="285">
        <f ca="1">IF(C1="",'数据-取费表'!P16,INDIRECT("'数据-取费表'!p"&amp;$K$1)+INDIRECT("'数据-取费表'!ar"&amp;$K$1))</f>
        <v>645</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2059</v>
      </c>
      <c r="C12" s="24">
        <f ca="1">ROUND(C11*F12,0)</f>
        <v>19</v>
      </c>
      <c r="D12" s="891"/>
      <c r="E12" s="335"/>
      <c r="F12" s="894">
        <f>'数据-取费表'!B33</f>
        <v>0.03</v>
      </c>
      <c r="G12" s="8" t="s">
        <v>2060</v>
      </c>
      <c r="H12" s="886"/>
      <c r="I12" s="886"/>
      <c r="J12" s="886"/>
      <c r="K12" s="887"/>
    </row>
    <row r="13" spans="1:33" s="893" customFormat="1" ht="13.5" customHeight="1">
      <c r="A13" s="889" t="s">
        <v>1062</v>
      </c>
      <c r="B13" s="890" t="s">
        <v>2061</v>
      </c>
      <c r="C13" s="24">
        <f ca="1">ROUND(IF(C1="",SUMIF('数据-取费表'!C:C,"住宅",'数据-取费表'!P:P)*F13,IF(INDIRECT("'数据-取费表'!c"&amp;$K$1)="住宅",INDIRECT("'数据-取费表'!P"&amp;$K$1)*F13,0)),0)</f>
        <v>32</v>
      </c>
      <c r="D13" s="936"/>
      <c r="E13" s="335"/>
      <c r="F13" s="894">
        <f>'数据-取费表'!B34</f>
        <v>0.05</v>
      </c>
      <c r="G13" s="8" t="s">
        <v>2062</v>
      </c>
      <c r="H13" s="886"/>
      <c r="I13" s="886"/>
      <c r="J13" s="886"/>
      <c r="K13" s="887"/>
    </row>
    <row r="14" spans="1:33" s="895" customFormat="1" ht="13.5" customHeight="1">
      <c r="A14" s="889" t="s">
        <v>1063</v>
      </c>
      <c r="B14" s="890" t="s">
        <v>2063</v>
      </c>
      <c r="C14" s="24">
        <f ca="1">ROUND(D14*E14*F11/10000,0)</f>
        <v>0</v>
      </c>
      <c r="D14" s="936">
        <f ca="1">IF(C1="",'数据-汇总表'!E3,INDIRECT("'数据-取费表'!K"&amp;$K$1)+INDIRECT("'数据-取费表'!S"&amp;$K$1))</f>
        <v>6199.09</v>
      </c>
      <c r="E14" s="24">
        <f>'数据-取费表'!B35</f>
        <v>200</v>
      </c>
      <c r="F14" s="894"/>
      <c r="G14" s="8" t="s">
        <v>2064</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2065</v>
      </c>
      <c r="C15" s="901">
        <f ca="1">ROUND(C11*F15,0)</f>
        <v>10</v>
      </c>
      <c r="D15" s="896"/>
      <c r="E15" s="901"/>
      <c r="F15" s="902">
        <f>'数据-取费表'!B36</f>
        <v>1.4999999999999999E-2</v>
      </c>
      <c r="G15" s="136" t="s">
        <v>2066</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2067</v>
      </c>
      <c r="C16" s="901">
        <f ca="1">SUM(C11:C15)</f>
        <v>706</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2068</v>
      </c>
      <c r="C17" s="24">
        <f ca="1">ROUND(D17*E17/10000,0)</f>
        <v>0</v>
      </c>
      <c r="D17" s="936">
        <f ca="1">D14</f>
        <v>6199.09</v>
      </c>
      <c r="E17" s="24">
        <f>'数据-取费表'!B32</f>
        <v>0</v>
      </c>
      <c r="F17" s="896"/>
      <c r="G17" s="136" t="s">
        <v>2069</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2070</v>
      </c>
      <c r="C18" s="24">
        <f ca="1">C19+C20-IF(C1="",'数据-取费表'!B29,IF(G18="已全部缴纳",C19+C20,H18))</f>
        <v>65</v>
      </c>
      <c r="D18" s="936"/>
      <c r="E18" s="24"/>
      <c r="F18" s="894"/>
      <c r="G18" s="1998"/>
      <c r="H18" s="1301"/>
      <c r="I18" s="1999" t="s">
        <v>2071</v>
      </c>
      <c r="J18" s="897"/>
      <c r="K18" s="898"/>
    </row>
    <row r="19" spans="1:33" s="893" customFormat="1" ht="13.5" customHeight="1">
      <c r="A19" s="889" t="s">
        <v>624</v>
      </c>
      <c r="B19" s="890" t="s">
        <v>2072</v>
      </c>
      <c r="C19" s="24">
        <f ca="1">ROUND(D19*E19/10000,0)</f>
        <v>0</v>
      </c>
      <c r="D19" s="936">
        <f ca="1">IF(C1="",'数据-汇总表'!E5,IF(INDIRECT("'数据-取费表'!c"&amp;$K$1)="住宅",INDIRECT("'数据-取费表'!k"&amp;$K$1),0))</f>
        <v>0</v>
      </c>
      <c r="E19" s="24">
        <f>'数据-取费表'!B27</f>
        <v>105</v>
      </c>
      <c r="F19" s="894"/>
      <c r="G19" s="15"/>
      <c r="H19" s="1303"/>
      <c r="I19" s="899"/>
      <c r="J19" s="899"/>
      <c r="K19" s="900"/>
    </row>
    <row r="20" spans="1:33" s="893" customFormat="1" ht="13.5" customHeight="1">
      <c r="A20" s="889" t="s">
        <v>625</v>
      </c>
      <c r="B20" s="890" t="s">
        <v>2073</v>
      </c>
      <c r="C20" s="24">
        <f ca="1">ROUND(D20*E20/10000,0)</f>
        <v>65</v>
      </c>
      <c r="D20" s="936">
        <f ca="1">IF(C1="",'数据-汇总表'!E6,IF(INDIRECT("'数据-取费表'!c"&amp;$K$1)="住宅",INDIRECT("'数据-取费表'!s"&amp;$K$1),INDIRECT("'数据-取费表'!k"&amp;$K$1)+INDIRECT("'数据-取费表'!s"&amp;$K$1)))</f>
        <v>6199.09</v>
      </c>
      <c r="E20" s="24">
        <f>'数据-取费表'!B28</f>
        <v>105</v>
      </c>
      <c r="F20" s="894"/>
      <c r="G20" s="15"/>
      <c r="H20" s="899"/>
      <c r="I20" s="899"/>
      <c r="J20" s="899"/>
      <c r="K20" s="900"/>
    </row>
    <row r="21" spans="1:33" s="893" customFormat="1" ht="13.5" customHeight="1">
      <c r="A21" s="879" t="s">
        <v>621</v>
      </c>
      <c r="B21" s="903" t="s">
        <v>2074</v>
      </c>
      <c r="C21" s="904">
        <f ca="1">C16+C17+C18</f>
        <v>771</v>
      </c>
      <c r="D21" s="905"/>
      <c r="E21" s="287"/>
      <c r="F21" s="287"/>
      <c r="G21" s="136" t="s">
        <v>2075</v>
      </c>
      <c r="H21" s="897"/>
      <c r="I21" s="897"/>
      <c r="J21" s="897"/>
      <c r="K21" s="898"/>
    </row>
    <row r="22" spans="1:33" s="893" customFormat="1" ht="13.5" customHeight="1">
      <c r="A22" s="879" t="s">
        <v>2047</v>
      </c>
      <c r="B22" s="903" t="s">
        <v>2076</v>
      </c>
      <c r="C22" s="904">
        <f ca="1">ROUND(C21*F22,0)</f>
        <v>15</v>
      </c>
      <c r="D22" s="287"/>
      <c r="E22" s="287"/>
      <c r="F22" s="906">
        <f>'数据-取费表'!B37</f>
        <v>0.02</v>
      </c>
      <c r="G22" s="8" t="s">
        <v>2077</v>
      </c>
      <c r="H22" s="886"/>
      <c r="I22" s="886"/>
      <c r="J22" s="886"/>
      <c r="K22" s="887"/>
    </row>
    <row r="23" spans="1:33" s="893" customFormat="1" ht="13.5" customHeight="1">
      <c r="A23" s="879" t="s">
        <v>2049</v>
      </c>
      <c r="B23" s="903" t="s">
        <v>2078</v>
      </c>
      <c r="C23" s="904">
        <f ca="1">ROUND(C4*F23*F11,0)</f>
        <v>0</v>
      </c>
      <c r="D23" s="287"/>
      <c r="E23" s="287"/>
      <c r="F23" s="906">
        <f>'数据-取费表'!B38</f>
        <v>0.02</v>
      </c>
      <c r="G23" s="8" t="s">
        <v>2079</v>
      </c>
      <c r="H23" s="886"/>
      <c r="I23" s="886"/>
      <c r="J23" s="886"/>
      <c r="K23" s="887"/>
    </row>
    <row r="24" spans="1:33" s="893" customFormat="1" ht="13.5" customHeight="1">
      <c r="A24" s="879" t="s">
        <v>2080</v>
      </c>
      <c r="B24" s="903" t="s">
        <v>2081</v>
      </c>
      <c r="C24" s="286">
        <f>ROUND(F24/(1+'数据-取费表'!C42),4)</f>
        <v>2.9000000000000001E-2</v>
      </c>
      <c r="D24" s="287" t="s">
        <v>15</v>
      </c>
      <c r="E24" s="287"/>
      <c r="F24" s="906">
        <f>IF(项目基本情况!B8="出让",0,'数据-取费表'!B48+'数据-取费表'!B49)</f>
        <v>3.0499999999999999E-2</v>
      </c>
      <c r="G24" s="8" t="s">
        <v>2082</v>
      </c>
      <c r="H24" s="908"/>
      <c r="I24" s="908"/>
      <c r="J24" s="908"/>
      <c r="K24" s="909"/>
    </row>
    <row r="25" spans="1:33" s="893" customFormat="1" ht="13.5" customHeight="1">
      <c r="A25" s="879" t="s">
        <v>2083</v>
      </c>
      <c r="B25" s="905" t="s">
        <v>2084</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2085</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2086</v>
      </c>
      <c r="C27" s="1221">
        <f ca="1">ROUND(IF('数据-取费表'!B22&lt;=1,(C21+C22+C23)*F25*'数据-取费表'!B24/2,(C21+C22+C23)*(POWER((1+F25),'数据-取费表'!B24/2)-1)),0)</f>
        <v>0</v>
      </c>
      <c r="D27" s="290"/>
      <c r="E27" s="291"/>
      <c r="F27" s="292"/>
      <c r="G27" s="2000" t="str">
        <f>IF('数据-取费表'!B22&lt;=1,"（1）-（3）项×年利率×建设期÷2","（1）-（3）项×((1+年利率)^(建设期÷2)-1)")</f>
        <v>（1）-（3）项×((1+年利率)^(建设期÷2)-1)</v>
      </c>
      <c r="H27" s="897"/>
      <c r="I27" s="897"/>
      <c r="J27" s="897"/>
      <c r="K27" s="898"/>
    </row>
    <row r="28" spans="1:33" s="295" customFormat="1" ht="13.5" customHeight="1">
      <c r="A28" s="879" t="s">
        <v>2087</v>
      </c>
      <c r="B28" s="2001" t="s">
        <v>2088</v>
      </c>
      <c r="C28" s="293">
        <f ca="1">C30</f>
        <v>157</v>
      </c>
      <c r="D28" s="286">
        <f ca="1">C29</f>
        <v>0</v>
      </c>
      <c r="E28" s="288" t="s">
        <v>15</v>
      </c>
      <c r="F28" s="294">
        <f ca="1">IF(C1="",'数据-取费表'!Q16,INDIRECT("'数据-取费表'!q"&amp;$K$1))</f>
        <v>0.2</v>
      </c>
      <c r="G28" s="907"/>
      <c r="H28" s="908"/>
      <c r="I28" s="908"/>
      <c r="J28" s="908"/>
      <c r="K28" s="909"/>
    </row>
    <row r="29" spans="1:33" s="297" customFormat="1" ht="13.5" customHeight="1">
      <c r="A29" s="889" t="s">
        <v>622</v>
      </c>
      <c r="B29" s="912" t="s">
        <v>2089</v>
      </c>
      <c r="C29" s="290">
        <f ca="1">ROUND((1+C24)*F28*'数据-取费表'!B24/'数据-取费表'!B20,4)</f>
        <v>0</v>
      </c>
      <c r="D29" s="290"/>
      <c r="E29" s="291"/>
      <c r="F29" s="296"/>
      <c r="G29" s="136" t="s">
        <v>2090</v>
      </c>
      <c r="H29" s="897"/>
      <c r="I29" s="897"/>
      <c r="J29" s="897"/>
      <c r="K29" s="898"/>
    </row>
    <row r="30" spans="1:33" s="297" customFormat="1" ht="13.5" customHeight="1">
      <c r="A30" s="889" t="s">
        <v>623</v>
      </c>
      <c r="B30" s="912" t="s">
        <v>2091</v>
      </c>
      <c r="C30" s="298">
        <f ca="1">ROUND((C21+C22+C23)*F28,0)</f>
        <v>157</v>
      </c>
      <c r="D30" s="290"/>
      <c r="E30" s="291"/>
      <c r="F30" s="296"/>
      <c r="G30" s="136"/>
      <c r="H30" s="897"/>
      <c r="I30" s="897"/>
      <c r="J30" s="897"/>
      <c r="K30" s="898"/>
    </row>
    <row r="31" spans="1:33" s="893" customFormat="1" ht="13.5" customHeight="1" thickBot="1">
      <c r="A31" s="2002" t="s">
        <v>2092</v>
      </c>
      <c r="B31" s="923" t="s">
        <v>2093</v>
      </c>
      <c r="C31" s="924">
        <f>ROUND(C4*F31/(1+'数据-取费表'!C42),0)</f>
        <v>634</v>
      </c>
      <c r="D31" s="925"/>
      <c r="E31" s="926"/>
      <c r="F31" s="927">
        <f>'数据-取费表'!B41</f>
        <v>5.6000000000000001E-2</v>
      </c>
      <c r="G31" s="928" t="s">
        <v>2094</v>
      </c>
      <c r="H31" s="929"/>
      <c r="I31" s="929"/>
      <c r="J31" s="929"/>
      <c r="K31" s="930"/>
    </row>
    <row r="32" spans="1:33" s="888" customFormat="1" ht="13.5" customHeight="1" thickBot="1">
      <c r="A32" s="918" t="s">
        <v>2095</v>
      </c>
      <c r="B32" s="919"/>
      <c r="C32" s="920">
        <f ca="1">ROUND((C4-C21-C22-C23-C25-C28-C31)/(1+C24+D25+D28),0)</f>
        <v>10016</v>
      </c>
      <c r="D32" s="919"/>
      <c r="E32" s="919"/>
      <c r="F32" s="919"/>
      <c r="G32" s="921" t="s">
        <v>2096</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t="e">
        <f ca="1">C40+J29+L46</f>
        <v>#DIV/0!</v>
      </c>
      <c r="C2" s="1521" t="s">
        <v>1240</v>
      </c>
      <c r="D2" s="1521"/>
      <c r="E2" s="1522"/>
      <c r="F2" s="1523"/>
      <c r="G2" s="2883"/>
      <c r="H2" s="2872"/>
      <c r="I2" s="2872"/>
      <c r="J2" s="2872"/>
      <c r="K2" s="2873"/>
      <c r="L2" s="2872"/>
      <c r="M2" s="2872"/>
    </row>
    <row r="3" spans="1:37" ht="18" customHeight="1" thickBot="1">
      <c r="A3" s="1524" t="s">
        <v>1241</v>
      </c>
      <c r="B3" s="1525">
        <f ca="1">IF(ISERROR(B2*10000/F43),0,ROUND(B2*10000/F43,0))</f>
        <v>0</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0</v>
      </c>
      <c r="D5" s="1498" t="s">
        <v>1126</v>
      </c>
      <c r="E5" s="1184"/>
      <c r="F5" s="1185"/>
      <c r="G5" s="1518"/>
      <c r="H5" s="305">
        <v>1</v>
      </c>
      <c r="I5" s="306" t="s">
        <v>1125</v>
      </c>
      <c r="J5" s="1183">
        <f ca="1">J6+J10+J12</f>
        <v>0</v>
      </c>
      <c r="K5" s="1498" t="s">
        <v>1126</v>
      </c>
      <c r="L5" s="1184"/>
      <c r="M5" s="1185"/>
    </row>
    <row r="6" spans="1:37" ht="18" customHeight="1">
      <c r="A6" s="1182" t="s">
        <v>822</v>
      </c>
      <c r="B6" s="3494" t="s">
        <v>1127</v>
      </c>
      <c r="C6" s="1187">
        <f ca="1">ROUND(F6*F8*F7*(1-F9)/10000,0)</f>
        <v>0</v>
      </c>
      <c r="D6" s="160" t="s">
        <v>2607</v>
      </c>
      <c r="E6" s="308" t="s">
        <v>1129</v>
      </c>
      <c r="F6" s="309">
        <f ca="1">INDIRECT("'数据-取费表'!u"&amp;$G$1)</f>
        <v>0</v>
      </c>
      <c r="G6" s="1518"/>
      <c r="H6" s="1182" t="s">
        <v>822</v>
      </c>
      <c r="I6" s="3494" t="s">
        <v>1127</v>
      </c>
      <c r="J6" s="307">
        <f ca="1">ROUND(M6*M8*M7*(1-M9)/10000,0)</f>
        <v>0</v>
      </c>
      <c r="K6" s="160" t="s">
        <v>2606</v>
      </c>
      <c r="L6" s="308" t="s">
        <v>1129</v>
      </c>
      <c r="M6" s="309">
        <f ca="1">INDIRECT("'数据-取费表'!z"&amp;$G$1)</f>
        <v>0</v>
      </c>
    </row>
    <row r="7" spans="1:37" ht="18" customHeight="1">
      <c r="A7" s="1186"/>
      <c r="B7" s="3495"/>
      <c r="C7" s="1188"/>
      <c r="D7" s="313"/>
      <c r="E7" s="1189" t="s">
        <v>1130</v>
      </c>
      <c r="F7" s="309">
        <f ca="1">IF(INDIRECT("'数据-取费表'!ah"&amp;$G$1)="",INDIRECT("'数据-取费表'!k"&amp;$G$1),INDIRECT("'数据-取费表'!ah"&amp;$G$1))</f>
        <v>0</v>
      </c>
      <c r="G7" s="1518"/>
      <c r="H7" s="310"/>
      <c r="I7" s="3495"/>
      <c r="J7" s="312"/>
      <c r="K7" s="313"/>
      <c r="L7" s="308" t="s">
        <v>1130</v>
      </c>
      <c r="M7" s="309">
        <f ca="1">F7</f>
        <v>0</v>
      </c>
    </row>
    <row r="8" spans="1:37" ht="18" customHeight="1">
      <c r="A8" s="310"/>
      <c r="B8" s="3495"/>
      <c r="C8" s="312"/>
      <c r="D8" s="313"/>
      <c r="E8" s="308" t="s">
        <v>1131</v>
      </c>
      <c r="F8" s="309">
        <f ca="1">INDIRECT("'数据-取费表'!ai"&amp;$G$1)</f>
        <v>0</v>
      </c>
      <c r="G8" s="1518"/>
      <c r="H8" s="310"/>
      <c r="I8" s="3495"/>
      <c r="J8" s="312"/>
      <c r="K8" s="313"/>
      <c r="L8" s="308" t="s">
        <v>1131</v>
      </c>
      <c r="M8" s="309">
        <f ca="1">INDIRECT("'数据-取费表'!ai"&amp;$G$1)</f>
        <v>0</v>
      </c>
    </row>
    <row r="9" spans="1:37" ht="18" customHeight="1">
      <c r="A9" s="310"/>
      <c r="B9" s="3496"/>
      <c r="C9" s="312"/>
      <c r="D9" s="313"/>
      <c r="E9" s="308" t="s">
        <v>1132</v>
      </c>
      <c r="F9" s="318">
        <f ca="1">INDIRECT("'数据-取费表'!w"&amp;$G$1)</f>
        <v>0</v>
      </c>
      <c r="G9" s="1518"/>
      <c r="H9" s="310"/>
      <c r="I9" s="3496"/>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2615</v>
      </c>
      <c r="E10" s="319" t="s">
        <v>1134</v>
      </c>
      <c r="F10" s="1229"/>
      <c r="G10" s="1518"/>
      <c r="H10" s="1182" t="s">
        <v>826</v>
      </c>
      <c r="I10" s="1499" t="s">
        <v>1133</v>
      </c>
      <c r="J10" s="307">
        <f ca="1">ROUND(IF(M10="押一",J6/12*M11,IF(M10="押二",J6/12*2*M11,IF(M10="押三",J6/12*3*M11,J11*M11))),0)</f>
        <v>0</v>
      </c>
      <c r="K10" s="1500" t="s">
        <v>2614</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ROUND(F17*(F43+INDIRECT("'数据-取费表'!S"&amp;$G$1))/10000,0)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IF(K19="按租金收入计税",ROUND(J6*M19/(1+'数据-取费表'!C42),2),ROUND(C29*M19*0.7,2))</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ROUND(M20*M21/10000,2)</f>
        <v>0</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ROUND(J14*M22,1)</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ROUND(J13*M23,1)</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ROUND(J5*M24,1)</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2801</v>
      </c>
      <c r="I31" s="1532"/>
      <c r="J31" s="1533"/>
      <c r="K31" s="2649"/>
      <c r="L31" s="2875"/>
      <c r="M31" s="2876"/>
    </row>
    <row r="32" spans="1:37" ht="18" customHeight="1">
      <c r="A32" s="1094" t="s">
        <v>821</v>
      </c>
      <c r="B32" s="308" t="s">
        <v>1157</v>
      </c>
      <c r="C32" s="24">
        <f ca="1">IF(项目基本情况!B11="自然人","——",ROUND(C6*F32/(1+'数据-取费表'!C42),2))</f>
        <v>0</v>
      </c>
      <c r="D32" s="1478" t="s">
        <v>1158</v>
      </c>
      <c r="E32" s="308" t="s">
        <v>1146</v>
      </c>
      <c r="F32" s="337">
        <f>'数据-取费表'!B41</f>
        <v>5.6000000000000001E-2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IF(项目基本情况!B11="自然人","——",ROUND(F34*F35/10000,2))</f>
        <v>0</v>
      </c>
      <c r="D34" s="330" t="s">
        <v>1166</v>
      </c>
      <c r="E34" s="308" t="s">
        <v>1167</v>
      </c>
      <c r="F34" s="331">
        <f>'数据-取费表'!B52</f>
        <v>12</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ROUND(C29*F36,1)</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ROUND(C13*F37,1)</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ROUND(C40*10000/F43,0)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t="e">
        <f ca="1">C68-C40</f>
        <v>#DIV/0!</v>
      </c>
      <c r="D46" s="1540" t="str">
        <f>C2</f>
        <v>万元</v>
      </c>
      <c r="E46" s="1534"/>
      <c r="F46" s="1534"/>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ROUND(F49*F51*F50*(1-F52)/10000,0)</f>
        <v>0</v>
      </c>
      <c r="D49" s="1167" t="s">
        <v>2608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231"/>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24.75" thickBot="1">
      <c r="A53" s="1267" t="s">
        <v>865</v>
      </c>
      <c r="B53" s="1507" t="s">
        <v>1133</v>
      </c>
      <c r="C53" s="322">
        <f ca="1">ROUND(IF(F53="押一",C49/12*F11,IF(F53="押二",C49/12*2*F11,IF(F53="押三",C49/12*3*F11,C54*F11))),0)</f>
        <v>0</v>
      </c>
      <c r="D53" s="1500" t="s">
        <v>2614</v>
      </c>
      <c r="E53" s="319" t="s">
        <v>1134</v>
      </c>
      <c r="F53" s="1229"/>
      <c r="I53" s="1573" t="s">
        <v>1271</v>
      </c>
      <c r="J53" s="2335">
        <f ca="1">IF(M47="住宅",IF(D1="——",MAX(J51,L48),MAX(J51,L48-'数据-取费表'!B24)),IF(D1="——",MIN(J51,L48),MIN(J51,L48-'数据-取费表'!B24)))</f>
        <v>0</v>
      </c>
      <c r="K53" s="3492" t="s">
        <v>1272</v>
      </c>
      <c r="L53" s="3493"/>
      <c r="O53" s="1552" t="s">
        <v>833</v>
      </c>
      <c r="P53" s="1553" t="s">
        <v>1273</v>
      </c>
      <c r="Q53" s="1554" t="e">
        <f ca="1">Q47+Q48</f>
        <v>#DIV/0!</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0</v>
      </c>
      <c r="D56" s="1581"/>
      <c r="E56" s="1582"/>
      <c r="F56" s="1574"/>
      <c r="I56" s="1583" t="s">
        <v>1278</v>
      </c>
      <c r="J56" s="1584"/>
      <c r="K56" s="1555" t="s">
        <v>1279</v>
      </c>
      <c r="L56" s="1558">
        <f ca="1">IF(L48&lt;J51,"——",L48-J53)</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1281</v>
      </c>
      <c r="L57" s="1558">
        <f ca="1">IF(L48&lt;J51,"——",IF(L55="比较法",L49,IF(L55="基准地价",L50,L51)))</f>
        <v>0</v>
      </c>
      <c r="O57" s="1552" t="s">
        <v>828</v>
      </c>
      <c r="P57" s="1553" t="s">
        <v>1282</v>
      </c>
      <c r="Q57" s="1554" t="e">
        <f ca="1">L60</f>
        <v>#DIV/0!</v>
      </c>
      <c r="R57" s="1554" t="s">
        <v>1283</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0</v>
      </c>
      <c r="D62" s="1077" t="s">
        <v>1221</v>
      </c>
      <c r="E62" s="1062" t="s">
        <v>1222</v>
      </c>
      <c r="F62" s="331">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ROUND(C48*F66,1)</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c r="O70" s="1562" t="s">
        <v>836</v>
      </c>
      <c r="P70" s="1601" t="s">
        <v>1309</v>
      </c>
      <c r="Q70" s="1554">
        <f ca="1">C13</f>
        <v>0</v>
      </c>
      <c r="R70" s="1554" t="s">
        <v>1253</v>
      </c>
    </row>
    <row r="71" spans="1:18" s="1518" customFormat="1" ht="13.5" thickBot="1">
      <c r="A71" s="1083" t="s">
        <v>820</v>
      </c>
      <c r="B71" s="1084" t="s">
        <v>1211</v>
      </c>
      <c r="C71" s="342" t="e">
        <f ca="1">ROUND(C68*10000/F71,0)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9</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3"/>
      <c r="H2" s="2872"/>
      <c r="I2" s="2872"/>
      <c r="J2" s="2872"/>
      <c r="K2" s="2873"/>
      <c r="L2" s="2872"/>
      <c r="M2" s="2872"/>
    </row>
    <row r="3" spans="1:37" ht="18" customHeight="1" thickBot="1">
      <c r="A3" s="1524" t="s">
        <v>1317</v>
      </c>
      <c r="B3" s="1525">
        <f ca="1">IF(ISERROR(D2/F43),0,ROUND(D2/F43,0))</f>
        <v>0</v>
      </c>
      <c r="C3" s="1521" t="s">
        <v>1318</v>
      </c>
      <c r="D3" s="1521"/>
      <c r="E3" s="1522"/>
      <c r="F3" s="1523"/>
      <c r="G3" s="2883"/>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94" t="s">
        <v>1127</v>
      </c>
      <c r="C6" s="1187">
        <f ca="1">ROUND(F6*F8*F7*(1-F9),0)</f>
        <v>0</v>
      </c>
      <c r="D6" s="160" t="s">
        <v>2604</v>
      </c>
      <c r="E6" s="308" t="s">
        <v>1129</v>
      </c>
      <c r="F6" s="309">
        <f ca="1">INDIRECT("'数据-取费表'!u"&amp;$G$1)</f>
        <v>0</v>
      </c>
      <c r="G6" s="1518"/>
      <c r="H6" s="1182" t="s">
        <v>822</v>
      </c>
      <c r="I6" s="3494" t="s">
        <v>1127</v>
      </c>
      <c r="J6" s="307">
        <f ca="1">ROUND(M6*M8*M7*(1-M9),0)</f>
        <v>0</v>
      </c>
      <c r="K6" s="1510" t="s">
        <v>2605</v>
      </c>
      <c r="L6" s="308" t="s">
        <v>1129</v>
      </c>
      <c r="M6" s="309">
        <f ca="1">INDIRECT("'数据-取费表'!z"&amp;$G$1)</f>
        <v>0</v>
      </c>
    </row>
    <row r="7" spans="1:37" ht="18" customHeight="1">
      <c r="A7" s="1186"/>
      <c r="B7" s="3495"/>
      <c r="C7" s="1188"/>
      <c r="D7" s="313"/>
      <c r="E7" s="1189" t="s">
        <v>1130</v>
      </c>
      <c r="F7" s="309">
        <f ca="1">IF(INDIRECT("'数据-取费表'!ah"&amp;$G$1)="",INDIRECT("'数据-取费表'!k"&amp;$G$1),INDIRECT("'数据-取费表'!ah"&amp;$G$1))</f>
        <v>0</v>
      </c>
      <c r="G7" s="1518"/>
      <c r="H7" s="310"/>
      <c r="I7" s="3495"/>
      <c r="J7" s="312"/>
      <c r="K7" s="313"/>
      <c r="L7" s="308" t="s">
        <v>1130</v>
      </c>
      <c r="M7" s="309">
        <f ca="1">F7</f>
        <v>0</v>
      </c>
    </row>
    <row r="8" spans="1:37" ht="18" customHeight="1">
      <c r="A8" s="310"/>
      <c r="B8" s="3495"/>
      <c r="C8" s="312"/>
      <c r="D8" s="313"/>
      <c r="E8" s="308" t="s">
        <v>1131</v>
      </c>
      <c r="F8" s="309">
        <f ca="1">INDIRECT("'数据-取费表'!ai"&amp;$G$1)</f>
        <v>0</v>
      </c>
      <c r="G8" s="1518"/>
      <c r="H8" s="310"/>
      <c r="I8" s="3495"/>
      <c r="J8" s="312"/>
      <c r="K8" s="313"/>
      <c r="L8" s="308" t="s">
        <v>1131</v>
      </c>
      <c r="M8" s="309">
        <f ca="1">INDIRECT("'数据-取费表'!ai"&amp;$G$1)</f>
        <v>0</v>
      </c>
    </row>
    <row r="9" spans="1:37" ht="18" customHeight="1">
      <c r="A9" s="310"/>
      <c r="B9" s="3496"/>
      <c r="C9" s="312"/>
      <c r="D9" s="313"/>
      <c r="E9" s="308" t="s">
        <v>1132</v>
      </c>
      <c r="F9" s="318">
        <f ca="1">INDIRECT("'数据-取费表'!w"&amp;$G$1)</f>
        <v>0</v>
      </c>
      <c r="G9" s="1518"/>
      <c r="H9" s="310"/>
      <c r="I9" s="3496"/>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2614</v>
      </c>
      <c r="E10" s="319" t="s">
        <v>1134</v>
      </c>
      <c r="F10" s="1229"/>
      <c r="G10" s="1518"/>
      <c r="H10" s="1182" t="s">
        <v>826</v>
      </c>
      <c r="I10" s="1499" t="s">
        <v>1133</v>
      </c>
      <c r="J10" s="307">
        <f ca="1">ROUND(IF(M10="押一",J6/12*M11,IF(M10="押二",J6/12*2*M11,IF(M10="押三",J6/12*3*M11,J11*M11))),0)</f>
        <v>0</v>
      </c>
      <c r="K10" s="1511" t="s">
        <v>2616</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12</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2801</v>
      </c>
      <c r="I31" s="1532"/>
      <c r="J31" s="1533"/>
      <c r="K31" s="2649"/>
      <c r="L31" s="2875"/>
      <c r="M31" s="2876"/>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f>
        <v>0</v>
      </c>
      <c r="D34" s="330" t="s">
        <v>1166</v>
      </c>
      <c r="E34" s="308" t="s">
        <v>1167</v>
      </c>
      <c r="F34" s="331">
        <f>'数据-取费表'!B52</f>
        <v>12</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ROUND(C29*F36,0)</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ROUND(C13*F37,0)</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4" t="s">
        <v>865</v>
      </c>
      <c r="B53" s="329" t="s">
        <v>1133</v>
      </c>
      <c r="C53" s="322">
        <f ca="1">ROUND(IF(F53="押一",C49/12*F11,IF(F53="押二",C49/12*2*F11,IF(F53="押三",C49/12*3*F11,C54*F11))),0)</f>
        <v>0</v>
      </c>
      <c r="D53" s="1500" t="s">
        <v>2617</v>
      </c>
      <c r="E53" s="319" t="s">
        <v>1134</v>
      </c>
      <c r="F53" s="1229"/>
      <c r="I53" s="1573" t="s">
        <v>1271</v>
      </c>
      <c r="J53" s="2335">
        <f ca="1">IF(M47="住宅",IF(D1="——",MAX(J51,L48),MAX(J51,L48-'数据-取费表'!B24)),IF(D1="——",MIN(J51,L48),MIN(J51,L48-'数据-取费表'!B24)))</f>
        <v>0</v>
      </c>
      <c r="K53" s="3492" t="s">
        <v>1272</v>
      </c>
      <c r="L53" s="3493"/>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12</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2929</v>
      </c>
      <c r="B1" s="3011"/>
      <c r="C1" s="3023"/>
      <c r="D1" s="3023"/>
      <c r="E1" s="3012"/>
      <c r="F1" s="3013"/>
      <c r="G1" s="3014"/>
      <c r="J1" s="3017" t="s">
        <v>2808</v>
      </c>
      <c r="K1" s="3018"/>
      <c r="L1" s="3018"/>
      <c r="M1" s="3018"/>
      <c r="N1" s="3018"/>
      <c r="O1" s="3018"/>
      <c r="P1" s="3018"/>
      <c r="Q1" s="3018"/>
      <c r="R1" s="3019"/>
      <c r="S1" s="3020"/>
      <c r="T1" s="3020"/>
      <c r="U1" s="3020"/>
    </row>
    <row r="2" spans="1:22" s="3032" customFormat="1" ht="13.15" customHeight="1">
      <c r="A2" s="1519" t="s">
        <v>2809</v>
      </c>
      <c r="B2" s="3022" t="e">
        <f>C40</f>
        <v>#DIV/0!</v>
      </c>
      <c r="C2" s="3023" t="s">
        <v>2810</v>
      </c>
      <c r="D2" s="3023"/>
      <c r="E2" s="3024"/>
      <c r="F2" s="3025"/>
      <c r="G2" s="3026"/>
      <c r="H2" s="3027"/>
      <c r="I2" s="3028"/>
      <c r="J2" s="3497" t="s">
        <v>2811</v>
      </c>
      <c r="K2" s="3498"/>
      <c r="L2" s="3029" t="s">
        <v>2812</v>
      </c>
      <c r="M2" s="3029" t="s">
        <v>2813</v>
      </c>
      <c r="N2" s="3029" t="s">
        <v>2814</v>
      </c>
      <c r="O2" s="3029" t="s">
        <v>2815</v>
      </c>
      <c r="P2" s="3029" t="s">
        <v>2816</v>
      </c>
      <c r="Q2" s="3030" t="s">
        <v>2817</v>
      </c>
      <c r="R2" s="3031" t="s">
        <v>2818</v>
      </c>
      <c r="S2" s="3020"/>
      <c r="T2" s="3020"/>
      <c r="U2" s="3020"/>
      <c r="V2" s="3028"/>
    </row>
    <row r="3" spans="1:22" s="3032" customFormat="1" ht="13.15" customHeight="1">
      <c r="A3" s="3033" t="s">
        <v>2819</v>
      </c>
      <c r="B3" s="3034" t="e">
        <f>ROUND(B2*10000/B4,0)</f>
        <v>#DIV/0!</v>
      </c>
      <c r="C3" s="3023" t="s">
        <v>2820</v>
      </c>
      <c r="D3" s="3023"/>
      <c r="E3" s="3024"/>
      <c r="F3" s="3025"/>
      <c r="G3" s="3026"/>
      <c r="H3" s="3027"/>
      <c r="I3" s="3028"/>
      <c r="J3" s="3499" t="s">
        <v>2821</v>
      </c>
      <c r="K3" s="3500"/>
      <c r="L3" s="3035"/>
      <c r="M3" s="3035"/>
      <c r="N3" s="3035"/>
      <c r="O3" s="3035"/>
      <c r="P3" s="3035"/>
      <c r="Q3" s="3036"/>
      <c r="R3" s="3037">
        <f>SUM(L3:Q3)</f>
        <v>0</v>
      </c>
      <c r="S3" s="3020"/>
      <c r="T3" s="3020"/>
      <c r="U3" s="3020"/>
      <c r="V3" s="3028"/>
    </row>
    <row r="4" spans="1:22" s="3032" customFormat="1" ht="13.15" customHeight="1">
      <c r="A4" s="3038" t="s">
        <v>2822</v>
      </c>
      <c r="B4" s="3039"/>
      <c r="C4" s="3023"/>
      <c r="D4" s="3023"/>
      <c r="E4" s="3024"/>
      <c r="F4" s="3025"/>
      <c r="G4" s="3026"/>
      <c r="H4" s="3027"/>
      <c r="I4" s="3028"/>
      <c r="J4" s="3499" t="s">
        <v>2823</v>
      </c>
      <c r="K4" s="3500"/>
      <c r="L4" s="3040"/>
      <c r="M4" s="3040"/>
      <c r="N4" s="3040"/>
      <c r="O4" s="3040"/>
      <c r="P4" s="3040"/>
      <c r="Q4" s="3041"/>
      <c r="R4" s="3042">
        <f>SUM(L4:Q4)</f>
        <v>0</v>
      </c>
      <c r="S4" s="3020"/>
      <c r="T4" s="3020"/>
      <c r="U4" s="3020"/>
      <c r="V4" s="3028"/>
    </row>
    <row r="5" spans="1:22" s="3032" customFormat="1" ht="13.15" customHeight="1" thickBot="1">
      <c r="A5" s="3043" t="s">
        <v>2824</v>
      </c>
      <c r="B5" s="3044"/>
      <c r="C5" s="3023"/>
      <c r="D5" s="3045"/>
      <c r="E5" s="3025"/>
      <c r="F5" s="3025"/>
      <c r="G5" s="3026"/>
      <c r="H5" s="3027"/>
      <c r="I5" s="3028"/>
      <c r="J5" s="3046" t="s">
        <v>2825</v>
      </c>
      <c r="K5" s="3047"/>
      <c r="L5" s="3047"/>
      <c r="M5" s="3048"/>
      <c r="N5" s="3048"/>
      <c r="O5" s="3048"/>
      <c r="P5" s="3048"/>
      <c r="Q5" s="3048"/>
      <c r="R5" s="3031">
        <f>SUM(R14,R19,R24,R25,R27,R28)</f>
        <v>0</v>
      </c>
      <c r="S5" s="3020"/>
      <c r="T5" s="3020" t="s">
        <v>2826</v>
      </c>
      <c r="U5" s="3020" t="e">
        <f>ROUND(R5*10000/365/R3,1)</f>
        <v>#DIV/0!</v>
      </c>
      <c r="V5" s="3028"/>
    </row>
    <row r="6" spans="1:22" s="3032" customFormat="1" ht="13.15" customHeight="1" thickBot="1">
      <c r="A6" s="3501" t="s">
        <v>2827</v>
      </c>
      <c r="B6" s="3502"/>
      <c r="C6" s="3503"/>
      <c r="D6" s="3049"/>
      <c r="E6" s="3050"/>
      <c r="F6" s="3051"/>
      <c r="G6" s="3052"/>
      <c r="H6" s="3027"/>
      <c r="I6" s="3028"/>
      <c r="J6" s="3504">
        <v>1</v>
      </c>
      <c r="K6" s="3505" t="s">
        <v>2828</v>
      </c>
      <c r="L6" s="3053" t="s">
        <v>2829</v>
      </c>
      <c r="M6" s="3054" t="s">
        <v>2830</v>
      </c>
      <c r="N6" s="3054" t="s">
        <v>2831</v>
      </c>
      <c r="O6" s="3054" t="s">
        <v>2832</v>
      </c>
      <c r="P6" s="3054" t="s">
        <v>2833</v>
      </c>
      <c r="Q6" s="3054" t="s">
        <v>2834</v>
      </c>
      <c r="R6" s="3037" t="s">
        <v>2835</v>
      </c>
      <c r="S6" s="3020"/>
      <c r="T6" s="3020" t="s">
        <v>2836</v>
      </c>
      <c r="U6" s="3020"/>
      <c r="V6" s="3028"/>
    </row>
    <row r="7" spans="1:22" s="3032" customFormat="1" ht="13.15" customHeight="1">
      <c r="A7" s="3055" t="s">
        <v>2837</v>
      </c>
      <c r="B7" s="3056"/>
      <c r="C7" s="3057"/>
      <c r="D7" s="3058">
        <f>SUM(D9,D10,D11,D17,0)</f>
        <v>0</v>
      </c>
      <c r="E7" s="3059" t="e">
        <f>E9+E10+E11+E17</f>
        <v>#DIV/0!</v>
      </c>
      <c r="F7" s="3060"/>
      <c r="G7" s="3061"/>
      <c r="H7" s="3027"/>
      <c r="I7" s="3028"/>
      <c r="J7" s="3504"/>
      <c r="K7" s="3506"/>
      <c r="L7" s="3062" t="s">
        <v>2838</v>
      </c>
      <c r="M7" s="3063"/>
      <c r="N7" s="3039"/>
      <c r="O7" s="3064"/>
      <c r="P7" s="3064"/>
      <c r="Q7" s="3065">
        <v>365</v>
      </c>
      <c r="R7" s="3066">
        <f>ROUND(M7*N7*O7*P7*Q7/10000,0)</f>
        <v>0</v>
      </c>
      <c r="S7" s="3020"/>
      <c r="T7" s="3020" t="s">
        <v>2839</v>
      </c>
      <c r="U7" s="3020"/>
      <c r="V7" s="3028"/>
    </row>
    <row r="8" spans="1:22" s="3032" customFormat="1" ht="13.15" customHeight="1">
      <c r="A8" s="3067" t="s">
        <v>2840</v>
      </c>
      <c r="B8" s="3508" t="s">
        <v>2841</v>
      </c>
      <c r="C8" s="3509"/>
      <c r="D8" s="3068" t="s">
        <v>2842</v>
      </c>
      <c r="E8" s="3069" t="s">
        <v>2843</v>
      </c>
      <c r="F8" s="3070" t="s">
        <v>2844</v>
      </c>
      <c r="G8" s="3071"/>
      <c r="H8" s="3027"/>
      <c r="I8" s="3028"/>
      <c r="J8" s="3504"/>
      <c r="K8" s="3506"/>
      <c r="L8" s="3062" t="s">
        <v>2845</v>
      </c>
      <c r="M8" s="3063"/>
      <c r="N8" s="3039"/>
      <c r="O8" s="3064"/>
      <c r="P8" s="3064"/>
      <c r="Q8" s="3065">
        <v>365</v>
      </c>
      <c r="R8" s="3066">
        <f t="shared" ref="R8:R13" si="0">ROUND(M8*N8*O8*P8*Q8/10000,0)</f>
        <v>0</v>
      </c>
      <c r="S8" s="3020"/>
      <c r="T8" s="3020" t="s">
        <v>2846</v>
      </c>
      <c r="U8" s="3020"/>
      <c r="V8" s="3028"/>
    </row>
    <row r="9" spans="1:22" s="3032" customFormat="1" ht="13.15" customHeight="1">
      <c r="A9" s="3067">
        <v>1</v>
      </c>
      <c r="B9" s="3508" t="s">
        <v>2847</v>
      </c>
      <c r="C9" s="3509"/>
      <c r="D9" s="3068">
        <f>ROUND(D6*E9,0)</f>
        <v>0</v>
      </c>
      <c r="E9" s="3072"/>
      <c r="F9" s="3073" t="s">
        <v>2848</v>
      </c>
      <c r="G9" s="3052"/>
      <c r="H9" s="3027"/>
      <c r="I9" s="3028"/>
      <c r="J9" s="3504"/>
      <c r="K9" s="3506"/>
      <c r="L9" s="3062" t="s">
        <v>2849</v>
      </c>
      <c r="M9" s="3063"/>
      <c r="N9" s="3039"/>
      <c r="O9" s="3064"/>
      <c r="P9" s="3064"/>
      <c r="Q9" s="3065">
        <v>365</v>
      </c>
      <c r="R9" s="3066">
        <f t="shared" si="0"/>
        <v>0</v>
      </c>
      <c r="S9" s="3020"/>
      <c r="T9" s="3020"/>
      <c r="U9" s="3020"/>
      <c r="V9" s="3028"/>
    </row>
    <row r="10" spans="1:22" s="3032" customFormat="1" ht="13.15" customHeight="1">
      <c r="A10" s="3067">
        <v>2</v>
      </c>
      <c r="B10" s="3508" t="s">
        <v>2850</v>
      </c>
      <c r="C10" s="3509"/>
      <c r="D10" s="3068">
        <f>ROUND(D6*E10,0)</f>
        <v>0</v>
      </c>
      <c r="E10" s="3072"/>
      <c r="F10" s="3073" t="s">
        <v>2851</v>
      </c>
      <c r="G10" s="3052"/>
      <c r="H10" s="3027"/>
      <c r="I10" s="3028"/>
      <c r="J10" s="3504"/>
      <c r="K10" s="3506"/>
      <c r="L10" s="3062" t="s">
        <v>2852</v>
      </c>
      <c r="M10" s="3063"/>
      <c r="N10" s="3039"/>
      <c r="O10" s="3064"/>
      <c r="P10" s="3064"/>
      <c r="Q10" s="3065">
        <v>365</v>
      </c>
      <c r="R10" s="3066">
        <f t="shared" si="0"/>
        <v>0</v>
      </c>
      <c r="S10" s="3020"/>
      <c r="T10" s="3020"/>
      <c r="U10" s="3020"/>
      <c r="V10" s="3028"/>
    </row>
    <row r="11" spans="1:22" s="3032" customFormat="1" ht="13.15" customHeight="1">
      <c r="A11" s="3067">
        <v>3</v>
      </c>
      <c r="B11" s="3508" t="s">
        <v>2853</v>
      </c>
      <c r="C11" s="3509"/>
      <c r="D11" s="3068">
        <f>D12+D14+D15+D16</f>
        <v>0</v>
      </c>
      <c r="E11" s="3074" t="e">
        <f>D11/D6</f>
        <v>#DIV/0!</v>
      </c>
      <c r="F11" s="3070"/>
      <c r="G11" s="3071"/>
      <c r="H11" s="3027"/>
      <c r="I11" s="3028"/>
      <c r="J11" s="3504"/>
      <c r="K11" s="3506"/>
      <c r="L11" s="3062" t="s">
        <v>2854</v>
      </c>
      <c r="M11" s="3063"/>
      <c r="N11" s="3039"/>
      <c r="O11" s="3064"/>
      <c r="P11" s="3064"/>
      <c r="Q11" s="3065">
        <v>365</v>
      </c>
      <c r="R11" s="3066">
        <f t="shared" si="0"/>
        <v>0</v>
      </c>
      <c r="S11" s="3020"/>
      <c r="T11" s="3020"/>
      <c r="U11" s="3020"/>
      <c r="V11" s="3028"/>
    </row>
    <row r="12" spans="1:22" s="3032" customFormat="1" ht="13.15" customHeight="1">
      <c r="A12" s="3075" t="s">
        <v>2855</v>
      </c>
      <c r="B12" s="3510" t="s">
        <v>2856</v>
      </c>
      <c r="C12" s="3511"/>
      <c r="D12" s="3076">
        <f>ROUND(D13*1.2%*(1-30%),0)</f>
        <v>0</v>
      </c>
      <c r="E12" s="3077">
        <v>1.2E-2</v>
      </c>
      <c r="F12" s="3070" t="s">
        <v>2857</v>
      </c>
      <c r="G12" s="3071"/>
      <c r="H12" s="3027"/>
      <c r="I12" s="3028"/>
      <c r="J12" s="3504"/>
      <c r="K12" s="3506"/>
      <c r="L12" s="3062" t="s">
        <v>2858</v>
      </c>
      <c r="M12" s="3063"/>
      <c r="N12" s="3039"/>
      <c r="O12" s="3064"/>
      <c r="P12" s="3064"/>
      <c r="Q12" s="3065">
        <v>365</v>
      </c>
      <c r="R12" s="3066">
        <f t="shared" si="0"/>
        <v>0</v>
      </c>
      <c r="S12" s="3020"/>
      <c r="T12" s="3020"/>
      <c r="U12" s="3020"/>
      <c r="V12" s="3028"/>
    </row>
    <row r="13" spans="1:22" s="3032" customFormat="1" ht="13.15" customHeight="1">
      <c r="A13" s="3075"/>
      <c r="B13" s="3078"/>
      <c r="C13" s="3079" t="s">
        <v>2859</v>
      </c>
      <c r="D13" s="3080"/>
      <c r="E13" s="3081"/>
      <c r="F13" s="3070"/>
      <c r="G13" s="3071"/>
      <c r="H13" s="3027"/>
      <c r="I13" s="3028"/>
      <c r="J13" s="3504"/>
      <c r="K13" s="3506"/>
      <c r="L13" s="3062" t="s">
        <v>2860</v>
      </c>
      <c r="M13" s="3063"/>
      <c r="N13" s="3039"/>
      <c r="O13" s="3064"/>
      <c r="P13" s="3064"/>
      <c r="Q13" s="3065">
        <v>365</v>
      </c>
      <c r="R13" s="3066">
        <f t="shared" si="0"/>
        <v>0</v>
      </c>
      <c r="S13" s="3020"/>
      <c r="T13" s="3020"/>
      <c r="U13" s="3020"/>
      <c r="V13" s="3028"/>
    </row>
    <row r="14" spans="1:22" s="3032" customFormat="1" ht="13.15" customHeight="1">
      <c r="A14" s="3075" t="s">
        <v>2861</v>
      </c>
      <c r="B14" s="3510" t="s">
        <v>2862</v>
      </c>
      <c r="C14" s="3511"/>
      <c r="D14" s="3076">
        <f>ROUND(E14*B5/10000,0)</f>
        <v>0</v>
      </c>
      <c r="E14" s="3065"/>
      <c r="F14" s="3070" t="s">
        <v>2863</v>
      </c>
      <c r="G14" s="3071"/>
      <c r="H14" s="3027"/>
      <c r="I14" s="3028"/>
      <c r="J14" s="3504"/>
      <c r="K14" s="3507"/>
      <c r="L14" s="3082" t="s">
        <v>2864</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2865</v>
      </c>
      <c r="B15" s="3510" t="s">
        <v>2866</v>
      </c>
      <c r="C15" s="3511"/>
      <c r="D15" s="3076">
        <f>ROUND(D6*E15,0)</f>
        <v>0</v>
      </c>
      <c r="E15" s="3077">
        <v>5.5E-2</v>
      </c>
      <c r="F15" s="3070" t="s">
        <v>2867</v>
      </c>
      <c r="G15" s="3052"/>
      <c r="H15" s="3027"/>
      <c r="I15" s="3028"/>
      <c r="J15" s="3504">
        <v>2</v>
      </c>
      <c r="K15" s="3505" t="s">
        <v>2868</v>
      </c>
      <c r="L15" s="3062" t="s">
        <v>2869</v>
      </c>
      <c r="M15" s="3063" t="s">
        <v>2870</v>
      </c>
      <c r="N15" s="3063" t="s">
        <v>2871</v>
      </c>
      <c r="O15" s="3064" t="s">
        <v>2872</v>
      </c>
      <c r="P15" s="3064" t="s">
        <v>2834</v>
      </c>
      <c r="Q15" s="3039" t="s">
        <v>2873</v>
      </c>
      <c r="R15" s="3086" t="s">
        <v>2835</v>
      </c>
      <c r="S15" s="3020"/>
      <c r="T15" s="3020"/>
      <c r="U15" s="3020"/>
      <c r="V15" s="3028"/>
    </row>
    <row r="16" spans="1:22" s="3032" customFormat="1" ht="13.15" customHeight="1">
      <c r="A16" s="3075" t="s">
        <v>2874</v>
      </c>
      <c r="B16" s="3510" t="s">
        <v>2875</v>
      </c>
      <c r="C16" s="3511"/>
      <c r="D16" s="3087">
        <f>D6*E16</f>
        <v>0</v>
      </c>
      <c r="E16" s="3088"/>
      <c r="F16" s="3073" t="s">
        <v>2876</v>
      </c>
      <c r="G16" s="3052"/>
      <c r="H16" s="3027"/>
      <c r="I16" s="3028"/>
      <c r="J16" s="3504"/>
      <c r="K16" s="3506"/>
      <c r="L16" s="3062" t="s">
        <v>2877</v>
      </c>
      <c r="M16" s="3063"/>
      <c r="N16" s="3063"/>
      <c r="O16" s="3064"/>
      <c r="P16" s="3065">
        <v>365</v>
      </c>
      <c r="Q16" s="3039"/>
      <c r="R16" s="3086">
        <f>ROUND(M16*N16*O16*P16/10000,0)</f>
        <v>0</v>
      </c>
      <c r="S16" s="3020"/>
      <c r="T16" s="3020"/>
      <c r="U16" s="3020"/>
      <c r="V16" s="3028"/>
    </row>
    <row r="17" spans="1:22" s="3032" customFormat="1" ht="13.15" customHeight="1" thickBot="1">
      <c r="A17" s="3089">
        <v>4</v>
      </c>
      <c r="B17" s="3512" t="s">
        <v>2878</v>
      </c>
      <c r="C17" s="3513"/>
      <c r="D17" s="3090">
        <f>ROUND(D6*E17,0)</f>
        <v>0</v>
      </c>
      <c r="E17" s="3091"/>
      <c r="F17" s="3092" t="s">
        <v>2879</v>
      </c>
      <c r="G17" s="3052"/>
      <c r="H17" s="3027"/>
      <c r="I17" s="3028"/>
      <c r="J17" s="3504"/>
      <c r="K17" s="3506"/>
      <c r="L17" s="3062" t="s">
        <v>2880</v>
      </c>
      <c r="M17" s="3063"/>
      <c r="N17" s="3063"/>
      <c r="O17" s="3064"/>
      <c r="P17" s="3065">
        <v>365</v>
      </c>
      <c r="Q17" s="3039"/>
      <c r="R17" s="3086">
        <f>ROUND(M17*N17*O17*P17/10000,0)</f>
        <v>0</v>
      </c>
      <c r="S17" s="3020"/>
      <c r="T17" s="3020"/>
      <c r="U17" s="3020"/>
      <c r="V17" s="3028"/>
    </row>
    <row r="18" spans="1:22" s="3032" customFormat="1" ht="13.15" customHeight="1" thickBot="1">
      <c r="A18" s="3055" t="s">
        <v>2881</v>
      </c>
      <c r="B18" s="3056"/>
      <c r="C18" s="3056"/>
      <c r="D18" s="3093">
        <f>ROUND(D6*E18,0)</f>
        <v>0</v>
      </c>
      <c r="E18" s="3094"/>
      <c r="F18" s="3095" t="s">
        <v>2882</v>
      </c>
      <c r="G18" s="3052"/>
      <c r="H18" s="3027"/>
      <c r="I18" s="3028"/>
      <c r="J18" s="3504"/>
      <c r="K18" s="3506"/>
      <c r="L18" s="3062" t="s">
        <v>2883</v>
      </c>
      <c r="M18" s="3063"/>
      <c r="N18" s="3063"/>
      <c r="O18" s="3064"/>
      <c r="P18" s="3065">
        <v>365</v>
      </c>
      <c r="Q18" s="3039"/>
      <c r="R18" s="3086">
        <f>ROUND(M18*N18*O18*P18/10000,0)</f>
        <v>0</v>
      </c>
      <c r="S18" s="3020"/>
      <c r="T18" s="3020"/>
      <c r="U18" s="3020"/>
      <c r="V18" s="3028"/>
    </row>
    <row r="19" spans="1:22" s="3032" customFormat="1" ht="13.15" customHeight="1" thickBot="1">
      <c r="A19" s="3096" t="s">
        <v>2884</v>
      </c>
      <c r="B19" s="3050"/>
      <c r="C19" s="3050"/>
      <c r="D19" s="3050"/>
      <c r="E19" s="3050"/>
      <c r="F19" s="3051"/>
      <c r="G19" s="3071"/>
      <c r="H19" s="3027"/>
      <c r="I19" s="3028"/>
      <c r="J19" s="3504"/>
      <c r="K19" s="3507"/>
      <c r="L19" s="3082" t="s">
        <v>2864</v>
      </c>
      <c r="M19" s="3083"/>
      <c r="N19" s="3083">
        <f>SUM(N16:N18)</f>
        <v>0</v>
      </c>
      <c r="O19" s="3084"/>
      <c r="P19" s="3097" t="s">
        <v>2928</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504">
        <v>3</v>
      </c>
      <c r="K20" s="3505" t="s">
        <v>2885</v>
      </c>
      <c r="L20" s="3062" t="s">
        <v>2886</v>
      </c>
      <c r="M20" s="3063" t="s">
        <v>2887</v>
      </c>
      <c r="N20" s="3100" t="s">
        <v>2888</v>
      </c>
      <c r="O20" s="3064" t="s">
        <v>2889</v>
      </c>
      <c r="P20" s="3065" t="s">
        <v>2890</v>
      </c>
      <c r="Q20" s="3039" t="s">
        <v>2891</v>
      </c>
      <c r="R20" s="3086" t="s">
        <v>2892</v>
      </c>
      <c r="S20" s="3101"/>
      <c r="T20" s="3101"/>
      <c r="U20" s="3101"/>
      <c r="V20" s="3028"/>
    </row>
    <row r="21" spans="1:22" s="3032" customFormat="1" ht="13.15" customHeight="1">
      <c r="A21" s="3055"/>
      <c r="B21" s="3056"/>
      <c r="C21" s="3102" t="s">
        <v>2893</v>
      </c>
      <c r="D21" s="3103" t="s">
        <v>2894</v>
      </c>
      <c r="E21" s="3104" t="s">
        <v>2895</v>
      </c>
      <c r="F21" s="3099"/>
      <c r="G21" s="3071"/>
      <c r="H21" s="3027"/>
      <c r="I21" s="3028"/>
      <c r="J21" s="3504"/>
      <c r="K21" s="3506"/>
      <c r="L21" s="3062" t="s">
        <v>2896</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2897</v>
      </c>
      <c r="D22" s="3107" t="s">
        <v>2898</v>
      </c>
      <c r="E22" s="3108" t="s">
        <v>2899</v>
      </c>
      <c r="F22" s="3099"/>
      <c r="G22" s="3109"/>
      <c r="H22" s="3027"/>
      <c r="I22" s="3028"/>
      <c r="J22" s="3504"/>
      <c r="K22" s="3506"/>
      <c r="L22" s="3062" t="s">
        <v>2900</v>
      </c>
      <c r="M22" s="3063"/>
      <c r="N22" s="3063"/>
      <c r="O22" s="3064"/>
      <c r="P22" s="3065">
        <v>365</v>
      </c>
      <c r="Q22" s="3039"/>
      <c r="R22" s="3105">
        <f>ROUND(M22*N22*O22*P22/10000,0)</f>
        <v>0</v>
      </c>
      <c r="S22" s="3101"/>
      <c r="T22" s="3101"/>
      <c r="U22" s="3101"/>
      <c r="V22" s="3028"/>
    </row>
    <row r="23" spans="1:22" s="3032" customFormat="1" ht="13.15" customHeight="1">
      <c r="A23" s="3110">
        <v>1</v>
      </c>
      <c r="B23" s="3111" t="s">
        <v>2901</v>
      </c>
      <c r="C23" s="3112">
        <f>D6</f>
        <v>0</v>
      </c>
      <c r="D23" s="3113">
        <f>C23*(1+D24)</f>
        <v>0</v>
      </c>
      <c r="E23" s="3114">
        <f>D23*(1+E24)</f>
        <v>0</v>
      </c>
      <c r="F23" s="3115"/>
      <c r="G23" s="3116"/>
      <c r="H23" s="3027"/>
      <c r="I23" s="3028"/>
      <c r="J23" s="3504"/>
      <c r="K23" s="3506"/>
      <c r="L23" s="3062" t="s">
        <v>2902</v>
      </c>
      <c r="M23" s="3063"/>
      <c r="N23" s="3063"/>
      <c r="O23" s="3064"/>
      <c r="P23" s="3065">
        <v>365</v>
      </c>
      <c r="Q23" s="3039"/>
      <c r="R23" s="3105">
        <f>ROUND(M23*N23*O23*P23/10000,0)</f>
        <v>0</v>
      </c>
      <c r="S23" s="3020"/>
      <c r="T23" s="3020"/>
      <c r="U23" s="3020"/>
      <c r="V23" s="3028"/>
    </row>
    <row r="24" spans="1:22" s="3032" customFormat="1" ht="13.15" customHeight="1">
      <c r="A24" s="3117"/>
      <c r="B24" s="3118" t="s">
        <v>2903</v>
      </c>
      <c r="C24" s="3119"/>
      <c r="D24" s="3120"/>
      <c r="E24" s="3121"/>
      <c r="F24" s="3122"/>
      <c r="G24" s="3116"/>
      <c r="H24" s="3027"/>
      <c r="I24" s="3028"/>
      <c r="J24" s="3504"/>
      <c r="K24" s="3507"/>
      <c r="L24" s="3082" t="s">
        <v>2864</v>
      </c>
      <c r="M24" s="3083">
        <f>SUM(M21:M23)</f>
        <v>0</v>
      </c>
      <c r="N24" s="3083"/>
      <c r="O24" s="3084"/>
      <c r="P24" s="3097" t="s">
        <v>2928</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2904</v>
      </c>
      <c r="L25" s="3125"/>
      <c r="M25" s="3125"/>
      <c r="N25" s="3125"/>
      <c r="O25" s="3125"/>
      <c r="P25" s="3126"/>
      <c r="Q25" s="3127">
        <v>0</v>
      </c>
      <c r="R25" s="3098">
        <f>ROUND(R14*Q25,0)</f>
        <v>0</v>
      </c>
      <c r="S25" s="3020"/>
      <c r="T25" s="3020"/>
      <c r="U25" s="3020"/>
      <c r="V25" s="3128"/>
    </row>
    <row r="26" spans="1:22" s="3129" customFormat="1" ht="13.15" customHeight="1">
      <c r="A26" s="3110">
        <v>2</v>
      </c>
      <c r="B26" s="3111" t="s">
        <v>2905</v>
      </c>
      <c r="C26" s="3112">
        <f>D7</f>
        <v>0</v>
      </c>
      <c r="D26" s="3113">
        <f>D23*D27</f>
        <v>0</v>
      </c>
      <c r="E26" s="3114">
        <f>E23*E27</f>
        <v>0</v>
      </c>
      <c r="F26" s="3115"/>
      <c r="G26" s="3116"/>
      <c r="H26" s="3027"/>
      <c r="I26" s="3028"/>
      <c r="J26" s="3514">
        <v>5</v>
      </c>
      <c r="K26" s="3130" t="s">
        <v>2906</v>
      </c>
      <c r="L26" s="3131"/>
      <c r="M26" s="3132"/>
      <c r="N26" s="3133" t="s">
        <v>2907</v>
      </c>
      <c r="O26" s="3133" t="s">
        <v>2908</v>
      </c>
      <c r="P26" s="3134" t="s">
        <v>2909</v>
      </c>
      <c r="Q26" s="3134" t="s">
        <v>2910</v>
      </c>
      <c r="R26" s="3037" t="s">
        <v>2835</v>
      </c>
      <c r="S26" s="3135"/>
      <c r="T26" s="3135"/>
      <c r="U26" s="3135"/>
      <c r="V26" s="3128"/>
    </row>
    <row r="27" spans="1:22" s="3032" customFormat="1" ht="13.15" customHeight="1">
      <c r="A27" s="3117"/>
      <c r="B27" s="3118" t="s">
        <v>2911</v>
      </c>
      <c r="C27" s="3136" t="e">
        <f>E7</f>
        <v>#DIV/0!</v>
      </c>
      <c r="D27" s="3120"/>
      <c r="E27" s="3121"/>
      <c r="F27" s="3122"/>
      <c r="G27" s="3116"/>
      <c r="H27" s="3137"/>
      <c r="I27" s="3128"/>
      <c r="J27" s="3515"/>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2912</v>
      </c>
      <c r="F28" s="3122"/>
      <c r="G28" s="3109"/>
      <c r="H28" s="3137"/>
      <c r="I28" s="3128"/>
      <c r="J28" s="3143">
        <v>6</v>
      </c>
      <c r="K28" s="3144" t="s">
        <v>2913</v>
      </c>
      <c r="L28" s="3145" t="s">
        <v>2914</v>
      </c>
      <c r="M28" s="3146"/>
      <c r="N28" s="3145" t="s">
        <v>2915</v>
      </c>
      <c r="O28" s="3147"/>
      <c r="P28" s="3145" t="s">
        <v>2916</v>
      </c>
      <c r="Q28" s="3148">
        <v>1.4999999999999999E-2</v>
      </c>
      <c r="R28" s="3149"/>
      <c r="S28" s="3101"/>
      <c r="T28" s="3101"/>
      <c r="U28" s="3101"/>
      <c r="V28" s="3128"/>
    </row>
    <row r="29" spans="1:22" s="3129" customFormat="1" ht="13.15" customHeight="1">
      <c r="A29" s="3110">
        <v>3</v>
      </c>
      <c r="B29" s="3111" t="s">
        <v>2917</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2911</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2918</v>
      </c>
      <c r="K31" s="3018"/>
      <c r="L31" s="3018"/>
      <c r="M31" s="3018"/>
      <c r="N31" s="3018"/>
      <c r="O31" s="3018"/>
      <c r="P31" s="3018"/>
      <c r="Q31" s="3018"/>
      <c r="R31" s="3019"/>
      <c r="S31" s="3101"/>
      <c r="T31" s="3020"/>
      <c r="U31" s="3020"/>
      <c r="V31" s="3128"/>
    </row>
    <row r="32" spans="1:22" s="3129" customFormat="1" ht="13.15" customHeight="1">
      <c r="A32" s="3110">
        <v>4</v>
      </c>
      <c r="B32" s="3111" t="s">
        <v>2919</v>
      </c>
      <c r="C32" s="3112">
        <f>C23-C26-C29</f>
        <v>0</v>
      </c>
      <c r="D32" s="3113">
        <f>D23-D26-D29</f>
        <v>0</v>
      </c>
      <c r="E32" s="3114">
        <f>E23-E26-E29</f>
        <v>0</v>
      </c>
      <c r="F32" s="3115"/>
      <c r="G32" s="3109"/>
      <c r="H32" s="3027"/>
      <c r="I32" s="3028"/>
      <c r="J32" s="3497" t="s">
        <v>2811</v>
      </c>
      <c r="K32" s="3498"/>
      <c r="L32" s="3029" t="s">
        <v>2812</v>
      </c>
      <c r="M32" s="3029" t="s">
        <v>2813</v>
      </c>
      <c r="N32" s="3029" t="s">
        <v>2814</v>
      </c>
      <c r="O32" s="3029" t="s">
        <v>2815</v>
      </c>
      <c r="P32" s="3029" t="s">
        <v>2816</v>
      </c>
      <c r="Q32" s="3030" t="s">
        <v>2817</v>
      </c>
      <c r="R32" s="3152" t="s">
        <v>2818</v>
      </c>
      <c r="S32" s="3101"/>
      <c r="T32" s="3020"/>
      <c r="U32" s="3020"/>
      <c r="V32" s="3128"/>
    </row>
    <row r="33" spans="1:23" s="3032" customFormat="1" ht="13.15" customHeight="1">
      <c r="A33" s="3110"/>
      <c r="B33" s="3111"/>
      <c r="C33" s="3112"/>
      <c r="D33" s="3153"/>
      <c r="E33" s="3154"/>
      <c r="F33" s="3115"/>
      <c r="G33" s="3109"/>
      <c r="H33" s="3137"/>
      <c r="I33" s="3128"/>
      <c r="J33" s="3499" t="s">
        <v>2821</v>
      </c>
      <c r="K33" s="3500"/>
      <c r="L33" s="3035"/>
      <c r="M33" s="3035"/>
      <c r="N33" s="3035"/>
      <c r="O33" s="3035"/>
      <c r="P33" s="3035"/>
      <c r="Q33" s="3036"/>
      <c r="R33" s="3155">
        <f>SUM(L33:Q33)</f>
        <v>0</v>
      </c>
      <c r="S33" s="3101"/>
      <c r="T33" s="3020"/>
      <c r="U33" s="3020"/>
      <c r="V33" s="3028"/>
    </row>
    <row r="34" spans="1:23" s="3032" customFormat="1" ht="13.15" customHeight="1">
      <c r="A34" s="3110">
        <v>5</v>
      </c>
      <c r="B34" s="3111" t="s">
        <v>2920</v>
      </c>
      <c r="C34" s="3156"/>
      <c r="D34" s="3157"/>
      <c r="E34" s="3158"/>
      <c r="F34" s="3115"/>
      <c r="G34" s="3109"/>
      <c r="H34" s="3137"/>
      <c r="I34" s="3128"/>
      <c r="J34" s="3499" t="s">
        <v>2823</v>
      </c>
      <c r="K34" s="3500"/>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2921</v>
      </c>
      <c r="C35" s="3160"/>
      <c r="D35" s="3161"/>
      <c r="E35" s="3162"/>
      <c r="F35" s="3115"/>
      <c r="G35" s="3163"/>
      <c r="H35" s="3027"/>
      <c r="I35" s="3128"/>
      <c r="J35" s="3046" t="s">
        <v>2825</v>
      </c>
      <c r="K35" s="3047"/>
      <c r="L35" s="3047"/>
      <c r="M35" s="3048"/>
      <c r="N35" s="3048"/>
      <c r="O35" s="3048"/>
      <c r="P35" s="3048"/>
      <c r="Q35" s="3048"/>
      <c r="R35" s="3164">
        <f>R40+R41+R43</f>
        <v>0</v>
      </c>
      <c r="S35" s="3101"/>
      <c r="T35" s="3020" t="s">
        <v>2826</v>
      </c>
      <c r="U35" s="3020"/>
      <c r="V35" s="3028"/>
    </row>
    <row r="36" spans="1:23" s="3032" customFormat="1" ht="13.15" customHeight="1" thickBot="1">
      <c r="A36" s="3110">
        <v>7</v>
      </c>
      <c r="B36" s="3165" t="s">
        <v>2922</v>
      </c>
      <c r="C36" s="3166"/>
      <c r="D36" s="3167"/>
      <c r="E36" s="3168"/>
      <c r="F36" s="3169">
        <f>C36+D36+E36</f>
        <v>0</v>
      </c>
      <c r="G36" s="3109"/>
      <c r="H36" s="3027"/>
      <c r="I36" s="3028"/>
      <c r="J36" s="3504">
        <v>1</v>
      </c>
      <c r="K36" s="3505" t="s">
        <v>2923</v>
      </c>
      <c r="L36" s="3053"/>
      <c r="M36" s="3054"/>
      <c r="N36" s="3054"/>
      <c r="O36" s="3054"/>
      <c r="P36" s="3054"/>
      <c r="Q36" s="3054"/>
      <c r="R36" s="3037" t="s">
        <v>2835</v>
      </c>
      <c r="S36" s="3101"/>
      <c r="T36" s="3020" t="s">
        <v>2836</v>
      </c>
      <c r="U36" s="3020"/>
      <c r="V36" s="3028"/>
    </row>
    <row r="37" spans="1:23" s="3032" customFormat="1" ht="13.15" customHeight="1">
      <c r="A37" s="3110"/>
      <c r="B37" s="3111"/>
      <c r="C37" s="3111"/>
      <c r="D37" s="3111"/>
      <c r="E37" s="3111"/>
      <c r="F37" s="3115"/>
      <c r="G37" s="3109"/>
      <c r="H37" s="3027"/>
      <c r="I37" s="3028"/>
      <c r="J37" s="3504"/>
      <c r="K37" s="3506"/>
      <c r="L37" s="3062"/>
      <c r="M37" s="3063"/>
      <c r="N37" s="3039"/>
      <c r="O37" s="3064"/>
      <c r="P37" s="3064"/>
      <c r="Q37" s="3065"/>
      <c r="R37" s="3066"/>
      <c r="S37" s="3101"/>
      <c r="T37" s="3020" t="s">
        <v>2839</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504"/>
      <c r="K38" s="3506"/>
      <c r="L38" s="3062"/>
      <c r="M38" s="3063"/>
      <c r="N38" s="3039"/>
      <c r="O38" s="3064"/>
      <c r="P38" s="3064"/>
      <c r="Q38" s="3065"/>
      <c r="R38" s="3066"/>
      <c r="S38" s="3101"/>
      <c r="T38" s="3020" t="s">
        <v>2846</v>
      </c>
      <c r="U38" s="3020"/>
      <c r="V38" s="3028"/>
    </row>
    <row r="39" spans="1:23" s="3032" customFormat="1" ht="13.15" customHeight="1">
      <c r="A39" s="3110">
        <v>9</v>
      </c>
      <c r="B39" s="3111" t="s">
        <v>2924</v>
      </c>
      <c r="C39" s="3076" t="e">
        <f>C38</f>
        <v>#DIV/0!</v>
      </c>
      <c r="D39" s="3111">
        <f>D38/(1+D34)^C36</f>
        <v>0</v>
      </c>
      <c r="E39" s="3111">
        <f>E38/(1+E34)^(C36+D36)</f>
        <v>0</v>
      </c>
      <c r="F39" s="3115"/>
      <c r="G39" s="3170"/>
      <c r="H39" s="3027"/>
      <c r="I39" s="3028"/>
      <c r="J39" s="3504"/>
      <c r="K39" s="3506"/>
      <c r="L39" s="3062"/>
      <c r="M39" s="3063"/>
      <c r="N39" s="3039"/>
      <c r="O39" s="3064"/>
      <c r="P39" s="3064"/>
      <c r="Q39" s="3065"/>
      <c r="R39" s="3066"/>
      <c r="S39" s="3101"/>
      <c r="T39" s="3020"/>
      <c r="U39" s="3020"/>
      <c r="V39" s="3028"/>
    </row>
    <row r="40" spans="1:23" s="3032" customFormat="1" ht="13.15" customHeight="1">
      <c r="A40" s="3171">
        <v>10</v>
      </c>
      <c r="B40" s="3111" t="s">
        <v>2925</v>
      </c>
      <c r="C40" s="3172" t="e">
        <f>C39+D39+E39</f>
        <v>#DIV/0!</v>
      </c>
      <c r="D40" s="3173"/>
      <c r="E40" s="3173"/>
      <c r="F40" s="3174"/>
      <c r="G40" s="3109"/>
      <c r="H40" s="3027"/>
      <c r="I40" s="3028"/>
      <c r="J40" s="3504"/>
      <c r="K40" s="3507"/>
      <c r="L40" s="3082" t="s">
        <v>2864</v>
      </c>
      <c r="M40" s="3083"/>
      <c r="N40" s="3083"/>
      <c r="O40" s="3084"/>
      <c r="P40" s="3084"/>
      <c r="Q40" s="3085"/>
      <c r="R40" s="3031">
        <f>SUM(R37:R39)</f>
        <v>0</v>
      </c>
      <c r="S40" s="3101"/>
      <c r="T40" s="3020"/>
      <c r="U40" s="3020"/>
      <c r="V40" s="3028"/>
    </row>
    <row r="41" spans="1:23" s="3032" customFormat="1" ht="13.15" customHeight="1" thickBot="1">
      <c r="A41" s="3175">
        <v>11</v>
      </c>
      <c r="B41" s="3176" t="s">
        <v>2926</v>
      </c>
      <c r="C41" s="3176" t="e">
        <f>ROUND(C40*10000/B4,0)</f>
        <v>#DIV/0!</v>
      </c>
      <c r="D41" s="3177"/>
      <c r="E41" s="3177"/>
      <c r="F41" s="3178"/>
      <c r="G41" s="3179"/>
      <c r="H41" s="3027"/>
      <c r="I41" s="3028"/>
      <c r="J41" s="3123">
        <v>2</v>
      </c>
      <c r="K41" s="3124" t="s">
        <v>2904</v>
      </c>
      <c r="L41" s="3125"/>
      <c r="M41" s="3125"/>
      <c r="N41" s="3125"/>
      <c r="O41" s="3125"/>
      <c r="P41" s="3126"/>
      <c r="Q41" s="3127"/>
      <c r="R41" s="3098">
        <f>ROUND(R40*Q41,0)</f>
        <v>0</v>
      </c>
      <c r="S41" s="3101"/>
      <c r="T41" s="3020"/>
      <c r="U41" s="3135"/>
      <c r="V41" s="3028"/>
    </row>
    <row r="42" spans="1:23" s="3032" customFormat="1" ht="13.15" customHeight="1">
      <c r="G42" s="3179"/>
      <c r="H42" s="3027"/>
      <c r="I42" s="3028"/>
      <c r="J42" s="3514">
        <v>3</v>
      </c>
      <c r="K42" s="3130" t="s">
        <v>2906</v>
      </c>
      <c r="L42" s="3131"/>
      <c r="M42" s="3132"/>
      <c r="N42" s="3133" t="s">
        <v>2907</v>
      </c>
      <c r="O42" s="3133" t="s">
        <v>2908</v>
      </c>
      <c r="P42" s="3134" t="s">
        <v>2909</v>
      </c>
      <c r="Q42" s="3134" t="s">
        <v>2910</v>
      </c>
      <c r="R42" s="3037" t="s">
        <v>2835</v>
      </c>
      <c r="S42" s="3135"/>
      <c r="T42" s="3135"/>
      <c r="U42" s="3020"/>
      <c r="V42" s="3028"/>
    </row>
    <row r="43" spans="1:23" ht="13.15" customHeight="1">
      <c r="A43" s="3032"/>
      <c r="B43" s="3032"/>
      <c r="C43" s="3032"/>
      <c r="D43" s="3032"/>
      <c r="E43" s="3032"/>
      <c r="F43" s="3032"/>
      <c r="I43" s="3015"/>
      <c r="J43" s="3515"/>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2913</v>
      </c>
      <c r="L44" s="3183" t="s">
        <v>2914</v>
      </c>
      <c r="M44" s="3146"/>
      <c r="N44" s="3183" t="s">
        <v>2915</v>
      </c>
      <c r="O44" s="3146"/>
      <c r="P44" s="3183" t="s">
        <v>2916</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2104</v>
      </c>
      <c r="B1" s="2004"/>
      <c r="C1" s="2004"/>
      <c r="D1" s="2004"/>
      <c r="E1" s="2005"/>
      <c r="F1" s="2884"/>
      <c r="G1" s="1624"/>
      <c r="H1" s="1624"/>
      <c r="I1" s="1624"/>
      <c r="J1" s="1624"/>
      <c r="K1" s="1624"/>
      <c r="L1" s="1624"/>
      <c r="M1" s="1624"/>
      <c r="N1" s="1624"/>
      <c r="O1" s="1624"/>
      <c r="P1" s="1624"/>
      <c r="Q1" s="1624"/>
      <c r="R1" s="1624"/>
      <c r="S1" s="1624"/>
    </row>
    <row r="2" spans="1:22" ht="15.75">
      <c r="A2" s="2006" t="s">
        <v>1908</v>
      </c>
      <c r="B2" s="2007">
        <f ca="1">SUMIF(B6:B13,"&lt;&gt;#ref!",B6:B13)</f>
        <v>0</v>
      </c>
      <c r="C2" s="2008" t="s">
        <v>2097</v>
      </c>
      <c r="D2" s="2009" t="s">
        <v>2098</v>
      </c>
      <c r="E2" s="2781">
        <f>SUM(E6:E13)</f>
        <v>0</v>
      </c>
      <c r="F2" s="2884"/>
      <c r="G2" s="1624"/>
      <c r="H2" s="1624"/>
      <c r="I2" s="1624"/>
      <c r="J2" s="1624"/>
      <c r="K2" s="1624"/>
      <c r="L2" s="1624"/>
      <c r="M2" s="1624"/>
      <c r="N2" s="1624"/>
      <c r="O2" s="1624"/>
      <c r="P2" s="1624"/>
      <c r="Q2" s="1624"/>
      <c r="R2" s="1624"/>
      <c r="S2" s="1624"/>
    </row>
    <row r="3" spans="1:22" ht="15.75">
      <c r="A3" s="2006" t="s">
        <v>1119</v>
      </c>
      <c r="B3" s="2775" t="e">
        <f ca="1">ROUND(B2*10000/E2,0)</f>
        <v>#DIV/0!</v>
      </c>
      <c r="C3" s="2008" t="s">
        <v>2105</v>
      </c>
      <c r="D3" s="2886"/>
      <c r="E3" s="2888"/>
      <c r="F3" s="2884"/>
      <c r="G3" s="1624"/>
      <c r="H3" s="1624"/>
      <c r="I3" s="1624"/>
      <c r="J3" s="1624"/>
      <c r="K3" s="1624"/>
      <c r="L3" s="1624"/>
      <c r="M3" s="1624"/>
      <c r="N3" s="1624"/>
      <c r="O3" s="1624"/>
      <c r="P3" s="1624"/>
      <c r="Q3" s="1624"/>
      <c r="R3" s="1624"/>
      <c r="S3" s="1624"/>
    </row>
    <row r="4" spans="1:22" ht="15.75">
      <c r="A4" s="2889"/>
      <c r="B4" s="2886"/>
      <c r="C4" s="2886"/>
      <c r="D4" s="2886"/>
      <c r="E4" s="2888"/>
      <c r="F4" s="2884"/>
      <c r="G4" s="1624"/>
      <c r="H4" s="1624"/>
      <c r="I4" s="1624"/>
      <c r="J4" s="1624"/>
      <c r="K4" s="1624"/>
      <c r="L4" s="1624"/>
      <c r="M4" s="1624"/>
      <c r="N4" s="1624"/>
      <c r="O4" s="1624"/>
      <c r="P4" s="1624"/>
      <c r="Q4" s="1624"/>
      <c r="R4" s="1624"/>
      <c r="S4" s="1624"/>
    </row>
    <row r="5" spans="1:22" ht="15">
      <c r="A5" s="2777" t="s">
        <v>2099</v>
      </c>
      <c r="B5" s="3516" t="s">
        <v>2100</v>
      </c>
      <c r="C5" s="3517"/>
      <c r="D5" s="2885"/>
      <c r="E5" s="2010" t="s">
        <v>2101</v>
      </c>
      <c r="F5" s="2011" t="s">
        <v>2102</v>
      </c>
      <c r="G5" s="1624"/>
      <c r="H5" s="1624"/>
      <c r="I5" s="1624"/>
      <c r="J5" s="1624"/>
      <c r="K5" s="1624"/>
      <c r="L5" s="1624"/>
      <c r="M5" s="1624"/>
      <c r="N5" s="1624"/>
      <c r="O5" s="1624"/>
      <c r="P5" s="1624"/>
      <c r="Q5" s="1624"/>
      <c r="R5" s="1624"/>
      <c r="S5" s="1624"/>
    </row>
    <row r="6" spans="1:22">
      <c r="A6" s="2778">
        <f>'数据-取费表'!AN6</f>
        <v>0</v>
      </c>
      <c r="B6" s="2776" t="e">
        <f ca="1">IF(F6="是",'数据-取费表'!AO6,0)</f>
        <v>#REF!</v>
      </c>
      <c r="C6" s="2008" t="s">
        <v>2097</v>
      </c>
      <c r="D6" s="2886"/>
      <c r="E6" s="2780">
        <f>IF(OR(A6=0,F6="否"),0,'数据-取费表'!K6+'数据-取费表'!S6)</f>
        <v>0</v>
      </c>
      <c r="F6" s="2012" t="s">
        <v>2103</v>
      </c>
      <c r="G6" s="1624"/>
      <c r="H6" s="1624"/>
      <c r="I6" s="1624"/>
      <c r="J6" s="1624"/>
      <c r="K6" s="1624"/>
      <c r="L6" s="1624"/>
      <c r="M6" s="1624"/>
      <c r="N6" s="1624"/>
      <c r="O6" s="1624"/>
      <c r="P6" s="1624"/>
      <c r="Q6" s="1624"/>
      <c r="R6" s="1624"/>
      <c r="S6" s="1624"/>
    </row>
    <row r="7" spans="1:22">
      <c r="A7" s="2778">
        <f>'数据-取费表'!AN7</f>
        <v>0</v>
      </c>
      <c r="B7" s="2776" t="e">
        <f ca="1">IF(F7="是",'数据-取费表'!AO7,0)</f>
        <v>#REF!</v>
      </c>
      <c r="C7" s="2008" t="s">
        <v>2097</v>
      </c>
      <c r="D7" s="2886"/>
      <c r="E7" s="2780">
        <f>IF(OR(A7=0,F7="否"),0,'数据-取费表'!K7+'数据-取费表'!S7)</f>
        <v>0</v>
      </c>
      <c r="F7" s="2012" t="s">
        <v>2103</v>
      </c>
      <c r="G7" s="1624"/>
      <c r="H7" s="1624"/>
      <c r="I7" s="1624"/>
      <c r="J7" s="1624"/>
      <c r="K7" s="1624"/>
      <c r="L7" s="1624"/>
      <c r="M7" s="1624"/>
      <c r="N7" s="1624"/>
      <c r="O7" s="1624"/>
      <c r="P7" s="1624"/>
      <c r="Q7" s="1624"/>
      <c r="R7" s="1624"/>
      <c r="S7" s="1624"/>
    </row>
    <row r="8" spans="1:22">
      <c r="A8" s="2778">
        <f>'数据-取费表'!AN8</f>
        <v>0</v>
      </c>
      <c r="B8" s="2776" t="e">
        <f ca="1">IF(F8="是",'数据-取费表'!AO8,0)</f>
        <v>#REF!</v>
      </c>
      <c r="C8" s="2008" t="s">
        <v>2097</v>
      </c>
      <c r="D8" s="2886"/>
      <c r="E8" s="2780">
        <f>IF(OR(A8=0,F8="否"),0,'数据-取费表'!K8+'数据-取费表'!S8)</f>
        <v>0</v>
      </c>
      <c r="F8" s="2012" t="s">
        <v>2103</v>
      </c>
      <c r="G8" s="1624"/>
      <c r="H8" s="1624"/>
      <c r="I8" s="1624"/>
      <c r="J8" s="1624"/>
      <c r="K8" s="1624"/>
      <c r="L8" s="1624"/>
      <c r="M8" s="1624"/>
      <c r="N8" s="1624"/>
      <c r="O8" s="1624"/>
      <c r="P8" s="1624"/>
      <c r="Q8" s="1624"/>
      <c r="R8" s="1624"/>
      <c r="S8" s="1624"/>
    </row>
    <row r="9" spans="1:22">
      <c r="A9" s="2778">
        <f>'数据-取费表'!AN9</f>
        <v>0</v>
      </c>
      <c r="B9" s="2776" t="e">
        <f ca="1">IF(F9="是",'数据-取费表'!AO9,0)</f>
        <v>#REF!</v>
      </c>
      <c r="C9" s="2008" t="s">
        <v>2097</v>
      </c>
      <c r="D9" s="2886"/>
      <c r="E9" s="2780">
        <f>IF(OR(A9=0,F9="否"),0,'数据-取费表'!K9+'数据-取费表'!S9)</f>
        <v>0</v>
      </c>
      <c r="F9" s="2012" t="s">
        <v>2103</v>
      </c>
      <c r="G9" s="1624"/>
      <c r="H9" s="1624"/>
      <c r="I9" s="1624"/>
      <c r="J9" s="1624"/>
      <c r="K9" s="1624"/>
      <c r="L9" s="1624"/>
      <c r="M9" s="1624"/>
      <c r="N9" s="1624"/>
      <c r="O9" s="1624"/>
      <c r="P9" s="1624"/>
      <c r="Q9" s="1624"/>
      <c r="R9" s="1624"/>
      <c r="S9" s="1624"/>
    </row>
    <row r="10" spans="1:22">
      <c r="A10" s="2778">
        <f>'数据-取费表'!AN10</f>
        <v>0</v>
      </c>
      <c r="B10" s="2776" t="e">
        <f ca="1">IF(F10="是",'数据-取费表'!AO10,0)</f>
        <v>#REF!</v>
      </c>
      <c r="C10" s="2008" t="s">
        <v>2097</v>
      </c>
      <c r="D10" s="2886"/>
      <c r="E10" s="2780">
        <f>IF(OR(A10=0,F10="否"),0,'数据-取费表'!K10+'数据-取费表'!S10)</f>
        <v>0</v>
      </c>
      <c r="F10" s="2012" t="s">
        <v>2103</v>
      </c>
      <c r="G10" s="1624"/>
      <c r="H10" s="1624"/>
      <c r="I10" s="1624"/>
      <c r="J10" s="1624"/>
      <c r="K10" s="1624"/>
      <c r="L10" s="1624"/>
      <c r="M10" s="1624"/>
      <c r="N10" s="1624"/>
      <c r="O10" s="1624"/>
      <c r="P10" s="1624"/>
      <c r="Q10" s="1624"/>
      <c r="R10" s="1624"/>
      <c r="S10" s="1624"/>
    </row>
    <row r="11" spans="1:22">
      <c r="A11" s="2778">
        <f>'数据-取费表'!AN11</f>
        <v>0</v>
      </c>
      <c r="B11" s="2776" t="e">
        <f ca="1">IF(F11="是",'数据-取费表'!AO11,0)</f>
        <v>#REF!</v>
      </c>
      <c r="C11" s="2008" t="s">
        <v>2097</v>
      </c>
      <c r="D11" s="2886"/>
      <c r="E11" s="2780">
        <f>IF(OR(A11=0,F11="否"),0,'数据-取费表'!K11+'数据-取费表'!S11)</f>
        <v>0</v>
      </c>
      <c r="F11" s="2012" t="s">
        <v>2103</v>
      </c>
      <c r="G11" s="1624"/>
      <c r="H11" s="1624"/>
      <c r="I11" s="1624"/>
      <c r="J11" s="1624"/>
      <c r="K11" s="1624"/>
      <c r="L11" s="1624"/>
      <c r="M11" s="1624"/>
      <c r="N11" s="1624"/>
      <c r="O11" s="1624"/>
      <c r="P11" s="1624"/>
      <c r="Q11" s="1624"/>
      <c r="R11" s="1624"/>
      <c r="S11" s="1624"/>
    </row>
    <row r="12" spans="1:22">
      <c r="A12" s="2778">
        <f>'数据-取费表'!AN12</f>
        <v>0</v>
      </c>
      <c r="B12" s="2776" t="e">
        <f ca="1">IF(F12="是",'数据-取费表'!AO12,0)</f>
        <v>#REF!</v>
      </c>
      <c r="C12" s="2008" t="s">
        <v>2097</v>
      </c>
      <c r="D12" s="2886"/>
      <c r="E12" s="2780">
        <f>IF(OR(A12=0,F12="否"),0,'数据-取费表'!K12+'数据-取费表'!S12)</f>
        <v>0</v>
      </c>
      <c r="F12" s="2012" t="s">
        <v>2103</v>
      </c>
      <c r="G12" s="1624"/>
      <c r="H12" s="1624"/>
      <c r="I12" s="1624"/>
      <c r="J12" s="1624"/>
      <c r="K12" s="1624"/>
      <c r="L12" s="1624"/>
      <c r="M12" s="1624"/>
      <c r="N12" s="1624"/>
      <c r="O12" s="1624"/>
      <c r="P12" s="1624"/>
      <c r="Q12" s="1624"/>
      <c r="R12" s="1624"/>
      <c r="S12" s="1624"/>
    </row>
    <row r="13" spans="1:22" ht="15" thickBot="1">
      <c r="A13" s="2779">
        <f>'数据-取费表'!AN13</f>
        <v>0</v>
      </c>
      <c r="B13" s="2776" t="e">
        <f ca="1">IF(F13="是",'数据-取费表'!AO13,0)</f>
        <v>#REF!</v>
      </c>
      <c r="C13" s="2013" t="s">
        <v>2097</v>
      </c>
      <c r="D13" s="2887"/>
      <c r="E13" s="2780">
        <f>IF(OR(A13=0,F13="否"),0,'数据-取费表'!K13+'数据-取费表'!S13)</f>
        <v>0</v>
      </c>
      <c r="F13" s="2012" t="s">
        <v>2103</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M9" sqref="M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4" t="s">
        <v>2107</v>
      </c>
      <c r="C1" s="1358" t="s">
        <v>2108</v>
      </c>
      <c r="D1" s="1345" t="s">
        <v>3369</v>
      </c>
      <c r="E1" s="2493"/>
      <c r="F1" s="2015" t="s">
        <v>2109</v>
      </c>
      <c r="G1" s="1355" t="s">
        <v>2110</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f>IF(C2="——",ROUND(C49*D3/10000,0),ROUND(C49*D3/10000,0)-D2)</f>
        <v>4791</v>
      </c>
      <c r="C2" s="2017" t="s">
        <v>70</v>
      </c>
      <c r="D2" s="1228" t="e">
        <f ca="1">SUMIF(INDIRECT("'"&amp;F2&amp;"'"&amp;"!A:A"),"承租人权益价值",INDIRECT("'"&amp;F2&amp;"'"&amp;"!c:c"))</f>
        <v>#REF!</v>
      </c>
      <c r="E2" s="2018" t="s">
        <v>2111</v>
      </c>
      <c r="F2" s="2019"/>
      <c r="G2" s="1019"/>
      <c r="H2" s="1019"/>
      <c r="I2" s="1019"/>
      <c r="J2" s="1019"/>
      <c r="K2" s="2020"/>
      <c r="L2" s="2890"/>
      <c r="M2" s="2891"/>
      <c r="N2" s="2891"/>
      <c r="O2" s="2891"/>
      <c r="P2" s="2021"/>
      <c r="Q2" s="2022"/>
      <c r="R2" s="2022"/>
      <c r="S2" s="2022"/>
      <c r="T2" s="2022"/>
      <c r="U2" s="2022"/>
      <c r="V2" s="2022"/>
      <c r="W2" s="2022"/>
      <c r="X2" s="2022"/>
      <c r="Y2" s="2022"/>
      <c r="Z2" s="2022"/>
      <c r="AA2" s="2022"/>
      <c r="AB2" s="2022"/>
      <c r="AC2" s="2023"/>
    </row>
    <row r="3" spans="1:29" s="353" customFormat="1" ht="28.5" customHeight="1" thickBot="1">
      <c r="A3" s="209" t="s">
        <v>1119</v>
      </c>
      <c r="B3" s="359">
        <f>IF(C2="——",C49,ROUND(B2*10000/D3,0))</f>
        <v>16978</v>
      </c>
      <c r="C3" s="360" t="s">
        <v>2112</v>
      </c>
      <c r="D3" s="359">
        <f>IF(D1="",'数据-汇总表'!E3,SUMIF('数据-汇总表'!$C19:$C33,D1,'数据-汇总表'!$E19:$E33))</f>
        <v>2821.88</v>
      </c>
      <c r="E3" s="1019"/>
      <c r="F3" s="2024"/>
      <c r="G3" s="1019"/>
      <c r="H3" s="1019"/>
      <c r="I3" s="1019"/>
      <c r="J3" s="1019"/>
      <c r="K3" s="2020"/>
      <c r="L3" s="2890"/>
      <c r="M3" s="2891"/>
      <c r="N3" s="2891"/>
      <c r="O3" s="2891"/>
      <c r="P3" s="2021"/>
      <c r="Q3" s="2022"/>
      <c r="R3" s="2022"/>
      <c r="S3" s="2022"/>
      <c r="T3" s="2022"/>
      <c r="U3" s="2022"/>
      <c r="V3" s="2022"/>
      <c r="W3" s="2022"/>
      <c r="X3" s="2022"/>
      <c r="Y3" s="2022"/>
      <c r="Z3" s="2022"/>
      <c r="AA3" s="2022"/>
      <c r="AB3" s="2022"/>
      <c r="AC3" s="1173"/>
    </row>
    <row r="4" spans="1:29" ht="15">
      <c r="A4" s="361" t="s">
        <v>2113</v>
      </c>
      <c r="B4" s="362"/>
      <c r="C4" s="3468" t="s">
        <v>2114</v>
      </c>
      <c r="D4" s="3469"/>
      <c r="E4" s="3470" t="s">
        <v>2115</v>
      </c>
      <c r="F4" s="3471"/>
      <c r="G4" s="3468" t="s">
        <v>2116</v>
      </c>
      <c r="H4" s="3469"/>
      <c r="I4" s="3468" t="s">
        <v>2117</v>
      </c>
      <c r="J4" s="3469"/>
      <c r="K4" s="2025" t="s">
        <v>2118</v>
      </c>
      <c r="L4" s="2892"/>
      <c r="M4" s="2893"/>
      <c r="N4" s="2893"/>
      <c r="O4" s="2893"/>
      <c r="P4" s="3472" t="s">
        <v>2119</v>
      </c>
      <c r="Q4" s="3473"/>
      <c r="R4" s="3455" t="s">
        <v>2115</v>
      </c>
      <c r="S4" s="3456"/>
      <c r="T4" s="3455" t="s">
        <v>2116</v>
      </c>
      <c r="U4" s="3456"/>
      <c r="V4" s="3480" t="s">
        <v>2117</v>
      </c>
      <c r="W4" s="3480"/>
      <c r="X4" s="1489"/>
      <c r="Y4" s="3455" t="s">
        <v>2119</v>
      </c>
      <c r="Z4" s="3456"/>
      <c r="AA4" s="3450" t="s">
        <v>2115</v>
      </c>
      <c r="AB4" s="3450" t="s">
        <v>2116</v>
      </c>
      <c r="AC4" s="3450" t="s">
        <v>2117</v>
      </c>
    </row>
    <row r="5" spans="1:29" ht="15">
      <c r="A5" s="364"/>
      <c r="B5" s="365"/>
      <c r="C5" s="3461" t="s">
        <v>2120</v>
      </c>
      <c r="D5" s="3462"/>
      <c r="E5" s="3518" t="s">
        <v>3449</v>
      </c>
      <c r="F5" s="3460"/>
      <c r="G5" s="3519" t="s">
        <v>3371</v>
      </c>
      <c r="H5" s="3462"/>
      <c r="I5" s="3519" t="s">
        <v>3367</v>
      </c>
      <c r="J5" s="3462"/>
      <c r="K5" s="2026"/>
      <c r="L5" s="2892"/>
      <c r="M5" s="2893"/>
      <c r="N5" s="2893"/>
      <c r="O5" s="2893"/>
      <c r="P5" s="3474"/>
      <c r="Q5" s="3475"/>
      <c r="R5" s="3457"/>
      <c r="S5" s="3458"/>
      <c r="T5" s="3457"/>
      <c r="U5" s="3458"/>
      <c r="V5" s="3480"/>
      <c r="W5" s="3480"/>
      <c r="X5" s="1489"/>
      <c r="Y5" s="3457"/>
      <c r="Z5" s="3458"/>
      <c r="AA5" s="3451"/>
      <c r="AB5" s="3451"/>
      <c r="AC5" s="3451"/>
    </row>
    <row r="6" spans="1:29" ht="15.75" thickBot="1">
      <c r="A6" s="366"/>
      <c r="B6" s="367"/>
      <c r="C6" s="3463" t="s">
        <v>2124</v>
      </c>
      <c r="D6" s="3464"/>
      <c r="E6" s="3465" t="s">
        <v>2124</v>
      </c>
      <c r="F6" s="3466"/>
      <c r="G6" s="3463" t="s">
        <v>2124</v>
      </c>
      <c r="H6" s="3464"/>
      <c r="I6" s="3463" t="s">
        <v>2124</v>
      </c>
      <c r="J6" s="3464"/>
      <c r="K6" s="2026" t="s">
        <v>2125</v>
      </c>
      <c r="L6" s="2892"/>
      <c r="M6" s="2893"/>
      <c r="N6" s="2893"/>
      <c r="O6" s="2893"/>
      <c r="P6" s="3476"/>
      <c r="Q6" s="3477"/>
      <c r="R6" s="3457"/>
      <c r="S6" s="3458"/>
      <c r="T6" s="3478"/>
      <c r="U6" s="3479"/>
      <c r="V6" s="3480"/>
      <c r="W6" s="3480"/>
      <c r="X6" s="1489"/>
      <c r="Y6" s="3478"/>
      <c r="Z6" s="3479"/>
      <c r="AA6" s="3452"/>
      <c r="AB6" s="3452"/>
      <c r="AC6" s="3452"/>
    </row>
    <row r="7" spans="1:29" s="113" customFormat="1" ht="15.75" thickBot="1">
      <c r="A7" s="368" t="s">
        <v>2126</v>
      </c>
      <c r="B7" s="369"/>
      <c r="C7" s="370">
        <f>'数据-取费表'!B2</f>
        <v>44915</v>
      </c>
      <c r="D7" s="371">
        <v>100</v>
      </c>
      <c r="E7" s="372">
        <f>C7</f>
        <v>44915</v>
      </c>
      <c r="F7" s="373">
        <f>SUMIF(58:58,YEAR(E7)&amp;"-"&amp;MONTH(E7),59:59)</f>
        <v>100</v>
      </c>
      <c r="G7" s="372">
        <f>C7</f>
        <v>44915</v>
      </c>
      <c r="H7" s="371">
        <f>SUMIF(58:58,YEAR(G7)&amp;"-"&amp;MONTH(G7),59:59)</f>
        <v>100</v>
      </c>
      <c r="I7" s="372">
        <f>C7</f>
        <v>44915</v>
      </c>
      <c r="J7" s="371">
        <f>SUMIF(58:58,YEAR(I7)&amp;"-"&amp;MONTH(I7),59:59)</f>
        <v>100</v>
      </c>
      <c r="K7" s="2027"/>
      <c r="L7" s="2894"/>
      <c r="M7" s="2895"/>
      <c r="N7" s="2895"/>
      <c r="O7" s="2895"/>
      <c r="P7" s="3453" t="s">
        <v>2127</v>
      </c>
      <c r="Q7" s="3481"/>
      <c r="R7" s="710" t="s">
        <v>23</v>
      </c>
      <c r="S7" s="711">
        <f t="shared" ref="S7:S15" si="0">F7</f>
        <v>100</v>
      </c>
      <c r="T7" s="710" t="s">
        <v>23</v>
      </c>
      <c r="U7" s="711">
        <f t="shared" ref="U7:U15" si="1">H7</f>
        <v>100</v>
      </c>
      <c r="V7" s="710" t="s">
        <v>23</v>
      </c>
      <c r="W7" s="711">
        <f t="shared" ref="W7:W15" si="2">J7</f>
        <v>100</v>
      </c>
      <c r="X7" s="712"/>
      <c r="Y7" s="3453" t="s">
        <v>2127</v>
      </c>
      <c r="Z7" s="3454"/>
      <c r="AA7" s="713">
        <f>D7/F7</f>
        <v>1</v>
      </c>
      <c r="AB7" s="713">
        <f>D7/H7</f>
        <v>1</v>
      </c>
      <c r="AC7" s="713">
        <f>D7/J7</f>
        <v>1</v>
      </c>
    </row>
    <row r="8" spans="1:29" s="113" customFormat="1" ht="15.75" thickBot="1">
      <c r="A8" s="368" t="s">
        <v>2128</v>
      </c>
      <c r="B8" s="369"/>
      <c r="C8" s="374" t="s">
        <v>2129</v>
      </c>
      <c r="D8" s="371">
        <v>100</v>
      </c>
      <c r="E8" s="2028" t="s">
        <v>3356</v>
      </c>
      <c r="F8" s="373">
        <f>SUMIF(61:61,E8,62:62)-SUMIF(61:61,C8,62:62)+100</f>
        <v>100</v>
      </c>
      <c r="G8" s="374" t="s">
        <v>3356</v>
      </c>
      <c r="H8" s="371">
        <f>SUMIF(61:61,G8,62:62)-SUMIF(61:61,C8,62:62)+100</f>
        <v>100</v>
      </c>
      <c r="I8" s="2028" t="s">
        <v>3356</v>
      </c>
      <c r="J8" s="371">
        <f>SUMIF(61:61,I8,62:62)-SUMIF(61:61,C8,62:62)+100</f>
        <v>100</v>
      </c>
      <c r="K8" s="2027"/>
      <c r="L8" s="2894"/>
      <c r="M8" s="2895"/>
      <c r="N8" s="2895"/>
      <c r="O8" s="2895"/>
      <c r="P8" s="3453" t="s">
        <v>2130</v>
      </c>
      <c r="Q8" s="3454"/>
      <c r="R8" s="710" t="s">
        <v>23</v>
      </c>
      <c r="S8" s="711">
        <f t="shared" si="0"/>
        <v>100</v>
      </c>
      <c r="T8" s="710" t="s">
        <v>23</v>
      </c>
      <c r="U8" s="711">
        <f t="shared" si="1"/>
        <v>100</v>
      </c>
      <c r="V8" s="710" t="s">
        <v>23</v>
      </c>
      <c r="W8" s="711">
        <f t="shared" si="2"/>
        <v>100</v>
      </c>
      <c r="X8" s="712"/>
      <c r="Y8" s="3453" t="s">
        <v>2130</v>
      </c>
      <c r="Z8" s="3454"/>
      <c r="AA8" s="713">
        <f t="shared" ref="AA8:AA19" si="3">D8/F8</f>
        <v>1</v>
      </c>
      <c r="AB8" s="713">
        <f t="shared" ref="AB8:AB19" si="4">D8/H8</f>
        <v>1</v>
      </c>
      <c r="AC8" s="713">
        <f t="shared" ref="AC8:AC19" si="5">D8/J8</f>
        <v>1</v>
      </c>
    </row>
    <row r="9" spans="1:29" s="113" customFormat="1">
      <c r="A9" s="375" t="s">
        <v>2131</v>
      </c>
      <c r="B9" s="67" t="s">
        <v>2132</v>
      </c>
      <c r="C9" s="3256" t="s">
        <v>3467</v>
      </c>
      <c r="D9" s="131">
        <v>100</v>
      </c>
      <c r="E9" s="377" t="s">
        <v>3357</v>
      </c>
      <c r="F9" s="378">
        <f>SUMIF(63:63,E9,64:64)-SUMIF(63:63,C9,64:64)+100</f>
        <v>100</v>
      </c>
      <c r="G9" s="379" t="s">
        <v>3357</v>
      </c>
      <c r="H9" s="131">
        <f>SUMIF(63:63,G9,64:64)-SUMIF(63:63,C9,64:64)+100</f>
        <v>100</v>
      </c>
      <c r="I9" s="379" t="s">
        <v>3357</v>
      </c>
      <c r="J9" s="131">
        <f>SUMIF(63:63,I9,64:64)-SUMIF(63:63,C9,64:64)+100</f>
        <v>100</v>
      </c>
      <c r="K9" s="2027"/>
      <c r="L9" s="2894"/>
      <c r="M9" s="2895"/>
      <c r="N9" s="2895"/>
      <c r="O9" s="2895"/>
      <c r="P9" s="3491" t="s">
        <v>2133</v>
      </c>
      <c r="Q9" s="1477" t="str">
        <f t="shared" ref="Q9:Q15" si="6">B9</f>
        <v>用途</v>
      </c>
      <c r="R9" s="710" t="s">
        <v>17</v>
      </c>
      <c r="S9" s="711">
        <f t="shared" si="0"/>
        <v>100</v>
      </c>
      <c r="T9" s="710" t="s">
        <v>17</v>
      </c>
      <c r="U9" s="711">
        <f t="shared" si="1"/>
        <v>100</v>
      </c>
      <c r="V9" s="710" t="s">
        <v>17</v>
      </c>
      <c r="W9" s="711">
        <f t="shared" si="2"/>
        <v>100</v>
      </c>
      <c r="X9" s="712"/>
      <c r="Y9" s="3423" t="s">
        <v>2134</v>
      </c>
      <c r="Z9" s="55" t="str">
        <f t="shared" ref="Z9:Z15" si="7">Q9</f>
        <v>用途</v>
      </c>
      <c r="AA9" s="713">
        <f t="shared" si="3"/>
        <v>1</v>
      </c>
      <c r="AB9" s="713">
        <f t="shared" si="4"/>
        <v>1</v>
      </c>
      <c r="AC9" s="713">
        <f t="shared" si="5"/>
        <v>1</v>
      </c>
    </row>
    <row r="10" spans="1:29" s="386" customFormat="1" ht="27">
      <c r="A10" s="380"/>
      <c r="B10" s="381" t="s">
        <v>2135</v>
      </c>
      <c r="C10" s="382" t="s">
        <v>3468</v>
      </c>
      <c r="D10" s="132">
        <v>100</v>
      </c>
      <c r="E10" s="383" t="s">
        <v>3468</v>
      </c>
      <c r="F10" s="384">
        <f>SUMIF(65:65,E10,66:66)-SUMIF(65:65,C10,66:66)+100</f>
        <v>100</v>
      </c>
      <c r="G10" s="382" t="s">
        <v>3468</v>
      </c>
      <c r="H10" s="132">
        <f>SUMIF(65:65,G10,66:66)-SUMIF(65:65,C10,66:66)+100</f>
        <v>100</v>
      </c>
      <c r="I10" s="382" t="s">
        <v>3468</v>
      </c>
      <c r="J10" s="132">
        <f>SUMIF(65:65,I10,66:66)-SUMIF(65:65,C10,66:66)+100</f>
        <v>100</v>
      </c>
      <c r="K10" s="385">
        <v>2</v>
      </c>
      <c r="L10" s="2896"/>
      <c r="M10" s="2897"/>
      <c r="N10" s="2897"/>
      <c r="O10" s="2897"/>
      <c r="P10" s="3491"/>
      <c r="Q10" s="147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75" thickBot="1">
      <c r="A11" s="387"/>
      <c r="B11" s="381" t="s">
        <v>2136</v>
      </c>
      <c r="C11" s="388">
        <f>'数据-汇总表'!I6</f>
        <v>1.5</v>
      </c>
      <c r="D11" s="132">
        <v>100</v>
      </c>
      <c r="E11" s="389">
        <v>2.2000000000000002</v>
      </c>
      <c r="F11" s="384">
        <f>LOOKUP(E11,68:68,69:69)-LOOKUP(C11,68:68,69:69)+100</f>
        <v>97</v>
      </c>
      <c r="G11" s="388">
        <v>1.76</v>
      </c>
      <c r="H11" s="132">
        <f>LOOKUP(G11,68:68,69:69)-LOOKUP(C11,68:68,69:69)+100</f>
        <v>100</v>
      </c>
      <c r="I11" s="388">
        <v>1.8</v>
      </c>
      <c r="J11" s="132">
        <f>LOOKUP(I11,68:68,69:69)-LOOKUP(C11,68:68,69:69)+100</f>
        <v>100</v>
      </c>
      <c r="K11" s="385">
        <v>3</v>
      </c>
      <c r="L11" s="2898"/>
      <c r="M11" s="2893"/>
      <c r="N11" s="2893"/>
      <c r="O11" s="2893"/>
      <c r="P11" s="3491"/>
      <c r="Q11" s="1477" t="str">
        <f t="shared" si="6"/>
        <v>容积率</v>
      </c>
      <c r="R11" s="710" t="s">
        <v>21</v>
      </c>
      <c r="S11" s="711">
        <f t="shared" si="0"/>
        <v>97</v>
      </c>
      <c r="T11" s="710" t="s">
        <v>21</v>
      </c>
      <c r="U11" s="711">
        <f t="shared" si="1"/>
        <v>100</v>
      </c>
      <c r="V11" s="710" t="s">
        <v>21</v>
      </c>
      <c r="W11" s="711">
        <f t="shared" si="2"/>
        <v>100</v>
      </c>
      <c r="X11" s="712"/>
      <c r="Y11" s="3423"/>
      <c r="Z11" s="55" t="str">
        <f t="shared" si="7"/>
        <v>容积率</v>
      </c>
      <c r="AA11" s="713">
        <f t="shared" si="3"/>
        <v>1.0309278350515463</v>
      </c>
      <c r="AB11" s="713">
        <f t="shared" si="4"/>
        <v>1</v>
      </c>
      <c r="AC11" s="713">
        <f t="shared" si="5"/>
        <v>1</v>
      </c>
    </row>
    <row r="12" spans="1:29" s="113" customFormat="1" ht="15" hidden="1">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4"/>
      <c r="M12" s="2895"/>
      <c r="N12" s="2895"/>
      <c r="O12" s="2895"/>
      <c r="P12" s="3491"/>
      <c r="Q12" s="1477">
        <f t="shared" si="6"/>
        <v>111</v>
      </c>
      <c r="R12" s="710" t="s">
        <v>21</v>
      </c>
      <c r="S12" s="711">
        <f t="shared" si="0"/>
        <v>100</v>
      </c>
      <c r="T12" s="710" t="s">
        <v>21</v>
      </c>
      <c r="U12" s="711">
        <f t="shared" si="1"/>
        <v>100</v>
      </c>
      <c r="V12" s="710" t="s">
        <v>21</v>
      </c>
      <c r="W12" s="711">
        <f t="shared" si="2"/>
        <v>100</v>
      </c>
      <c r="X12" s="712"/>
      <c r="Y12" s="3423"/>
      <c r="Z12" s="55">
        <f t="shared" si="7"/>
        <v>111</v>
      </c>
      <c r="AA12" s="713">
        <f>D12/F12</f>
        <v>1</v>
      </c>
      <c r="AB12" s="713">
        <f>D12/H12</f>
        <v>1</v>
      </c>
      <c r="AC12" s="713">
        <f>D12/J12</f>
        <v>1</v>
      </c>
    </row>
    <row r="13" spans="1:29" ht="15" hidden="1">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9"/>
      <c r="M13" s="2893"/>
      <c r="N13" s="2893"/>
      <c r="O13" s="2893"/>
      <c r="P13" s="3491"/>
      <c r="Q13" s="1477">
        <f t="shared" si="6"/>
        <v>111</v>
      </c>
      <c r="R13" s="710" t="s">
        <v>21</v>
      </c>
      <c r="S13" s="711">
        <f t="shared" si="0"/>
        <v>100</v>
      </c>
      <c r="T13" s="710" t="s">
        <v>21</v>
      </c>
      <c r="U13" s="711">
        <f t="shared" si="1"/>
        <v>100</v>
      </c>
      <c r="V13" s="710" t="s">
        <v>21</v>
      </c>
      <c r="W13" s="711">
        <f t="shared" si="2"/>
        <v>100</v>
      </c>
      <c r="X13" s="712"/>
      <c r="Y13" s="3423"/>
      <c r="Z13" s="55">
        <f t="shared" si="7"/>
        <v>111</v>
      </c>
      <c r="AA13" s="713">
        <f t="shared" si="3"/>
        <v>1</v>
      </c>
      <c r="AB13" s="713">
        <f t="shared" si="4"/>
        <v>1</v>
      </c>
      <c r="AC13" s="713">
        <f t="shared" si="5"/>
        <v>1</v>
      </c>
    </row>
    <row r="14" spans="1:29" ht="15.75" hidden="1"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9"/>
      <c r="M14" s="2893"/>
      <c r="N14" s="2893"/>
      <c r="O14" s="2893"/>
      <c r="P14" s="3491"/>
      <c r="Q14" s="1477">
        <f t="shared" si="6"/>
        <v>111</v>
      </c>
      <c r="R14" s="710" t="s">
        <v>21</v>
      </c>
      <c r="S14" s="711">
        <f t="shared" si="0"/>
        <v>100</v>
      </c>
      <c r="T14" s="710" t="s">
        <v>21</v>
      </c>
      <c r="U14" s="711">
        <f t="shared" si="1"/>
        <v>100</v>
      </c>
      <c r="V14" s="710" t="s">
        <v>21</v>
      </c>
      <c r="W14" s="711">
        <f t="shared" si="2"/>
        <v>100</v>
      </c>
      <c r="X14" s="712"/>
      <c r="Y14" s="3423"/>
      <c r="Z14" s="55">
        <f t="shared" si="7"/>
        <v>111</v>
      </c>
      <c r="AA14" s="713">
        <f t="shared" si="3"/>
        <v>1</v>
      </c>
      <c r="AB14" s="713">
        <f t="shared" si="4"/>
        <v>1</v>
      </c>
      <c r="AC14" s="713">
        <f t="shared" si="5"/>
        <v>1</v>
      </c>
    </row>
    <row r="15" spans="1:29" ht="15">
      <c r="A15" s="399" t="s">
        <v>2137</v>
      </c>
      <c r="B15" s="65" t="s">
        <v>1703</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v>3</v>
      </c>
      <c r="L15" s="2899"/>
      <c r="M15" s="2893"/>
      <c r="N15" s="2893"/>
      <c r="O15" s="2893"/>
      <c r="P15" s="3526" t="s">
        <v>2138</v>
      </c>
      <c r="Q15" s="1486" t="str">
        <f t="shared" si="6"/>
        <v>居住社区成熟度</v>
      </c>
      <c r="R15" s="714" t="s">
        <v>21</v>
      </c>
      <c r="S15" s="715">
        <f t="shared" si="0"/>
        <v>100</v>
      </c>
      <c r="T15" s="714" t="s">
        <v>21</v>
      </c>
      <c r="U15" s="715">
        <f t="shared" si="1"/>
        <v>100</v>
      </c>
      <c r="V15" s="714" t="s">
        <v>21</v>
      </c>
      <c r="W15" s="715">
        <f t="shared" si="2"/>
        <v>100</v>
      </c>
      <c r="X15" s="1489"/>
      <c r="Y15" s="3482" t="s">
        <v>2138</v>
      </c>
      <c r="Z15" s="1490" t="str">
        <f t="shared" si="7"/>
        <v>居住社区成熟度</v>
      </c>
      <c r="AA15" s="1487">
        <f t="shared" si="3"/>
        <v>1</v>
      </c>
      <c r="AB15" s="1487">
        <f t="shared" si="4"/>
        <v>1</v>
      </c>
      <c r="AC15" s="1487">
        <f t="shared" si="5"/>
        <v>1</v>
      </c>
    </row>
    <row r="16" spans="1:29" ht="15">
      <c r="A16" s="387"/>
      <c r="B16" s="405"/>
      <c r="C16" s="406" t="s">
        <v>3365</v>
      </c>
      <c r="D16" s="407"/>
      <c r="E16" s="406" t="s">
        <v>3365</v>
      </c>
      <c r="F16" s="407"/>
      <c r="G16" s="406" t="s">
        <v>3365</v>
      </c>
      <c r="H16" s="409"/>
      <c r="I16" s="406" t="s">
        <v>3365</v>
      </c>
      <c r="J16" s="407"/>
      <c r="K16" s="2035"/>
      <c r="L16" s="2899"/>
      <c r="M16" s="2893"/>
      <c r="N16" s="2893"/>
      <c r="O16" s="2893"/>
      <c r="P16" s="3527"/>
      <c r="Q16" s="1486"/>
      <c r="R16" s="714"/>
      <c r="S16" s="715"/>
      <c r="T16" s="714"/>
      <c r="U16" s="715"/>
      <c r="V16" s="714"/>
      <c r="W16" s="715"/>
      <c r="X16" s="1489"/>
      <c r="Y16" s="3483"/>
      <c r="Z16" s="1490"/>
      <c r="AA16" s="1487">
        <v>1</v>
      </c>
      <c r="AB16" s="1487">
        <v>1</v>
      </c>
      <c r="AC16" s="1487">
        <v>1</v>
      </c>
    </row>
    <row r="17" spans="1:29" ht="15">
      <c r="A17" s="387"/>
      <c r="B17" s="410" t="s">
        <v>1705</v>
      </c>
      <c r="C17" s="2036">
        <f>估价对象房地状况!C6</f>
        <v>0</v>
      </c>
      <c r="D17" s="409">
        <v>100</v>
      </c>
      <c r="E17" s="413"/>
      <c r="F17" s="409">
        <f>SUMIF(78:78,E18,79:79)-SUMIF(78:78,C18,79:79)+100</f>
        <v>100</v>
      </c>
      <c r="G17" s="411"/>
      <c r="H17" s="414">
        <f>SUMIF(78:78,G18,79:79)-SUMIF(78:78,C18,79:79)+100</f>
        <v>100</v>
      </c>
      <c r="I17" s="411"/>
      <c r="J17" s="414">
        <f>SUMIF(78:78,I18,79:79)-SUMIF(78:78,C18,79:79)+100</f>
        <v>100</v>
      </c>
      <c r="K17" s="404">
        <v>3</v>
      </c>
      <c r="L17" s="2899"/>
      <c r="M17" s="2893"/>
      <c r="N17" s="2893"/>
      <c r="O17" s="2893"/>
      <c r="P17" s="3527"/>
      <c r="Q17" s="1486" t="str">
        <f>B17</f>
        <v>交通便捷度</v>
      </c>
      <c r="R17" s="714" t="s">
        <v>21</v>
      </c>
      <c r="S17" s="715">
        <f>F17</f>
        <v>100</v>
      </c>
      <c r="T17" s="714" t="s">
        <v>21</v>
      </c>
      <c r="U17" s="715">
        <f>H17</f>
        <v>100</v>
      </c>
      <c r="V17" s="714" t="s">
        <v>21</v>
      </c>
      <c r="W17" s="715">
        <f>J17</f>
        <v>100</v>
      </c>
      <c r="X17" s="1489"/>
      <c r="Y17" s="3483"/>
      <c r="Z17" s="1490" t="str">
        <f>Q17</f>
        <v>交通便捷度</v>
      </c>
      <c r="AA17" s="1487">
        <f t="shared" si="3"/>
        <v>1</v>
      </c>
      <c r="AB17" s="1487">
        <f t="shared" si="4"/>
        <v>1</v>
      </c>
      <c r="AC17" s="1487">
        <f t="shared" si="5"/>
        <v>1</v>
      </c>
    </row>
    <row r="18" spans="1:29" ht="15">
      <c r="A18" s="387"/>
      <c r="B18" s="415"/>
      <c r="C18" s="406" t="s">
        <v>3365</v>
      </c>
      <c r="D18" s="409"/>
      <c r="E18" s="406" t="s">
        <v>3365</v>
      </c>
      <c r="F18" s="409"/>
      <c r="G18" s="406" t="s">
        <v>3365</v>
      </c>
      <c r="H18" s="407"/>
      <c r="I18" s="406" t="s">
        <v>3365</v>
      </c>
      <c r="J18" s="407"/>
      <c r="K18" s="2035"/>
      <c r="L18" s="2899"/>
      <c r="M18" s="2893"/>
      <c r="N18" s="2893"/>
      <c r="O18" s="2893"/>
      <c r="P18" s="3527"/>
      <c r="Q18" s="1486"/>
      <c r="R18" s="714"/>
      <c r="S18" s="715"/>
      <c r="T18" s="714"/>
      <c r="U18" s="715"/>
      <c r="V18" s="714"/>
      <c r="W18" s="715"/>
      <c r="X18" s="1489"/>
      <c r="Y18" s="3483"/>
      <c r="Z18" s="1490"/>
      <c r="AA18" s="1487">
        <v>1</v>
      </c>
      <c r="AB18" s="1487">
        <v>1</v>
      </c>
      <c r="AC18" s="1487">
        <v>1</v>
      </c>
    </row>
    <row r="19" spans="1:29" ht="15">
      <c r="A19" s="387"/>
      <c r="B19" s="410" t="s">
        <v>1704</v>
      </c>
      <c r="C19" s="2036">
        <f>估价对象房地状况!C7</f>
        <v>0</v>
      </c>
      <c r="D19" s="414">
        <v>100</v>
      </c>
      <c r="E19" s="418"/>
      <c r="F19" s="414">
        <f>SUMIF(80:80,E20,81:81)-SUMIF(80:80,C20,81:81)+100</f>
        <v>100</v>
      </c>
      <c r="G19" s="416"/>
      <c r="H19" s="409">
        <f>SUMIF(80:80,G20,81:81)-SUMIF(80:80,C20,81:81)+100</f>
        <v>100</v>
      </c>
      <c r="I19" s="416"/>
      <c r="J19" s="409">
        <f>SUMIF(80:80,I20,81:81)-SUMIF(80:80,C20,81:81)+100</f>
        <v>100</v>
      </c>
      <c r="K19" s="404">
        <v>3</v>
      </c>
      <c r="L19" s="2899"/>
      <c r="M19" s="2893"/>
      <c r="N19" s="2893"/>
      <c r="O19" s="2893"/>
      <c r="P19" s="3527"/>
      <c r="Q19" s="1486" t="str">
        <f>B19</f>
        <v>公共配套设施</v>
      </c>
      <c r="R19" s="714" t="s">
        <v>21</v>
      </c>
      <c r="S19" s="715">
        <f>F19</f>
        <v>100</v>
      </c>
      <c r="T19" s="714" t="s">
        <v>21</v>
      </c>
      <c r="U19" s="715">
        <f>H19</f>
        <v>100</v>
      </c>
      <c r="V19" s="714" t="s">
        <v>21</v>
      </c>
      <c r="W19" s="715">
        <f>J19</f>
        <v>100</v>
      </c>
      <c r="X19" s="1489"/>
      <c r="Y19" s="3483"/>
      <c r="Z19" s="1490" t="str">
        <f>Q19</f>
        <v>公共配套设施</v>
      </c>
      <c r="AA19" s="1487">
        <f t="shared" si="3"/>
        <v>1</v>
      </c>
      <c r="AB19" s="1487">
        <f t="shared" si="4"/>
        <v>1</v>
      </c>
      <c r="AC19" s="1487">
        <f t="shared" si="5"/>
        <v>1</v>
      </c>
    </row>
    <row r="20" spans="1:29" ht="15">
      <c r="A20" s="387"/>
      <c r="B20" s="415"/>
      <c r="C20" s="406" t="s">
        <v>3365</v>
      </c>
      <c r="D20" s="407"/>
      <c r="E20" s="406" t="s">
        <v>3365</v>
      </c>
      <c r="F20" s="407"/>
      <c r="G20" s="406" t="s">
        <v>3365</v>
      </c>
      <c r="H20" s="407"/>
      <c r="I20" s="406" t="s">
        <v>3365</v>
      </c>
      <c r="J20" s="407"/>
      <c r="K20" s="2035"/>
      <c r="L20" s="2899"/>
      <c r="M20" s="2893"/>
      <c r="N20" s="2893"/>
      <c r="O20" s="2893"/>
      <c r="P20" s="3527"/>
      <c r="Q20" s="1486"/>
      <c r="R20" s="714"/>
      <c r="S20" s="715"/>
      <c r="T20" s="714"/>
      <c r="U20" s="715"/>
      <c r="V20" s="714"/>
      <c r="W20" s="715"/>
      <c r="X20" s="1489"/>
      <c r="Y20" s="3483"/>
      <c r="Z20" s="1490"/>
      <c r="AA20" s="1487">
        <v>1</v>
      </c>
      <c r="AB20" s="1487">
        <v>1</v>
      </c>
      <c r="AC20" s="1487">
        <v>1</v>
      </c>
    </row>
    <row r="21" spans="1:29" ht="15">
      <c r="A21" s="387"/>
      <c r="B21" s="1246" t="s">
        <v>1706</v>
      </c>
      <c r="C21" s="2036">
        <f>估价对象房地状况!C8</f>
        <v>0</v>
      </c>
      <c r="D21" s="409">
        <v>100</v>
      </c>
      <c r="E21" s="418"/>
      <c r="F21" s="414">
        <f>SUMIF(82:82,E22,83:83)-SUMIF(82:82,C22,83:83)+100</f>
        <v>100</v>
      </c>
      <c r="G21" s="416"/>
      <c r="H21" s="409">
        <f>SUMIF(82:82,G22,83:83)-SUMIF(82:82,C22,83:83)+100</f>
        <v>100</v>
      </c>
      <c r="I21" s="416"/>
      <c r="J21" s="409">
        <f>SUMIF(82:82,I22,83:83)-SUMIF(82:82,C22,83:83)+100</f>
        <v>100</v>
      </c>
      <c r="K21" s="404">
        <v>3</v>
      </c>
      <c r="L21" s="2899"/>
      <c r="M21" s="2893"/>
      <c r="N21" s="2893"/>
      <c r="O21" s="2893"/>
      <c r="P21" s="3527"/>
      <c r="Q21" s="1486" t="str">
        <f>B21</f>
        <v>基础设施水平</v>
      </c>
      <c r="R21" s="714" t="s">
        <v>17</v>
      </c>
      <c r="S21" s="715">
        <f>F21</f>
        <v>100</v>
      </c>
      <c r="T21" s="714" t="s">
        <v>17</v>
      </c>
      <c r="U21" s="715">
        <f>H21</f>
        <v>100</v>
      </c>
      <c r="V21" s="714" t="s">
        <v>17</v>
      </c>
      <c r="W21" s="715">
        <f>J21</f>
        <v>100</v>
      </c>
      <c r="X21" s="1489"/>
      <c r="Y21" s="3483"/>
      <c r="Z21" s="1490" t="str">
        <f>Q21</f>
        <v>基础设施水平</v>
      </c>
      <c r="AA21" s="1487">
        <f t="shared" ref="AA21" si="8">D21/F21</f>
        <v>1</v>
      </c>
      <c r="AB21" s="1487">
        <f t="shared" ref="AB21" si="9">D21/H21</f>
        <v>1</v>
      </c>
      <c r="AC21" s="1487">
        <f t="shared" ref="AC21" si="10">D21/J21</f>
        <v>1</v>
      </c>
    </row>
    <row r="22" spans="1:29" ht="15">
      <c r="A22" s="387"/>
      <c r="B22" s="1246"/>
      <c r="C22" s="2037" t="s">
        <v>3363</v>
      </c>
      <c r="D22" s="407"/>
      <c r="E22" s="2037" t="s">
        <v>3363</v>
      </c>
      <c r="F22" s="407"/>
      <c r="G22" s="2037" t="s">
        <v>3363</v>
      </c>
      <c r="H22" s="407"/>
      <c r="I22" s="2037" t="s">
        <v>3363</v>
      </c>
      <c r="J22" s="407"/>
      <c r="K22" s="2041"/>
      <c r="L22" s="2899"/>
      <c r="M22" s="2893"/>
      <c r="N22" s="2893"/>
      <c r="O22" s="2893"/>
      <c r="P22" s="3527"/>
      <c r="Q22" s="1486"/>
      <c r="R22" s="714"/>
      <c r="S22" s="715"/>
      <c r="T22" s="714"/>
      <c r="U22" s="715"/>
      <c r="V22" s="714"/>
      <c r="W22" s="715"/>
      <c r="X22" s="1489"/>
      <c r="Y22" s="3483"/>
      <c r="Z22" s="1490"/>
      <c r="AA22" s="1487">
        <v>1</v>
      </c>
      <c r="AB22" s="1487">
        <v>1</v>
      </c>
      <c r="AC22" s="1487">
        <v>1</v>
      </c>
    </row>
    <row r="23" spans="1:29" ht="15">
      <c r="A23" s="387"/>
      <c r="B23" s="410" t="s">
        <v>1707</v>
      </c>
      <c r="C23" s="2036">
        <f>估价对象房地状况!C9</f>
        <v>0</v>
      </c>
      <c r="D23" s="409">
        <v>100</v>
      </c>
      <c r="E23" s="413"/>
      <c r="F23" s="409">
        <f>SUMIF(84:84,E24,85:85)-SUMIF(84:84,C24,85:85)+100</f>
        <v>100</v>
      </c>
      <c r="G23" s="411"/>
      <c r="H23" s="409">
        <f>SUMIF(84:84,G24,85:85)-SUMIF(84:84,C24,85:85)+100</f>
        <v>100</v>
      </c>
      <c r="I23" s="411"/>
      <c r="J23" s="409">
        <f>SUMIF(84:84,I24,85:85)-SUMIF(84:84,C24,85:85)+100</f>
        <v>100</v>
      </c>
      <c r="K23" s="404">
        <v>3</v>
      </c>
      <c r="L23" s="2899"/>
      <c r="M23" s="2893"/>
      <c r="N23" s="2893"/>
      <c r="O23" s="2893"/>
      <c r="P23" s="3527"/>
      <c r="Q23" s="1486" t="str">
        <f>B23</f>
        <v>自然及人文环境</v>
      </c>
      <c r="R23" s="714" t="s">
        <v>21</v>
      </c>
      <c r="S23" s="715">
        <f>F23</f>
        <v>100</v>
      </c>
      <c r="T23" s="714" t="s">
        <v>21</v>
      </c>
      <c r="U23" s="715">
        <f>H23</f>
        <v>100</v>
      </c>
      <c r="V23" s="714" t="s">
        <v>21</v>
      </c>
      <c r="W23" s="715">
        <f>J23</f>
        <v>100</v>
      </c>
      <c r="X23" s="1489"/>
      <c r="Y23" s="3483"/>
      <c r="Z23" s="1490" t="str">
        <f>Q23</f>
        <v>自然及人文环境</v>
      </c>
      <c r="AA23" s="1487">
        <f>D23/F23</f>
        <v>1</v>
      </c>
      <c r="AB23" s="1487">
        <f>D23/H23</f>
        <v>1</v>
      </c>
      <c r="AC23" s="1487">
        <f>D23/J23</f>
        <v>1</v>
      </c>
    </row>
    <row r="24" spans="1:29" ht="15.75" thickBot="1">
      <c r="A24" s="387"/>
      <c r="B24" s="415"/>
      <c r="C24" s="406" t="s">
        <v>3365</v>
      </c>
      <c r="D24" s="407"/>
      <c r="E24" s="406" t="s">
        <v>3365</v>
      </c>
      <c r="F24" s="407"/>
      <c r="G24" s="406" t="s">
        <v>3365</v>
      </c>
      <c r="H24" s="407"/>
      <c r="I24" s="406" t="s">
        <v>3365</v>
      </c>
      <c r="J24" s="407"/>
      <c r="K24" s="2035"/>
      <c r="L24" s="2899"/>
      <c r="M24" s="2893"/>
      <c r="N24" s="2893"/>
      <c r="O24" s="2893"/>
      <c r="P24" s="3527"/>
      <c r="Q24" s="1486"/>
      <c r="R24" s="714"/>
      <c r="S24" s="715"/>
      <c r="T24" s="714"/>
      <c r="U24" s="715"/>
      <c r="V24" s="714"/>
      <c r="W24" s="715"/>
      <c r="X24" s="1489"/>
      <c r="Y24" s="3483"/>
      <c r="Z24" s="1490"/>
      <c r="AA24" s="1487">
        <v>1</v>
      </c>
      <c r="AB24" s="1487">
        <v>1</v>
      </c>
      <c r="AC24" s="1487">
        <v>1</v>
      </c>
    </row>
    <row r="25" spans="1:29" ht="15" hidden="1">
      <c r="A25" s="387"/>
      <c r="B25" s="381" t="s">
        <v>2139</v>
      </c>
      <c r="C25" s="419"/>
      <c r="D25" s="394">
        <v>100</v>
      </c>
      <c r="E25" s="2042"/>
      <c r="F25" s="394">
        <f>SUMIF(86:86,E25,87:87)-SUMIF(86:86,C25,87:87)+100</f>
        <v>100</v>
      </c>
      <c r="G25" s="2043"/>
      <c r="H25" s="394">
        <f>SUMIF(86:86,G25,87:87)-SUMIF(86:86,C25,87:87)+100</f>
        <v>100</v>
      </c>
      <c r="I25" s="2043"/>
      <c r="J25" s="394">
        <f>SUMIF(86:86,I25,87:87)-SUMIF(86:86,C25,87:87)+100</f>
        <v>100</v>
      </c>
      <c r="K25" s="385"/>
      <c r="L25" s="2899"/>
      <c r="M25" s="2893"/>
      <c r="N25" s="2893"/>
      <c r="O25" s="2893"/>
      <c r="P25" s="3527"/>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83"/>
      <c r="Z25" s="1490" t="str">
        <f>Q25</f>
        <v>楼层-1</v>
      </c>
      <c r="AA25" s="1487">
        <f t="shared" ref="AA25:AA46" si="15">D25/F25</f>
        <v>1</v>
      </c>
      <c r="AB25" s="1487">
        <f t="shared" ref="AB25:AB46" si="16">D25/H25</f>
        <v>1</v>
      </c>
      <c r="AC25" s="1487">
        <f t="shared" ref="AC25:AC46" si="17">D25/J25</f>
        <v>1</v>
      </c>
    </row>
    <row r="26" spans="1:29" ht="15.75" hidden="1" thickBot="1">
      <c r="A26" s="387"/>
      <c r="B26" s="381" t="s">
        <v>2140</v>
      </c>
      <c r="C26" s="419"/>
      <c r="D26" s="394">
        <v>100</v>
      </c>
      <c r="E26" s="2042"/>
      <c r="F26" s="394">
        <f>SUMIF(88:88,E26,89:89)-SUMIF(88:88,C26,89:89)+100</f>
        <v>100</v>
      </c>
      <c r="G26" s="2043"/>
      <c r="H26" s="394">
        <f>SUMIF(88:88,G26,89:89)-SUMIF(88:88,C26,89:89)+100</f>
        <v>100</v>
      </c>
      <c r="I26" s="2043"/>
      <c r="J26" s="394">
        <f>SUMIF(88:88,I26,89:89)-SUMIF(88:88,C26,89:89)+100</f>
        <v>100</v>
      </c>
      <c r="K26" s="385"/>
      <c r="L26" s="2899"/>
      <c r="M26" s="2893"/>
      <c r="N26" s="2893"/>
      <c r="O26" s="2893"/>
      <c r="P26" s="3527"/>
      <c r="Q26" s="1486" t="str">
        <f t="shared" si="11"/>
        <v>朝向</v>
      </c>
      <c r="R26" s="714" t="s">
        <v>21</v>
      </c>
      <c r="S26" s="715">
        <f t="shared" si="12"/>
        <v>100</v>
      </c>
      <c r="T26" s="714" t="s">
        <v>21</v>
      </c>
      <c r="U26" s="715">
        <f t="shared" si="13"/>
        <v>100</v>
      </c>
      <c r="V26" s="714" t="s">
        <v>21</v>
      </c>
      <c r="W26" s="715">
        <f t="shared" si="14"/>
        <v>100</v>
      </c>
      <c r="X26" s="1489"/>
      <c r="Y26" s="3483"/>
      <c r="Z26" s="1490" t="str">
        <f>Q26</f>
        <v>朝向</v>
      </c>
      <c r="AA26" s="1487">
        <f t="shared" si="15"/>
        <v>1</v>
      </c>
      <c r="AB26" s="1487">
        <f t="shared" si="16"/>
        <v>1</v>
      </c>
      <c r="AC26" s="1487">
        <f t="shared" si="17"/>
        <v>1</v>
      </c>
    </row>
    <row r="27" spans="1:29" s="113" customFormat="1" ht="15" hidden="1">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4"/>
      <c r="M27" s="2895"/>
      <c r="N27" s="2895"/>
      <c r="O27" s="2895"/>
      <c r="P27" s="3527"/>
      <c r="Q27" s="1477">
        <f t="shared" si="11"/>
        <v>111</v>
      </c>
      <c r="R27" s="710" t="s">
        <v>21</v>
      </c>
      <c r="S27" s="711">
        <f t="shared" si="12"/>
        <v>100</v>
      </c>
      <c r="T27" s="710" t="s">
        <v>21</v>
      </c>
      <c r="U27" s="711">
        <f t="shared" si="13"/>
        <v>100</v>
      </c>
      <c r="V27" s="710" t="s">
        <v>21</v>
      </c>
      <c r="W27" s="711">
        <f t="shared" si="14"/>
        <v>100</v>
      </c>
      <c r="X27" s="712"/>
      <c r="Y27" s="3483"/>
      <c r="Z27" s="55">
        <f>Q27</f>
        <v>111</v>
      </c>
      <c r="AA27" s="1487">
        <f t="shared" si="15"/>
        <v>1</v>
      </c>
      <c r="AB27" s="1487">
        <f t="shared" si="16"/>
        <v>1</v>
      </c>
      <c r="AC27" s="1487">
        <f t="shared" si="17"/>
        <v>1</v>
      </c>
    </row>
    <row r="28" spans="1:29" ht="15" hidden="1">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9"/>
      <c r="M28" s="2893"/>
      <c r="N28" s="2893"/>
      <c r="O28" s="2893"/>
      <c r="P28" s="3527"/>
      <c r="Q28" s="1486">
        <f t="shared" si="11"/>
        <v>111</v>
      </c>
      <c r="R28" s="714" t="s">
        <v>21</v>
      </c>
      <c r="S28" s="715">
        <f t="shared" si="12"/>
        <v>100</v>
      </c>
      <c r="T28" s="714" t="s">
        <v>21</v>
      </c>
      <c r="U28" s="715">
        <f t="shared" si="13"/>
        <v>100</v>
      </c>
      <c r="V28" s="714" t="s">
        <v>21</v>
      </c>
      <c r="W28" s="715">
        <f t="shared" si="14"/>
        <v>100</v>
      </c>
      <c r="X28" s="1489"/>
      <c r="Y28" s="3483"/>
      <c r="Z28" s="1490">
        <f t="shared" ref="Z28:Z46" si="18">Q28</f>
        <v>111</v>
      </c>
      <c r="AA28" s="1487">
        <f t="shared" si="15"/>
        <v>1</v>
      </c>
      <c r="AB28" s="1487">
        <f t="shared" si="16"/>
        <v>1</v>
      </c>
      <c r="AC28" s="1487">
        <f t="shared" si="17"/>
        <v>1</v>
      </c>
    </row>
    <row r="29" spans="1:29" ht="15" hidden="1">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9"/>
      <c r="M29" s="2893"/>
      <c r="N29" s="2893"/>
      <c r="O29" s="2893"/>
      <c r="P29" s="3527"/>
      <c r="Q29" s="1486">
        <f t="shared" si="11"/>
        <v>111</v>
      </c>
      <c r="R29" s="714" t="s">
        <v>21</v>
      </c>
      <c r="S29" s="715">
        <f t="shared" si="12"/>
        <v>100</v>
      </c>
      <c r="T29" s="714" t="s">
        <v>21</v>
      </c>
      <c r="U29" s="715">
        <f t="shared" si="13"/>
        <v>100</v>
      </c>
      <c r="V29" s="714" t="s">
        <v>21</v>
      </c>
      <c r="W29" s="715">
        <f t="shared" si="14"/>
        <v>100</v>
      </c>
      <c r="X29" s="1489"/>
      <c r="Y29" s="3483"/>
      <c r="Z29" s="1490">
        <f t="shared" si="18"/>
        <v>111</v>
      </c>
      <c r="AA29" s="1487">
        <f t="shared" si="15"/>
        <v>1</v>
      </c>
      <c r="AB29" s="1487">
        <f t="shared" si="16"/>
        <v>1</v>
      </c>
      <c r="AC29" s="1487">
        <f t="shared" si="17"/>
        <v>1</v>
      </c>
    </row>
    <row r="30" spans="1:29" ht="15" hidden="1">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9"/>
      <c r="M30" s="2893"/>
      <c r="N30" s="2893"/>
      <c r="O30" s="2893"/>
      <c r="P30" s="3527"/>
      <c r="Q30" s="1486">
        <f t="shared" si="11"/>
        <v>111</v>
      </c>
      <c r="R30" s="714" t="s">
        <v>21</v>
      </c>
      <c r="S30" s="715">
        <f t="shared" si="12"/>
        <v>100</v>
      </c>
      <c r="T30" s="714" t="s">
        <v>21</v>
      </c>
      <c r="U30" s="715">
        <f t="shared" si="13"/>
        <v>100</v>
      </c>
      <c r="V30" s="714" t="s">
        <v>21</v>
      </c>
      <c r="W30" s="715">
        <f t="shared" si="14"/>
        <v>100</v>
      </c>
      <c r="X30" s="1489"/>
      <c r="Y30" s="3483"/>
      <c r="Z30" s="1490">
        <f t="shared" si="18"/>
        <v>111</v>
      </c>
      <c r="AA30" s="1487">
        <f t="shared" si="15"/>
        <v>1</v>
      </c>
      <c r="AB30" s="1487">
        <f t="shared" si="16"/>
        <v>1</v>
      </c>
      <c r="AC30" s="1487">
        <f t="shared" si="17"/>
        <v>1</v>
      </c>
    </row>
    <row r="31" spans="1:29" ht="15.75" hidden="1"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9"/>
      <c r="M31" s="2893"/>
      <c r="N31" s="2893"/>
      <c r="O31" s="2893"/>
      <c r="P31" s="3527"/>
      <c r="Q31" s="1486">
        <f t="shared" si="11"/>
        <v>111</v>
      </c>
      <c r="R31" s="714" t="s">
        <v>21</v>
      </c>
      <c r="S31" s="715">
        <f t="shared" si="12"/>
        <v>100</v>
      </c>
      <c r="T31" s="714" t="s">
        <v>21</v>
      </c>
      <c r="U31" s="715">
        <f t="shared" si="13"/>
        <v>100</v>
      </c>
      <c r="V31" s="714" t="s">
        <v>21</v>
      </c>
      <c r="W31" s="715">
        <f t="shared" si="14"/>
        <v>100</v>
      </c>
      <c r="X31" s="1489"/>
      <c r="Y31" s="3483"/>
      <c r="Z31" s="1490">
        <f t="shared" si="18"/>
        <v>111</v>
      </c>
      <c r="AA31" s="1487">
        <f t="shared" si="15"/>
        <v>1</v>
      </c>
      <c r="AB31" s="1487">
        <f t="shared" si="16"/>
        <v>1</v>
      </c>
      <c r="AC31" s="1487">
        <f t="shared" si="17"/>
        <v>1</v>
      </c>
    </row>
    <row r="32" spans="1:29" ht="15">
      <c r="A32" s="399" t="s">
        <v>2141</v>
      </c>
      <c r="B32" s="67" t="s">
        <v>2142</v>
      </c>
      <c r="C32" s="2046" t="s">
        <v>3369</v>
      </c>
      <c r="D32" s="426">
        <v>100</v>
      </c>
      <c r="E32" s="2047" t="s">
        <v>3369</v>
      </c>
      <c r="F32" s="420">
        <f>SUMIF(100:100,E32,101:101)-SUMIF(100:100,C32,101:101)+100</f>
        <v>100</v>
      </c>
      <c r="G32" s="2046" t="s">
        <v>3369</v>
      </c>
      <c r="H32" s="426">
        <f>SUMIF(100:100,G32,101:101)-SUMIF(100:100,C32,101:101)+100</f>
        <v>100</v>
      </c>
      <c r="I32" s="2047" t="s">
        <v>3368</v>
      </c>
      <c r="J32" s="394">
        <f>SUMIF(100:100,I32,101:101)-SUMIF(100:100,C32,101:101)+100</f>
        <v>102</v>
      </c>
      <c r="K32" s="385">
        <v>2</v>
      </c>
      <c r="L32" s="2899"/>
      <c r="M32" s="2893"/>
      <c r="N32" s="2893"/>
      <c r="O32" s="2893"/>
      <c r="P32" s="3522" t="s">
        <v>2143</v>
      </c>
      <c r="Q32" s="1486" t="str">
        <f t="shared" si="11"/>
        <v>建筑类型</v>
      </c>
      <c r="R32" s="714" t="s">
        <v>21</v>
      </c>
      <c r="S32" s="715">
        <f t="shared" si="12"/>
        <v>100</v>
      </c>
      <c r="T32" s="714" t="s">
        <v>21</v>
      </c>
      <c r="U32" s="715">
        <f t="shared" si="13"/>
        <v>100</v>
      </c>
      <c r="V32" s="714" t="s">
        <v>21</v>
      </c>
      <c r="W32" s="715">
        <f t="shared" si="14"/>
        <v>102</v>
      </c>
      <c r="X32" s="1489"/>
      <c r="Y32" s="3485" t="s">
        <v>2143</v>
      </c>
      <c r="Z32" s="1490" t="str">
        <f t="shared" si="18"/>
        <v>建筑类型</v>
      </c>
      <c r="AA32" s="1487">
        <f t="shared" si="15"/>
        <v>1</v>
      </c>
      <c r="AB32" s="1487">
        <f t="shared" si="16"/>
        <v>1</v>
      </c>
      <c r="AC32" s="1487">
        <f t="shared" si="17"/>
        <v>0.98039215686274506</v>
      </c>
    </row>
    <row r="33" spans="1:29" s="430" customFormat="1" ht="15">
      <c r="A33" s="427"/>
      <c r="B33" s="381" t="s">
        <v>2144</v>
      </c>
      <c r="C33" s="428">
        <f>'数据-基础表'!B3</f>
        <v>55369.5</v>
      </c>
      <c r="D33" s="132">
        <v>100</v>
      </c>
      <c r="E33" s="389">
        <v>225000</v>
      </c>
      <c r="F33" s="384">
        <f>LOOKUP(E33,103:103,104:104)-LOOKUP(C33,103:103,104:104)+100</f>
        <v>103</v>
      </c>
      <c r="G33" s="388">
        <v>217000</v>
      </c>
      <c r="H33" s="132">
        <f>LOOKUP(G33,103:103,104:104)-LOOKUP(C33,103:103,104:104)+100</f>
        <v>103</v>
      </c>
      <c r="I33" s="389">
        <v>117879</v>
      </c>
      <c r="J33" s="132">
        <f>LOOKUP(I33,103:103,104:104)-LOOKUP(C33,103:103,104:104)+100</f>
        <v>101</v>
      </c>
      <c r="K33" s="2030"/>
      <c r="L33" s="2898"/>
      <c r="M33" s="2900"/>
      <c r="N33" s="2900"/>
      <c r="O33" s="2900"/>
      <c r="P33" s="3523"/>
      <c r="Q33" s="716" t="str">
        <f t="shared" si="11"/>
        <v>项目建筑规模</v>
      </c>
      <c r="R33" s="717" t="s">
        <v>21</v>
      </c>
      <c r="S33" s="718">
        <f t="shared" si="12"/>
        <v>103</v>
      </c>
      <c r="T33" s="717" t="s">
        <v>21</v>
      </c>
      <c r="U33" s="718">
        <f t="shared" si="13"/>
        <v>103</v>
      </c>
      <c r="V33" s="717" t="s">
        <v>21</v>
      </c>
      <c r="W33" s="718">
        <f t="shared" si="14"/>
        <v>101</v>
      </c>
      <c r="X33" s="719"/>
      <c r="Y33" s="3485"/>
      <c r="Z33" s="720" t="str">
        <f t="shared" si="18"/>
        <v>项目建筑规模</v>
      </c>
      <c r="AA33" s="1487">
        <f t="shared" si="15"/>
        <v>0.970873786407767</v>
      </c>
      <c r="AB33" s="1487">
        <f t="shared" si="16"/>
        <v>0.970873786407767</v>
      </c>
      <c r="AC33" s="1487">
        <f t="shared" si="17"/>
        <v>0.99009900990099009</v>
      </c>
    </row>
    <row r="34" spans="1:29" ht="15">
      <c r="A34" s="431"/>
      <c r="B34" s="381" t="s">
        <v>2145</v>
      </c>
      <c r="C34" s="2048" t="s">
        <v>3469</v>
      </c>
      <c r="D34" s="394">
        <v>100</v>
      </c>
      <c r="E34" s="2048" t="s">
        <v>3469</v>
      </c>
      <c r="F34" s="420">
        <f>SUMIF(105:105,E34,106:106)-SUMIF(105:105,C34,106:106)+100</f>
        <v>100</v>
      </c>
      <c r="G34" s="2048" t="s">
        <v>3469</v>
      </c>
      <c r="H34" s="394">
        <f>SUMIF(105:105,G34,106:106)-SUMIF(105:105,C34,106:106)+100</f>
        <v>100</v>
      </c>
      <c r="I34" s="2048" t="s">
        <v>3469</v>
      </c>
      <c r="J34" s="394">
        <f>SUMIF(105:105,I34,106:106)-SUMIF(105:105,C34,106:106)+100</f>
        <v>100</v>
      </c>
      <c r="K34" s="385">
        <v>1</v>
      </c>
      <c r="L34" s="2899"/>
      <c r="M34" s="2893"/>
      <c r="N34" s="2893"/>
      <c r="O34" s="2893"/>
      <c r="P34" s="3523"/>
      <c r="Q34" s="1486" t="str">
        <f t="shared" si="11"/>
        <v>建筑结构</v>
      </c>
      <c r="R34" s="714" t="s">
        <v>21</v>
      </c>
      <c r="S34" s="715">
        <f t="shared" si="12"/>
        <v>100</v>
      </c>
      <c r="T34" s="714" t="s">
        <v>21</v>
      </c>
      <c r="U34" s="715">
        <f t="shared" si="13"/>
        <v>100</v>
      </c>
      <c r="V34" s="714" t="s">
        <v>21</v>
      </c>
      <c r="W34" s="715">
        <f t="shared" si="14"/>
        <v>100</v>
      </c>
      <c r="X34" s="1489"/>
      <c r="Y34" s="3485"/>
      <c r="Z34" s="1490" t="str">
        <f t="shared" si="18"/>
        <v>建筑结构</v>
      </c>
      <c r="AA34" s="1487">
        <f t="shared" si="15"/>
        <v>1</v>
      </c>
      <c r="AB34" s="1487">
        <f t="shared" si="16"/>
        <v>1</v>
      </c>
      <c r="AC34" s="1487">
        <f t="shared" si="17"/>
        <v>1</v>
      </c>
    </row>
    <row r="35" spans="1:29" ht="15">
      <c r="A35" s="431"/>
      <c r="B35" s="381" t="s">
        <v>2146</v>
      </c>
      <c r="C35" s="2042" t="s">
        <v>3470</v>
      </c>
      <c r="D35" s="394">
        <v>100</v>
      </c>
      <c r="E35" s="2042" t="s">
        <v>3470</v>
      </c>
      <c r="F35" s="420">
        <f>SUMIF(107:107,E35,108:108)-SUMIF(107:107,C35,108:108)+100</f>
        <v>100</v>
      </c>
      <c r="G35" s="2042" t="s">
        <v>3470</v>
      </c>
      <c r="H35" s="394">
        <f>SUMIF(107:107,G35,108:108)-SUMIF(107:107,C35,108:108)+100</f>
        <v>100</v>
      </c>
      <c r="I35" s="2042" t="s">
        <v>3470</v>
      </c>
      <c r="J35" s="394">
        <f>SUMIF(107:107,I35,108:108)-SUMIF(107:107,C35,108:108)+100</f>
        <v>100</v>
      </c>
      <c r="K35" s="385">
        <v>1</v>
      </c>
      <c r="L35" s="2899"/>
      <c r="M35" s="2893"/>
      <c r="N35" s="2893"/>
      <c r="O35" s="2893"/>
      <c r="P35" s="3523"/>
      <c r="Q35" s="1486" t="str">
        <f t="shared" si="11"/>
        <v>建筑品质</v>
      </c>
      <c r="R35" s="714" t="s">
        <v>21</v>
      </c>
      <c r="S35" s="715">
        <f t="shared" si="12"/>
        <v>100</v>
      </c>
      <c r="T35" s="714" t="s">
        <v>21</v>
      </c>
      <c r="U35" s="715">
        <f t="shared" si="13"/>
        <v>100</v>
      </c>
      <c r="V35" s="714" t="s">
        <v>21</v>
      </c>
      <c r="W35" s="715">
        <f t="shared" si="14"/>
        <v>100</v>
      </c>
      <c r="X35" s="1489"/>
      <c r="Y35" s="3485"/>
      <c r="Z35" s="1490" t="str">
        <f t="shared" si="18"/>
        <v>建筑品质</v>
      </c>
      <c r="AA35" s="1487">
        <f t="shared" si="15"/>
        <v>1</v>
      </c>
      <c r="AB35" s="1487">
        <f t="shared" si="16"/>
        <v>1</v>
      </c>
      <c r="AC35" s="1487">
        <f t="shared" si="17"/>
        <v>1</v>
      </c>
    </row>
    <row r="36" spans="1:29" ht="15">
      <c r="A36" s="431"/>
      <c r="B36" s="381" t="s">
        <v>2147</v>
      </c>
      <c r="C36" s="2042" t="s">
        <v>3374</v>
      </c>
      <c r="D36" s="394">
        <v>100</v>
      </c>
      <c r="E36" s="2042" t="s">
        <v>3374</v>
      </c>
      <c r="F36" s="420">
        <f>SUMIF(109:109,E36,110:110)-SUMIF(109:109,C36,110:110)+100</f>
        <v>100</v>
      </c>
      <c r="G36" s="2042" t="s">
        <v>3374</v>
      </c>
      <c r="H36" s="394">
        <f>SUMIF(109:109,G36,110:110)-SUMIF(109:109,C36,110:110)+100</f>
        <v>100</v>
      </c>
      <c r="I36" s="2042" t="s">
        <v>3374</v>
      </c>
      <c r="J36" s="394">
        <f>SUMIF(109:109,I36,110:110)-SUMIF(109:109,C36,110:110)+100</f>
        <v>100</v>
      </c>
      <c r="K36" s="385">
        <v>1</v>
      </c>
      <c r="L36" s="2899"/>
      <c r="M36" s="2893"/>
      <c r="N36" s="2893"/>
      <c r="O36" s="2893"/>
      <c r="P36" s="3523"/>
      <c r="Q36" s="1486" t="str">
        <f t="shared" si="11"/>
        <v>公共部分装修</v>
      </c>
      <c r="R36" s="714" t="s">
        <v>21</v>
      </c>
      <c r="S36" s="715">
        <f t="shared" si="12"/>
        <v>100</v>
      </c>
      <c r="T36" s="714" t="s">
        <v>21</v>
      </c>
      <c r="U36" s="715">
        <f t="shared" si="13"/>
        <v>100</v>
      </c>
      <c r="V36" s="714" t="s">
        <v>21</v>
      </c>
      <c r="W36" s="715">
        <f t="shared" si="14"/>
        <v>100</v>
      </c>
      <c r="X36" s="1489"/>
      <c r="Y36" s="3485"/>
      <c r="Z36" s="1490" t="str">
        <f t="shared" si="18"/>
        <v>公共部分装修</v>
      </c>
      <c r="AA36" s="1487">
        <f t="shared" si="15"/>
        <v>1</v>
      </c>
      <c r="AB36" s="1487">
        <f t="shared" si="16"/>
        <v>1</v>
      </c>
      <c r="AC36" s="1487">
        <f t="shared" si="17"/>
        <v>1</v>
      </c>
    </row>
    <row r="37" spans="1:29" s="113" customFormat="1" ht="15">
      <c r="A37" s="432"/>
      <c r="B37" s="381" t="s">
        <v>2148</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v>1</v>
      </c>
      <c r="L37" s="2894"/>
      <c r="M37" s="2895"/>
      <c r="N37" s="2895"/>
      <c r="O37" s="2895"/>
      <c r="P37" s="3523"/>
      <c r="Q37" s="1477" t="str">
        <f t="shared" si="11"/>
        <v>成新度</v>
      </c>
      <c r="R37" s="710" t="s">
        <v>21</v>
      </c>
      <c r="S37" s="711">
        <f t="shared" si="12"/>
        <v>100</v>
      </c>
      <c r="T37" s="710" t="s">
        <v>21</v>
      </c>
      <c r="U37" s="711">
        <f t="shared" si="13"/>
        <v>100</v>
      </c>
      <c r="V37" s="710" t="s">
        <v>21</v>
      </c>
      <c r="W37" s="711">
        <f t="shared" si="14"/>
        <v>100</v>
      </c>
      <c r="X37" s="712"/>
      <c r="Y37" s="3485"/>
      <c r="Z37" s="55" t="str">
        <f t="shared" si="18"/>
        <v>成新度</v>
      </c>
      <c r="AA37" s="713">
        <f t="shared" si="15"/>
        <v>1</v>
      </c>
      <c r="AB37" s="713">
        <f t="shared" si="16"/>
        <v>1</v>
      </c>
      <c r="AC37" s="713">
        <f t="shared" si="17"/>
        <v>1</v>
      </c>
    </row>
    <row r="38" spans="1:29" ht="15">
      <c r="A38" s="431"/>
      <c r="B38" s="381" t="s">
        <v>2149</v>
      </c>
      <c r="C38" s="2042" t="s">
        <v>3471</v>
      </c>
      <c r="D38" s="394">
        <v>100</v>
      </c>
      <c r="E38" s="2042" t="s">
        <v>3471</v>
      </c>
      <c r="F38" s="420">
        <f>SUMIF(114:114,E38,115:115)-SUMIF(114:114,C38,115:115)+100</f>
        <v>100</v>
      </c>
      <c r="G38" s="2042" t="s">
        <v>3471</v>
      </c>
      <c r="H38" s="394">
        <f>SUMIF(114:114,G38,115:115)-SUMIF(114:114,C38,115:115)+100</f>
        <v>100</v>
      </c>
      <c r="I38" s="2042" t="s">
        <v>3471</v>
      </c>
      <c r="J38" s="394">
        <f>SUMIF(114:114,I38,115:115)-SUMIF(114:114,C38,115:115)+100</f>
        <v>100</v>
      </c>
      <c r="K38" s="385">
        <v>1</v>
      </c>
      <c r="L38" s="2899"/>
      <c r="M38" s="2893"/>
      <c r="N38" s="2893"/>
      <c r="O38" s="2893"/>
      <c r="P38" s="3523" t="s">
        <v>2143</v>
      </c>
      <c r="Q38" s="1486" t="str">
        <f t="shared" si="11"/>
        <v>物业管理</v>
      </c>
      <c r="R38" s="714" t="s">
        <v>21</v>
      </c>
      <c r="S38" s="715">
        <f t="shared" si="12"/>
        <v>100</v>
      </c>
      <c r="T38" s="714" t="s">
        <v>21</v>
      </c>
      <c r="U38" s="715">
        <f t="shared" si="13"/>
        <v>100</v>
      </c>
      <c r="V38" s="714" t="s">
        <v>21</v>
      </c>
      <c r="W38" s="715">
        <f t="shared" si="14"/>
        <v>100</v>
      </c>
      <c r="X38" s="1489"/>
      <c r="Y38" s="3485" t="s">
        <v>2143</v>
      </c>
      <c r="Z38" s="1490" t="str">
        <f t="shared" si="18"/>
        <v>物业管理</v>
      </c>
      <c r="AA38" s="1487">
        <f t="shared" si="15"/>
        <v>1</v>
      </c>
      <c r="AB38" s="1487">
        <f t="shared" si="16"/>
        <v>1</v>
      </c>
      <c r="AC38" s="1487">
        <f t="shared" si="17"/>
        <v>1</v>
      </c>
    </row>
    <row r="39" spans="1:29" ht="15">
      <c r="A39" s="431"/>
      <c r="B39" s="381" t="s">
        <v>2150</v>
      </c>
      <c r="C39" s="2042" t="s">
        <v>3363</v>
      </c>
      <c r="D39" s="394">
        <v>100</v>
      </c>
      <c r="E39" s="2042" t="s">
        <v>3363</v>
      </c>
      <c r="F39" s="420">
        <f>SUMIF(116:116,E39,117:117)-SUMIF(116:116,C39,117:117)+100</f>
        <v>100</v>
      </c>
      <c r="G39" s="2042" t="s">
        <v>3363</v>
      </c>
      <c r="H39" s="394">
        <f>SUMIF(116:116,G39,117:117)-SUMIF(116:116,C39,117:117)+100</f>
        <v>100</v>
      </c>
      <c r="I39" s="2042" t="s">
        <v>3363</v>
      </c>
      <c r="J39" s="394">
        <f>SUMIF(116:116,I39,117:117)-SUMIF(116:116,C39,117:117)+100</f>
        <v>100</v>
      </c>
      <c r="K39" s="385">
        <v>1</v>
      </c>
      <c r="L39" s="2899"/>
      <c r="M39" s="2893"/>
      <c r="N39" s="2893"/>
      <c r="O39" s="2893"/>
      <c r="P39" s="3523"/>
      <c r="Q39" s="1486" t="str">
        <f t="shared" si="11"/>
        <v>市政基础设施</v>
      </c>
      <c r="R39" s="714" t="s">
        <v>21</v>
      </c>
      <c r="S39" s="715">
        <f t="shared" si="12"/>
        <v>100</v>
      </c>
      <c r="T39" s="714" t="s">
        <v>21</v>
      </c>
      <c r="U39" s="715">
        <f t="shared" si="13"/>
        <v>100</v>
      </c>
      <c r="V39" s="714" t="s">
        <v>21</v>
      </c>
      <c r="W39" s="715">
        <f t="shared" si="14"/>
        <v>100</v>
      </c>
      <c r="X39" s="1489"/>
      <c r="Y39" s="3485"/>
      <c r="Z39" s="1490" t="str">
        <f t="shared" si="18"/>
        <v>市政基础设施</v>
      </c>
      <c r="AA39" s="1487">
        <f t="shared" si="15"/>
        <v>1</v>
      </c>
      <c r="AB39" s="1487">
        <f t="shared" si="16"/>
        <v>1</v>
      </c>
      <c r="AC39" s="1487">
        <f t="shared" si="17"/>
        <v>1</v>
      </c>
    </row>
    <row r="40" spans="1:29" ht="15">
      <c r="A40" s="431"/>
      <c r="B40" s="381" t="s">
        <v>2151</v>
      </c>
      <c r="C40" s="2042" t="s">
        <v>3472</v>
      </c>
      <c r="D40" s="394">
        <v>100</v>
      </c>
      <c r="E40" s="2042" t="s">
        <v>3472</v>
      </c>
      <c r="F40" s="420">
        <f>SUMIF(118:118,E40,119:119)-SUMIF(118:118,C40,119:119)+100</f>
        <v>100</v>
      </c>
      <c r="G40" s="2042" t="s">
        <v>3472</v>
      </c>
      <c r="H40" s="394">
        <f>SUMIF(118:118,G40,119:119)-SUMIF(118:118,C40,119:119)+100</f>
        <v>100</v>
      </c>
      <c r="I40" s="2042" t="s">
        <v>3472</v>
      </c>
      <c r="J40" s="394">
        <f>SUMIF(118:118,I40,119:119)-SUMIF(118:118,C40,119:119)+100</f>
        <v>100</v>
      </c>
      <c r="K40" s="385">
        <v>1</v>
      </c>
      <c r="L40" s="2899"/>
      <c r="M40" s="2893"/>
      <c r="N40" s="2893"/>
      <c r="O40" s="2893"/>
      <c r="P40" s="3523"/>
      <c r="Q40" s="1486" t="str">
        <f t="shared" si="11"/>
        <v>房型</v>
      </c>
      <c r="R40" s="714" t="s">
        <v>21</v>
      </c>
      <c r="S40" s="715">
        <f t="shared" si="12"/>
        <v>100</v>
      </c>
      <c r="T40" s="714" t="s">
        <v>21</v>
      </c>
      <c r="U40" s="715">
        <f t="shared" si="13"/>
        <v>100</v>
      </c>
      <c r="V40" s="714" t="s">
        <v>21</v>
      </c>
      <c r="W40" s="715">
        <f t="shared" si="14"/>
        <v>100</v>
      </c>
      <c r="X40" s="1489"/>
      <c r="Y40" s="3485"/>
      <c r="Z40" s="1490" t="str">
        <f t="shared" si="18"/>
        <v>房型</v>
      </c>
      <c r="AA40" s="1487">
        <f t="shared" si="15"/>
        <v>1</v>
      </c>
      <c r="AB40" s="1487">
        <f t="shared" si="16"/>
        <v>1</v>
      </c>
      <c r="AC40" s="1487">
        <f t="shared" si="17"/>
        <v>1</v>
      </c>
    </row>
    <row r="41" spans="1:29" s="430" customFormat="1" ht="28.5">
      <c r="A41" s="427"/>
      <c r="B41" s="381" t="s">
        <v>2152</v>
      </c>
      <c r="C41" s="428">
        <v>128</v>
      </c>
      <c r="D41" s="132">
        <v>100</v>
      </c>
      <c r="E41" s="389" t="s">
        <v>3370</v>
      </c>
      <c r="F41" s="384">
        <f>SUMIF(120:120,E41,121:121)-SUMIF(120:120,C41,121:121)+100</f>
        <v>100</v>
      </c>
      <c r="G41" s="388" t="s">
        <v>3473</v>
      </c>
      <c r="H41" s="132">
        <f>SUMIF(120:120,G41,121:121)-SUMIF(120:120,C41,121:121)+100</f>
        <v>100</v>
      </c>
      <c r="I41" s="436" t="s">
        <v>3383</v>
      </c>
      <c r="J41" s="394">
        <f>SUMIF(120:120,I41,121:121)-SUMIF(120:120,C41,121:121)+100</f>
        <v>100</v>
      </c>
      <c r="K41" s="2030"/>
      <c r="L41" s="2898"/>
      <c r="M41" s="2900"/>
      <c r="N41" s="2900"/>
      <c r="O41" s="2900"/>
      <c r="P41" s="3523"/>
      <c r="Q41" s="716" t="str">
        <f t="shared" si="11"/>
        <v>单套/主力户型建筑面积</v>
      </c>
      <c r="R41" s="717" t="s">
        <v>21</v>
      </c>
      <c r="S41" s="718">
        <f t="shared" si="12"/>
        <v>100</v>
      </c>
      <c r="T41" s="717" t="s">
        <v>21</v>
      </c>
      <c r="U41" s="718">
        <f t="shared" si="13"/>
        <v>100</v>
      </c>
      <c r="V41" s="717" t="s">
        <v>21</v>
      </c>
      <c r="W41" s="718">
        <f t="shared" si="14"/>
        <v>100</v>
      </c>
      <c r="X41" s="719"/>
      <c r="Y41" s="3485"/>
      <c r="Z41" s="720" t="str">
        <f t="shared" si="18"/>
        <v>单套/主力户型建筑面积</v>
      </c>
      <c r="AA41" s="1487">
        <f t="shared" si="15"/>
        <v>1</v>
      </c>
      <c r="AB41" s="1487">
        <f t="shared" si="16"/>
        <v>1</v>
      </c>
      <c r="AC41" s="1487">
        <f t="shared" si="17"/>
        <v>1</v>
      </c>
    </row>
    <row r="42" spans="1:29" ht="15">
      <c r="A42" s="431"/>
      <c r="B42" s="381" t="s">
        <v>2153</v>
      </c>
      <c r="C42" s="2042" t="s">
        <v>3381</v>
      </c>
      <c r="D42" s="394">
        <v>100</v>
      </c>
      <c r="E42" s="2043" t="s">
        <v>3381</v>
      </c>
      <c r="F42" s="420">
        <f>SUMIF(122:122,E42,123:123)-SUMIF(122:122,C42,123:123)+100</f>
        <v>100</v>
      </c>
      <c r="G42" s="2042" t="s">
        <v>3381</v>
      </c>
      <c r="H42" s="394">
        <f>SUMIF(122:122,G42,123:123)-SUMIF(122:122,C42,123:123)+100</f>
        <v>100</v>
      </c>
      <c r="I42" s="2043" t="s">
        <v>3381</v>
      </c>
      <c r="J42" s="394">
        <f>SUMIF(122:122,I42,123:123)-SUMIF(122:122,C42,123:123)+100</f>
        <v>100</v>
      </c>
      <c r="K42" s="385">
        <v>1</v>
      </c>
      <c r="L42" s="2899"/>
      <c r="M42" s="2893"/>
      <c r="N42" s="2893"/>
      <c r="O42" s="2893"/>
      <c r="P42" s="3523"/>
      <c r="Q42" s="1486" t="str">
        <f t="shared" si="11"/>
        <v>内部装修</v>
      </c>
      <c r="R42" s="714" t="s">
        <v>21</v>
      </c>
      <c r="S42" s="715">
        <f t="shared" si="12"/>
        <v>100</v>
      </c>
      <c r="T42" s="714" t="s">
        <v>21</v>
      </c>
      <c r="U42" s="715">
        <f t="shared" si="13"/>
        <v>100</v>
      </c>
      <c r="V42" s="714" t="s">
        <v>21</v>
      </c>
      <c r="W42" s="715">
        <f t="shared" si="14"/>
        <v>100</v>
      </c>
      <c r="X42" s="1489"/>
      <c r="Y42" s="3485"/>
      <c r="Z42" s="1490" t="str">
        <f t="shared" si="18"/>
        <v>内部装修</v>
      </c>
      <c r="AA42" s="1487">
        <f t="shared" si="15"/>
        <v>1</v>
      </c>
      <c r="AB42" s="1487">
        <f t="shared" si="16"/>
        <v>1</v>
      </c>
      <c r="AC42" s="1487">
        <f t="shared" si="17"/>
        <v>1</v>
      </c>
    </row>
    <row r="43" spans="1:29" ht="15.75" thickBot="1">
      <c r="A43" s="431"/>
      <c r="B43" s="381" t="s">
        <v>2154</v>
      </c>
      <c r="C43" s="2042" t="s">
        <v>3365</v>
      </c>
      <c r="D43" s="394">
        <v>100</v>
      </c>
      <c r="E43" s="2042" t="s">
        <v>3365</v>
      </c>
      <c r="F43" s="420">
        <f>SUMIF(124:124,E43,125:125)-SUMIF(124:124,C43,125:125)+100</f>
        <v>100</v>
      </c>
      <c r="G43" s="2042" t="s">
        <v>3365</v>
      </c>
      <c r="H43" s="394">
        <f>SUMIF(124:124,G43,125:125)-SUMIF(124:124,C43,125:125)+100</f>
        <v>100</v>
      </c>
      <c r="I43" s="2042" t="s">
        <v>3365</v>
      </c>
      <c r="J43" s="394">
        <f>SUMIF(124:124,I43,125:125)-SUMIF(124:124,C43,125:125)+100</f>
        <v>100</v>
      </c>
      <c r="K43" s="385">
        <v>1</v>
      </c>
      <c r="L43" s="2899"/>
      <c r="M43" s="2893"/>
      <c r="N43" s="2893"/>
      <c r="O43" s="2893"/>
      <c r="P43" s="3523"/>
      <c r="Q43" s="1486" t="str">
        <f t="shared" si="11"/>
        <v>内部装修维护情况</v>
      </c>
      <c r="R43" s="714" t="s">
        <v>21</v>
      </c>
      <c r="S43" s="715">
        <f t="shared" si="12"/>
        <v>100</v>
      </c>
      <c r="T43" s="714" t="s">
        <v>21</v>
      </c>
      <c r="U43" s="715">
        <f t="shared" si="13"/>
        <v>100</v>
      </c>
      <c r="V43" s="714" t="s">
        <v>21</v>
      </c>
      <c r="W43" s="715">
        <f t="shared" si="14"/>
        <v>100</v>
      </c>
      <c r="X43" s="1489"/>
      <c r="Y43" s="3485"/>
      <c r="Z43" s="1490" t="str">
        <f t="shared" si="18"/>
        <v>内部装修维护情况</v>
      </c>
      <c r="AA43" s="1487">
        <f t="shared" si="15"/>
        <v>1</v>
      </c>
      <c r="AB43" s="1487">
        <f t="shared" si="16"/>
        <v>1</v>
      </c>
      <c r="AC43" s="1487">
        <f t="shared" si="17"/>
        <v>1</v>
      </c>
    </row>
    <row r="44" spans="1:29" s="113" customFormat="1" ht="15" hidden="1">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4"/>
      <c r="M44" s="2895"/>
      <c r="N44" s="2895"/>
      <c r="O44" s="2895"/>
      <c r="P44" s="3523"/>
      <c r="Q44" s="1477">
        <f t="shared" si="11"/>
        <v>111</v>
      </c>
      <c r="R44" s="710" t="s">
        <v>21</v>
      </c>
      <c r="S44" s="711">
        <f t="shared" si="12"/>
        <v>100</v>
      </c>
      <c r="T44" s="710" t="s">
        <v>21</v>
      </c>
      <c r="U44" s="711">
        <f t="shared" si="13"/>
        <v>100</v>
      </c>
      <c r="V44" s="710" t="s">
        <v>21</v>
      </c>
      <c r="W44" s="711">
        <f t="shared" si="14"/>
        <v>100</v>
      </c>
      <c r="X44" s="712"/>
      <c r="Y44" s="3485"/>
      <c r="Z44" s="55">
        <f t="shared" si="18"/>
        <v>111</v>
      </c>
      <c r="AA44" s="713">
        <f t="shared" si="15"/>
        <v>1</v>
      </c>
      <c r="AB44" s="713">
        <f t="shared" si="16"/>
        <v>1</v>
      </c>
      <c r="AC44" s="713">
        <f t="shared" si="17"/>
        <v>1</v>
      </c>
    </row>
    <row r="45" spans="1:29" ht="15" hidden="1">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9"/>
      <c r="M45" s="2893"/>
      <c r="N45" s="2893"/>
      <c r="O45" s="2893"/>
      <c r="P45" s="3523"/>
      <c r="Q45" s="1486">
        <f t="shared" si="11"/>
        <v>111</v>
      </c>
      <c r="R45" s="714" t="s">
        <v>21</v>
      </c>
      <c r="S45" s="715">
        <f t="shared" si="12"/>
        <v>100</v>
      </c>
      <c r="T45" s="714" t="s">
        <v>21</v>
      </c>
      <c r="U45" s="715">
        <f t="shared" si="13"/>
        <v>100</v>
      </c>
      <c r="V45" s="714" t="s">
        <v>21</v>
      </c>
      <c r="W45" s="715">
        <f t="shared" si="14"/>
        <v>100</v>
      </c>
      <c r="X45" s="1489"/>
      <c r="Y45" s="3485"/>
      <c r="Z45" s="1490">
        <f t="shared" si="18"/>
        <v>111</v>
      </c>
      <c r="AA45" s="1487">
        <f t="shared" si="15"/>
        <v>1</v>
      </c>
      <c r="AB45" s="1487">
        <f t="shared" si="16"/>
        <v>1</v>
      </c>
      <c r="AC45" s="1487">
        <f t="shared" si="17"/>
        <v>1</v>
      </c>
    </row>
    <row r="46" spans="1:29" ht="15.75" hidden="1"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9"/>
      <c r="M46" s="2893"/>
      <c r="N46" s="2893"/>
      <c r="O46" s="2893"/>
      <c r="P46" s="3524"/>
      <c r="Q46" s="1486">
        <f t="shared" si="11"/>
        <v>111</v>
      </c>
      <c r="R46" s="714" t="s">
        <v>20</v>
      </c>
      <c r="S46" s="715">
        <f t="shared" si="12"/>
        <v>100</v>
      </c>
      <c r="T46" s="714" t="s">
        <v>20</v>
      </c>
      <c r="U46" s="715">
        <f t="shared" si="13"/>
        <v>100</v>
      </c>
      <c r="V46" s="714" t="s">
        <v>20</v>
      </c>
      <c r="W46" s="715">
        <f t="shared" si="14"/>
        <v>100</v>
      </c>
      <c r="X46" s="1489"/>
      <c r="Y46" s="3525"/>
      <c r="Z46" s="1490">
        <f t="shared" si="18"/>
        <v>111</v>
      </c>
      <c r="AA46" s="1487">
        <f t="shared" si="15"/>
        <v>1</v>
      </c>
      <c r="AB46" s="1487">
        <f t="shared" si="16"/>
        <v>1</v>
      </c>
      <c r="AC46" s="1487">
        <f t="shared" si="17"/>
        <v>1</v>
      </c>
    </row>
    <row r="47" spans="1:29" ht="15">
      <c r="A47" s="438" t="s">
        <v>2155</v>
      </c>
      <c r="B47" s="439"/>
      <c r="C47" s="1269" t="s">
        <v>19</v>
      </c>
      <c r="D47" s="1270"/>
      <c r="E47" s="1271">
        <v>15000</v>
      </c>
      <c r="F47" s="1272"/>
      <c r="G47" s="1273">
        <v>18500</v>
      </c>
      <c r="H47" s="1274"/>
      <c r="I47" s="1271">
        <v>18500</v>
      </c>
      <c r="J47" s="1274"/>
      <c r="K47" s="2049"/>
      <c r="L47" s="2901"/>
      <c r="M47" s="2902"/>
      <c r="N47" s="2893"/>
      <c r="O47" s="2902"/>
      <c r="P47" s="3467" t="str">
        <f>A47</f>
        <v>成交单价（元/平方米）</v>
      </c>
      <c r="Q47" s="3467"/>
      <c r="R47" s="3521">
        <f>E47</f>
        <v>15000</v>
      </c>
      <c r="S47" s="3521"/>
      <c r="T47" s="3521">
        <f>G47</f>
        <v>18500</v>
      </c>
      <c r="U47" s="3521"/>
      <c r="V47" s="3521">
        <f>I47</f>
        <v>18500</v>
      </c>
      <c r="W47" s="3521"/>
      <c r="X47" s="699"/>
      <c r="Y47" s="721"/>
      <c r="Z47" s="699"/>
      <c r="AA47" s="699"/>
      <c r="AB47" s="699"/>
      <c r="AC47" s="699"/>
    </row>
    <row r="48" spans="1:29" ht="15.75" thickBot="1">
      <c r="A48" s="445" t="s">
        <v>2156</v>
      </c>
      <c r="B48" s="446"/>
      <c r="C48" s="1275">
        <f>R49</f>
        <v>16978</v>
      </c>
      <c r="D48" s="2487" t="s">
        <v>2637</v>
      </c>
      <c r="E48" s="1276">
        <f>R48</f>
        <v>15014</v>
      </c>
      <c r="F48" s="2488"/>
      <c r="G48" s="1275">
        <f>T48</f>
        <v>17961</v>
      </c>
      <c r="H48" s="2488"/>
      <c r="I48" s="1276">
        <f>V48</f>
        <v>17958</v>
      </c>
      <c r="J48" s="2488"/>
      <c r="K48" s="2489">
        <f>F48+H48+J48</f>
        <v>0</v>
      </c>
      <c r="L48" s="2901"/>
      <c r="M48" s="2902"/>
      <c r="N48" s="2902"/>
      <c r="O48" s="2902"/>
      <c r="P48" s="3467" t="str">
        <f>A48</f>
        <v>比较价值（元/平方米）</v>
      </c>
      <c r="Q48" s="3467"/>
      <c r="R48" s="3521">
        <f>IF(F1="售价",ROUND(PRODUCT(R47,AA7:AA46),0),ROUND(PRODUCT(R47,AA7:AA46),1))</f>
        <v>15014</v>
      </c>
      <c r="S48" s="3521"/>
      <c r="T48" s="3521">
        <f>IF(F1="售价",ROUND(PRODUCT(T47,AB7:AB46),0),ROUND(PRODUCT(T47,AB7:AB46),1))</f>
        <v>17961</v>
      </c>
      <c r="U48" s="3521"/>
      <c r="V48" s="3521">
        <f>IF(F1="售价",ROUND(PRODUCT(V47,AC7:AC46),0),ROUND(PRODUCT(V47,AC7:AC46),1))</f>
        <v>17958</v>
      </c>
      <c r="W48" s="3521"/>
      <c r="X48" s="699"/>
      <c r="Y48" s="699"/>
      <c r="Z48" s="699"/>
      <c r="AA48" s="699"/>
      <c r="AB48" s="699"/>
      <c r="AC48" s="699"/>
    </row>
    <row r="49" spans="1:29" ht="15.75" thickBot="1">
      <c r="A49" s="449" t="s">
        <v>2157</v>
      </c>
      <c r="B49" s="450"/>
      <c r="C49" s="1277">
        <f>R49</f>
        <v>16978</v>
      </c>
      <c r="D49" s="1278"/>
      <c r="E49" s="1278"/>
      <c r="F49" s="1278"/>
      <c r="G49" s="1278"/>
      <c r="H49" s="1278"/>
      <c r="I49" s="1278"/>
      <c r="J49" s="1278"/>
      <c r="K49" s="2050"/>
      <c r="L49" s="2901"/>
      <c r="M49" s="2902"/>
      <c r="N49" s="2902"/>
      <c r="O49" s="2902"/>
      <c r="P49" s="3487" t="str">
        <f>A49</f>
        <v>估价对象XX用房的比较价值（楼面单价，元/平方米）</v>
      </c>
      <c r="Q49" s="3488"/>
      <c r="R49" s="3520">
        <f>IF(F1="售价",ROUND(IF(D48="简单平均",AVERAGE(R48:V48),R48*F48+T48*H48+V48*J48),0),ROUND(IF(D48="简单平均",AVERAGE(R48:V48),R48*F48+T48*H48+V48*J48),1))</f>
        <v>16978</v>
      </c>
      <c r="S49" s="3520"/>
      <c r="T49" s="3520"/>
      <c r="U49" s="3520"/>
      <c r="V49" s="3520"/>
      <c r="W49" s="3520"/>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2158</v>
      </c>
      <c r="D52" s="455"/>
      <c r="E52" s="456">
        <f>IF(E47&lt;E48,E48/E47-1,E47/E48-1)</f>
        <v>9.3333333333323054E-4</v>
      </c>
      <c r="F52" s="457" t="str">
        <f>IF(OR(E52&gt;=0.3,E52&lt;=-0.3),"超过30%","")</f>
        <v/>
      </c>
      <c r="G52" s="456">
        <f>IF(G47&lt;G48,G48/G47-1,G47/G48-1)</f>
        <v>3.0009464951840092E-2</v>
      </c>
      <c r="H52" s="457" t="str">
        <f>IF(OR(G52&gt;=0.3,G52&lt;=-0.3),"超过30%","")</f>
        <v/>
      </c>
      <c r="I52" s="456">
        <f>IF(I47&lt;I48,I48/I47-1,I47/I48-1)</f>
        <v>3.0181534692059309E-2</v>
      </c>
      <c r="J52" s="457" t="str">
        <f>IF(OR(I52&gt;=0.3,I52&lt;=-0.3),"超过30%","")</f>
        <v/>
      </c>
      <c r="K52" s="2907"/>
      <c r="L52" s="2903"/>
      <c r="M52" s="2902"/>
      <c r="N52" s="2902"/>
      <c r="O52" s="2902"/>
    </row>
    <row r="53" spans="1:29" ht="13.5" customHeight="1">
      <c r="A53" s="2902"/>
      <c r="B53" s="2902"/>
      <c r="C53" s="454" t="s">
        <v>2159</v>
      </c>
      <c r="D53" s="458"/>
      <c r="E53" s="456">
        <f>IF(E48&lt;G48,G48/E48-1,E48/G48-1)</f>
        <v>0.19628346876248837</v>
      </c>
      <c r="F53" s="457" t="str">
        <f>IF(OR(E53&gt;=0.2,E53&lt;=-0.2),"超过20%","")</f>
        <v/>
      </c>
      <c r="G53" s="456">
        <f>IF(G48&lt;I48,I48/G48-1,G48/I48-1)</f>
        <v>1.6705646508530236E-4</v>
      </c>
      <c r="H53" s="457" t="str">
        <f>IF(OR(G53&gt;=0.2,G53&lt;=-0.2),"超过20%","")</f>
        <v/>
      </c>
      <c r="I53" s="456">
        <f>IF(I48&lt;E48,E48/I48-1,I48/E48-1)</f>
        <v>0.1960836552550953</v>
      </c>
      <c r="J53" s="457" t="str">
        <f>IF(OR(I53&gt;=0.2,I53&lt;=-0.2),"超过20%","")</f>
        <v/>
      </c>
      <c r="K53" s="2907"/>
      <c r="L53" s="2903"/>
      <c r="M53" s="2902"/>
      <c r="N53" s="2902"/>
      <c r="O53" s="2902"/>
    </row>
    <row r="54" spans="1:29" s="459" customFormat="1" ht="13.5" customHeight="1">
      <c r="A54" s="2905"/>
      <c r="B54" s="2905"/>
      <c r="C54" s="454" t="s">
        <v>2160</v>
      </c>
      <c r="D54" s="458"/>
      <c r="E54" s="456">
        <f>IF(E47&lt;G47,G47/E47-1,E47/G47-1)</f>
        <v>0.23333333333333339</v>
      </c>
      <c r="F54" s="457" t="str">
        <f>IF(OR(E54&gt;=0.3,E54&lt;=-0.3),"超过30%","")</f>
        <v/>
      </c>
      <c r="G54" s="456">
        <f>IF(G47&lt;I47,I47/G47-1,G47/I47-1)</f>
        <v>0</v>
      </c>
      <c r="H54" s="457" t="str">
        <f>IF(OR(G54&gt;=0.3,G54&lt;=-0.3),"超过30%","")</f>
        <v/>
      </c>
      <c r="I54" s="456">
        <f>IF(I47&lt;E47,E47/I47-1,I47/E47-1)</f>
        <v>0.23333333333333339</v>
      </c>
      <c r="J54" s="457" t="str">
        <f>IF(OR(I54&gt;=0.3,I54&lt;=-0.3),"超过30%","")</f>
        <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2162</v>
      </c>
      <c r="B58" s="463"/>
      <c r="C58" s="1300" t="str">
        <f>YEAR(C7)&amp;"-"&amp;MONTH(C7)</f>
        <v>2022-12</v>
      </c>
      <c r="D58" s="1299">
        <f>EDATE(C58,-1)</f>
        <v>44866</v>
      </c>
      <c r="E58" s="1299">
        <f>EDATE(D58,-1)</f>
        <v>44835</v>
      </c>
      <c r="F58" s="1299">
        <f t="shared" ref="F58:O58" si="19">EDATE(E58,-1)</f>
        <v>44805</v>
      </c>
      <c r="G58" s="1299">
        <f t="shared" si="19"/>
        <v>44774</v>
      </c>
      <c r="H58" s="1299">
        <f t="shared" si="19"/>
        <v>44743</v>
      </c>
      <c r="I58" s="1299">
        <f t="shared" si="19"/>
        <v>44713</v>
      </c>
      <c r="J58" s="1299">
        <f t="shared" si="19"/>
        <v>44682</v>
      </c>
      <c r="K58" s="1299">
        <f t="shared" si="19"/>
        <v>44652</v>
      </c>
      <c r="L58" s="1299">
        <f t="shared" si="19"/>
        <v>44621</v>
      </c>
      <c r="M58" s="1299">
        <f t="shared" si="19"/>
        <v>44593</v>
      </c>
      <c r="N58" s="1299">
        <f t="shared" si="19"/>
        <v>44562</v>
      </c>
      <c r="O58" s="1299">
        <f t="shared" si="19"/>
        <v>44531</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2164</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t="str">
        <f>C9</f>
        <v>住宅</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46"/>
      <c r="O66" s="1046"/>
      <c r="P66" s="2057"/>
      <c r="Q66" s="461"/>
    </row>
    <row r="67" spans="1:17" ht="15.75" thickTop="1">
      <c r="A67" s="491"/>
      <c r="B67" s="503" t="s">
        <v>2136</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5（含）-6</v>
      </c>
      <c r="I67" s="504" t="str">
        <f t="shared" si="21"/>
        <v>6（含）-7</v>
      </c>
      <c r="J67" s="504" t="str">
        <f t="shared" si="21"/>
        <v>7（含）-8</v>
      </c>
      <c r="K67" s="504" t="str">
        <f>K68&amp;"（含）"&amp;"-"&amp;L68</f>
        <v>8（含）-9</v>
      </c>
      <c r="L67" s="504" t="str">
        <f t="shared" si="21"/>
        <v>9（含）-10</v>
      </c>
      <c r="M67" s="407" t="str">
        <f>M68&amp;"（含）"&amp;"-"&amp;P68</f>
        <v>10（含）-</v>
      </c>
      <c r="N67" s="1046"/>
      <c r="O67" s="1046"/>
      <c r="P67" s="2057"/>
      <c r="Q67" s="461"/>
    </row>
    <row r="68" spans="1:17" ht="15">
      <c r="A68" s="491"/>
      <c r="B68" s="505"/>
      <c r="C68" s="506">
        <v>0</v>
      </c>
      <c r="D68" s="506">
        <v>1</v>
      </c>
      <c r="E68" s="506">
        <v>2</v>
      </c>
      <c r="F68" s="506">
        <v>3</v>
      </c>
      <c r="G68" s="506">
        <v>4</v>
      </c>
      <c r="H68" s="506">
        <v>5</v>
      </c>
      <c r="I68" s="506">
        <v>6</v>
      </c>
      <c r="J68" s="506">
        <v>7</v>
      </c>
      <c r="K68" s="506">
        <v>8</v>
      </c>
      <c r="L68" s="506">
        <v>9</v>
      </c>
      <c r="M68" s="506">
        <v>10</v>
      </c>
      <c r="N68" s="1045"/>
      <c r="O68" s="1045"/>
      <c r="P68" s="2057"/>
      <c r="Q68" s="461"/>
    </row>
    <row r="69" spans="1:17" ht="15.75" thickBot="1">
      <c r="A69" s="491"/>
      <c r="B69" s="492"/>
      <c r="C69" s="501">
        <v>100</v>
      </c>
      <c r="D69" s="501">
        <f t="shared" ref="D69:M69" si="22">C69-$K11</f>
        <v>97</v>
      </c>
      <c r="E69" s="501">
        <f t="shared" si="22"/>
        <v>94</v>
      </c>
      <c r="F69" s="501">
        <f t="shared" si="22"/>
        <v>91</v>
      </c>
      <c r="G69" s="501">
        <f t="shared" si="22"/>
        <v>88</v>
      </c>
      <c r="H69" s="501">
        <f t="shared" si="22"/>
        <v>85</v>
      </c>
      <c r="I69" s="501">
        <f t="shared" si="22"/>
        <v>82</v>
      </c>
      <c r="J69" s="501">
        <f t="shared" si="22"/>
        <v>79</v>
      </c>
      <c r="K69" s="501">
        <f t="shared" si="22"/>
        <v>76</v>
      </c>
      <c r="L69" s="501">
        <f t="shared" si="22"/>
        <v>73</v>
      </c>
      <c r="M69" s="502">
        <f t="shared" si="22"/>
        <v>70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97</v>
      </c>
      <c r="E79" s="501">
        <f>D79-$K17</f>
        <v>94</v>
      </c>
      <c r="F79" s="501">
        <f>E79-$K17</f>
        <v>91</v>
      </c>
      <c r="G79" s="501">
        <f>F79-$K17</f>
        <v>88</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46"/>
      <c r="O81" s="1046"/>
      <c r="P81" s="2057"/>
      <c r="Q81" s="461"/>
    </row>
    <row r="82" spans="1:17" ht="15.75" thickTop="1">
      <c r="A82" s="491"/>
      <c r="B82" s="503" t="s">
        <v>1706</v>
      </c>
      <c r="C82" s="496" t="s">
        <v>2182</v>
      </c>
      <c r="D82" s="496" t="s">
        <v>2183</v>
      </c>
      <c r="E82" s="496" t="s">
        <v>2184</v>
      </c>
      <c r="F82" s="496" t="s">
        <v>2185</v>
      </c>
      <c r="G82" s="496" t="s">
        <v>2186</v>
      </c>
      <c r="H82" s="496"/>
      <c r="I82" s="496"/>
      <c r="J82" s="496"/>
      <c r="K82" s="496"/>
      <c r="L82" s="496"/>
      <c r="M82" s="1244"/>
      <c r="N82" s="1046"/>
      <c r="O82" s="1046"/>
      <c r="P82" s="2057"/>
      <c r="Q82" s="461"/>
    </row>
    <row r="83" spans="1:17" ht="15.75" thickBot="1">
      <c r="A83" s="491"/>
      <c r="B83" s="503"/>
      <c r="C83" s="616">
        <v>100</v>
      </c>
      <c r="D83" s="616">
        <f>C83-$K21</f>
        <v>97</v>
      </c>
      <c r="E83" s="616">
        <f t="shared" ref="E83:G83" si="23">D83-$K21</f>
        <v>94</v>
      </c>
      <c r="F83" s="616">
        <f t="shared" si="23"/>
        <v>91</v>
      </c>
      <c r="G83" s="616">
        <f t="shared" si="23"/>
        <v>88</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3231" t="s">
        <v>3479</v>
      </c>
      <c r="D100" s="3231" t="s">
        <v>3475</v>
      </c>
      <c r="E100" s="3231" t="s">
        <v>3476</v>
      </c>
      <c r="F100" s="3231" t="s">
        <v>3477</v>
      </c>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46"/>
      <c r="O101" s="1046"/>
      <c r="P101" s="2057"/>
      <c r="Q101" s="461"/>
    </row>
    <row r="102" spans="1:17" ht="29.25" thickTop="1">
      <c r="A102" s="491"/>
      <c r="B102" s="495" t="s">
        <v>2191</v>
      </c>
      <c r="C102" s="535" t="str">
        <f>C103&amp;"(含)"&amp;"-"&amp;D103</f>
        <v>0(含)-50000</v>
      </c>
      <c r="D102" s="535" t="str">
        <f t="shared" ref="D102:L102" si="27">D103&amp;"(含)"&amp;"-"&amp;E103</f>
        <v>50000(含)-100000</v>
      </c>
      <c r="E102" s="535" t="str">
        <f t="shared" si="27"/>
        <v>100000(含)-150000</v>
      </c>
      <c r="F102" s="535" t="str">
        <f t="shared" si="27"/>
        <v>150000(含)-200000</v>
      </c>
      <c r="G102" s="535" t="str">
        <f t="shared" si="27"/>
        <v>200000(含)-250000</v>
      </c>
      <c r="H102" s="535" t="str">
        <f t="shared" si="27"/>
        <v>250000(含)-300000</v>
      </c>
      <c r="I102" s="535" t="str">
        <f t="shared" si="27"/>
        <v>300000(含)-350000</v>
      </c>
      <c r="J102" s="535" t="str">
        <f t="shared" si="27"/>
        <v>350000(含)-400000</v>
      </c>
      <c r="K102" s="535" t="str">
        <f>K103&amp;"(含)"&amp;"-"&amp;L103</f>
        <v>400000(含)-450000</v>
      </c>
      <c r="L102" s="535" t="str">
        <f t="shared" si="27"/>
        <v>450000(含)-500000</v>
      </c>
      <c r="M102" s="535" t="str">
        <f>M103&amp;"(含)"&amp;"-"&amp;P103</f>
        <v>500000(含)-</v>
      </c>
      <c r="N102" s="1044"/>
      <c r="O102" s="1044"/>
      <c r="P102" s="2057"/>
      <c r="Q102" s="461"/>
    </row>
    <row r="103" spans="1:17" s="430" customFormat="1">
      <c r="A103" s="550"/>
      <c r="B103" s="551"/>
      <c r="C103" s="552">
        <v>0</v>
      </c>
      <c r="D103" s="552">
        <v>50000</v>
      </c>
      <c r="E103" s="552">
        <v>100000</v>
      </c>
      <c r="F103" s="552">
        <v>150000</v>
      </c>
      <c r="G103" s="552">
        <v>200000</v>
      </c>
      <c r="H103" s="552">
        <v>250000</v>
      </c>
      <c r="I103" s="552">
        <v>300000</v>
      </c>
      <c r="J103" s="552">
        <v>350000</v>
      </c>
      <c r="K103" s="552">
        <v>400000</v>
      </c>
      <c r="L103" s="552">
        <v>450000</v>
      </c>
      <c r="M103" s="552">
        <v>500000</v>
      </c>
      <c r="N103" s="1047"/>
      <c r="O103" s="1047"/>
      <c r="P103" s="2058"/>
      <c r="Q103" s="516"/>
    </row>
    <row r="104" spans="1:17" s="430" customFormat="1" ht="15.75" thickBot="1">
      <c r="A104" s="510"/>
      <c r="B104" s="500"/>
      <c r="C104" s="517">
        <v>100</v>
      </c>
      <c r="D104" s="493">
        <v>101</v>
      </c>
      <c r="E104" s="517">
        <v>102</v>
      </c>
      <c r="F104" s="493">
        <v>103</v>
      </c>
      <c r="G104" s="517">
        <v>104</v>
      </c>
      <c r="H104" s="493">
        <v>105</v>
      </c>
      <c r="I104" s="517">
        <v>106</v>
      </c>
      <c r="J104" s="493">
        <v>107</v>
      </c>
      <c r="K104" s="517">
        <v>108</v>
      </c>
      <c r="L104" s="493">
        <v>109</v>
      </c>
      <c r="M104" s="517">
        <v>110</v>
      </c>
      <c r="N104" s="1046"/>
      <c r="O104" s="1046"/>
      <c r="P104" s="2058"/>
      <c r="Q104" s="516"/>
    </row>
    <row r="105" spans="1:17" ht="15" thickTop="1">
      <c r="A105" s="556"/>
      <c r="B105" s="495" t="s">
        <v>2192</v>
      </c>
      <c r="C105" s="3233" t="s">
        <v>3372</v>
      </c>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99</v>
      </c>
      <c r="E106" s="501">
        <f t="shared" si="28"/>
        <v>98</v>
      </c>
      <c r="F106" s="501">
        <f t="shared" si="28"/>
        <v>97</v>
      </c>
      <c r="G106" s="501">
        <f t="shared" si="28"/>
        <v>96</v>
      </c>
      <c r="H106" s="501">
        <f t="shared" si="28"/>
        <v>95</v>
      </c>
      <c r="I106" s="501">
        <f t="shared" si="28"/>
        <v>94</v>
      </c>
      <c r="J106" s="501">
        <f t="shared" si="28"/>
        <v>93</v>
      </c>
      <c r="K106" s="501">
        <f t="shared" si="28"/>
        <v>92</v>
      </c>
      <c r="L106" s="501">
        <f t="shared" si="28"/>
        <v>91</v>
      </c>
      <c r="M106" s="501">
        <f t="shared" si="28"/>
        <v>90</v>
      </c>
      <c r="N106" s="1046"/>
      <c r="O106" s="1046"/>
      <c r="P106" s="2057"/>
      <c r="Q106" s="461"/>
    </row>
    <row r="107" spans="1:17" ht="15" thickTop="1">
      <c r="A107" s="556"/>
      <c r="B107" s="495" t="s">
        <v>2193</v>
      </c>
      <c r="C107" s="3232" t="s">
        <v>3373</v>
      </c>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99</v>
      </c>
      <c r="E108" s="501">
        <f t="shared" si="29"/>
        <v>98</v>
      </c>
      <c r="F108" s="501">
        <f t="shared" si="29"/>
        <v>97</v>
      </c>
      <c r="G108" s="501">
        <f t="shared" si="29"/>
        <v>96</v>
      </c>
      <c r="H108" s="501">
        <f t="shared" si="29"/>
        <v>95</v>
      </c>
      <c r="I108" s="501">
        <f t="shared" si="29"/>
        <v>94</v>
      </c>
      <c r="J108" s="501">
        <f t="shared" si="29"/>
        <v>93</v>
      </c>
      <c r="K108" s="501">
        <f t="shared" si="29"/>
        <v>92</v>
      </c>
      <c r="L108" s="501">
        <f t="shared" si="29"/>
        <v>91</v>
      </c>
      <c r="M108" s="501">
        <f t="shared" si="29"/>
        <v>90</v>
      </c>
      <c r="N108" s="1046"/>
      <c r="O108" s="1046"/>
      <c r="P108" s="2057"/>
      <c r="Q108" s="461"/>
    </row>
    <row r="109" spans="1:17" ht="15" thickTop="1">
      <c r="A109" s="556"/>
      <c r="B109" s="495" t="s">
        <v>2194</v>
      </c>
      <c r="C109" s="3233" t="s">
        <v>3375</v>
      </c>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99</v>
      </c>
      <c r="E110" s="501">
        <f t="shared" si="30"/>
        <v>98</v>
      </c>
      <c r="F110" s="501">
        <f t="shared" si="30"/>
        <v>97</v>
      </c>
      <c r="G110" s="501">
        <f t="shared" si="30"/>
        <v>96</v>
      </c>
      <c r="H110" s="501">
        <f t="shared" si="30"/>
        <v>95</v>
      </c>
      <c r="I110" s="501">
        <f t="shared" si="30"/>
        <v>94</v>
      </c>
      <c r="J110" s="501">
        <f t="shared" si="30"/>
        <v>93</v>
      </c>
      <c r="K110" s="501">
        <f t="shared" si="30"/>
        <v>92</v>
      </c>
      <c r="L110" s="501">
        <f t="shared" si="30"/>
        <v>91</v>
      </c>
      <c r="M110" s="501">
        <f t="shared" si="30"/>
        <v>90</v>
      </c>
      <c r="N110" s="1046"/>
      <c r="O110" s="1046"/>
      <c r="P110" s="2057"/>
      <c r="Q110" s="461"/>
    </row>
    <row r="111" spans="1:17" s="430" customFormat="1" ht="15" thickTop="1">
      <c r="A111" s="550"/>
      <c r="B111" s="495" t="s">
        <v>1636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47"/>
      <c r="O113" s="1047"/>
      <c r="P113" s="2058"/>
      <c r="Q113" s="516"/>
    </row>
    <row r="114" spans="1:17" ht="15" thickTop="1">
      <c r="A114" s="556"/>
      <c r="B114" s="495" t="s">
        <v>2195</v>
      </c>
      <c r="C114" s="3233" t="s">
        <v>3376</v>
      </c>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46"/>
      <c r="O115" s="1046"/>
      <c r="P115" s="2057"/>
      <c r="Q115" s="461"/>
    </row>
    <row r="116" spans="1:17" ht="15" thickTop="1">
      <c r="A116" s="556"/>
      <c r="B116" s="495" t="s">
        <v>2196</v>
      </c>
      <c r="C116" s="3233" t="s">
        <v>3377</v>
      </c>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46"/>
      <c r="O117" s="1046"/>
      <c r="P117" s="2057"/>
      <c r="Q117" s="461"/>
    </row>
    <row r="118" spans="1:17" ht="15" thickTop="1">
      <c r="A118" s="556"/>
      <c r="B118" s="495" t="s">
        <v>2197</v>
      </c>
      <c r="C118" s="3232" t="s">
        <v>3378</v>
      </c>
      <c r="D118" s="540"/>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99</v>
      </c>
      <c r="E119" s="501">
        <f t="shared" si="32"/>
        <v>98</v>
      </c>
      <c r="F119" s="501">
        <f t="shared" si="32"/>
        <v>97</v>
      </c>
      <c r="G119" s="501">
        <f t="shared" si="32"/>
        <v>96</v>
      </c>
      <c r="H119" s="501">
        <f t="shared" si="32"/>
        <v>95</v>
      </c>
      <c r="I119" s="501">
        <f t="shared" si="32"/>
        <v>94</v>
      </c>
      <c r="J119" s="501">
        <f t="shared" si="32"/>
        <v>93</v>
      </c>
      <c r="K119" s="501">
        <f t="shared" si="32"/>
        <v>92</v>
      </c>
      <c r="L119" s="501">
        <f t="shared" si="32"/>
        <v>91</v>
      </c>
      <c r="M119" s="501">
        <f t="shared" si="32"/>
        <v>90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3233" t="s">
        <v>3375</v>
      </c>
      <c r="D122" s="3233" t="s">
        <v>3379</v>
      </c>
      <c r="E122" s="3233" t="s">
        <v>3380</v>
      </c>
      <c r="F122" s="3232" t="s">
        <v>3382</v>
      </c>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99</v>
      </c>
      <c r="E123" s="501">
        <f t="shared" si="33"/>
        <v>98</v>
      </c>
      <c r="F123" s="501">
        <f t="shared" si="33"/>
        <v>97</v>
      </c>
      <c r="G123" s="501">
        <f t="shared" si="33"/>
        <v>96</v>
      </c>
      <c r="H123" s="501">
        <f t="shared" si="33"/>
        <v>95</v>
      </c>
      <c r="I123" s="501">
        <f t="shared" si="33"/>
        <v>94</v>
      </c>
      <c r="J123" s="501">
        <f t="shared" si="33"/>
        <v>93</v>
      </c>
      <c r="K123" s="501">
        <f t="shared" si="33"/>
        <v>92</v>
      </c>
      <c r="L123" s="501">
        <f t="shared" si="33"/>
        <v>91</v>
      </c>
      <c r="M123" s="501">
        <f t="shared" si="33"/>
        <v>90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99</v>
      </c>
      <c r="E125" s="501">
        <f>D125-$K43</f>
        <v>98</v>
      </c>
      <c r="F125" s="501">
        <f>E125-$K43</f>
        <v>97</v>
      </c>
      <c r="G125" s="501">
        <f>F125-$K43</f>
        <v>96</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disablePrompts="1"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36">
      <c r="A4" s="1615" t="str">
        <f>"受贵公司委托，我公司对"&amp;项目基本情况!S1&amp;"进行了预评估。"</f>
        <v>受贵公司委托，我公司对出让国有建设用地使用权及在建建筑物房地产抵押价值进行了预评估。</v>
      </c>
    </row>
    <row r="5" spans="1:1" ht="18.75">
      <c r="A5" s="1616" t="s">
        <v>1336</v>
      </c>
    </row>
    <row r="6" spans="1:1" ht="18.75">
      <c r="A6" s="1617" t="s">
        <v>1337</v>
      </c>
    </row>
    <row r="7" spans="1:1" ht="54">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估价对象为出让国有建设用地使用权及在建建筑物房地产，为所有。根据《国有土地使用证》[]，估价对象（分摊）出让国有建设用地使用权面积为4132.73平方米，建筑面积为6199.09平方米。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4132.73平方米，规划建筑面积为6199.09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2022年12月20日（评估专业人员实地查勘之日）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20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
      </c>
    </row>
    <row r="23" spans="1:1" ht="18.75">
      <c r="A23" s="1620" t="s">
        <v>1333</v>
      </c>
    </row>
    <row r="24" spans="1:1" ht="18">
      <c r="A24" s="1622" t="str">
        <f>"本次评估采用的主估价方法为"&amp;结果表!K4&amp;"和"&amp;结果表!L4&amp;"。"</f>
        <v>本次评估采用的主估价方法为成本法和假设开发法。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4" t="s">
        <v>2220</v>
      </c>
      <c r="C1" s="1358" t="s">
        <v>2108</v>
      </c>
      <c r="D1" s="1345"/>
      <c r="E1" s="2492"/>
      <c r="F1" s="2015"/>
      <c r="G1" s="1355" t="s">
        <v>2221</v>
      </c>
      <c r="H1" s="1354"/>
      <c r="I1" s="1354"/>
      <c r="J1" s="1354"/>
      <c r="K1" s="1356"/>
      <c r="L1" s="1357"/>
      <c r="M1" s="1358"/>
      <c r="N1" s="1358"/>
      <c r="O1" s="1358"/>
      <c r="P1" s="2084"/>
      <c r="Q1" s="2085"/>
      <c r="R1" s="2085"/>
      <c r="S1" s="2085"/>
      <c r="T1" s="2085"/>
      <c r="U1" s="2085"/>
      <c r="V1" s="2085"/>
      <c r="W1" s="2085"/>
      <c r="X1" s="2085"/>
      <c r="Y1" s="2085"/>
      <c r="Z1" s="2085"/>
      <c r="AA1" s="2085"/>
      <c r="AB1" s="2085"/>
      <c r="AC1" s="2086"/>
    </row>
    <row r="2" spans="1:29" s="358" customFormat="1" ht="28.5" customHeight="1" thickTop="1">
      <c r="A2" s="1341" t="s">
        <v>1908</v>
      </c>
      <c r="B2" s="1279" t="e">
        <f ca="1">IF(C2="——",ROUND(C49*D3/10000,0),ROUND(C49*D3/10000,0)-D2)</f>
        <v>#DIV/0!</v>
      </c>
      <c r="C2" s="2017"/>
      <c r="D2" s="1228" t="e">
        <f ca="1">SUMIF(INDIRECT("'"&amp;F2&amp;"'"&amp;"!A:A"),"承租人权益价值",INDIRECT("'"&amp;F2&amp;"'"&amp;"!c:c"))</f>
        <v>#REF!</v>
      </c>
      <c r="E2" s="2018" t="s">
        <v>1909</v>
      </c>
      <c r="F2" s="2019"/>
      <c r="G2" s="1020"/>
      <c r="H2" s="1020"/>
      <c r="I2" s="1020"/>
      <c r="J2" s="1020"/>
      <c r="K2" s="1020"/>
      <c r="L2" s="2911"/>
      <c r="M2" s="2912"/>
      <c r="N2" s="2912"/>
      <c r="O2" s="2912"/>
      <c r="P2" s="2087"/>
      <c r="Q2" s="1024"/>
      <c r="R2" s="1024"/>
      <c r="S2" s="1024"/>
      <c r="T2" s="1024"/>
      <c r="U2" s="1024"/>
      <c r="V2" s="1024"/>
      <c r="W2" s="1024"/>
      <c r="X2" s="1024"/>
      <c r="Y2" s="1024"/>
      <c r="Z2" s="1024"/>
      <c r="AA2" s="1024"/>
      <c r="AB2" s="1024"/>
      <c r="AC2" s="2088"/>
    </row>
    <row r="3" spans="1:29" s="358" customFormat="1" ht="28.5" customHeight="1" thickBot="1">
      <c r="A3" s="209" t="s">
        <v>1910</v>
      </c>
      <c r="B3" s="566" t="e">
        <f ca="1">IF(C2="——",C49,ROUND(B2*10000/D3,0))</f>
        <v>#DIV/0!</v>
      </c>
      <c r="C3" s="360" t="s">
        <v>2222</v>
      </c>
      <c r="D3" s="359">
        <f>IF(D1="",'数据-汇总表'!E3,SUMIF('数据-汇总表'!$C19:$C33,D1,'数据-汇总表'!$E19:$E33))</f>
        <v>6199.09</v>
      </c>
      <c r="E3" s="2089"/>
      <c r="F3" s="1021"/>
      <c r="G3" s="1020"/>
      <c r="H3" s="1020"/>
      <c r="I3" s="1020"/>
      <c r="J3" s="1020"/>
      <c r="K3" s="1022"/>
      <c r="L3" s="2911"/>
      <c r="M3" s="2912"/>
      <c r="N3" s="2912"/>
      <c r="O3" s="2912"/>
      <c r="P3" s="2087"/>
      <c r="Q3" s="1024"/>
      <c r="R3" s="1024"/>
      <c r="S3" s="1024"/>
      <c r="T3" s="1024"/>
      <c r="U3" s="1024"/>
      <c r="V3" s="1024"/>
      <c r="W3" s="1024"/>
      <c r="X3" s="1024"/>
      <c r="Y3" s="1024"/>
      <c r="Z3" s="1024"/>
      <c r="AA3" s="1024"/>
      <c r="AB3" s="1024"/>
      <c r="AC3" s="2089"/>
    </row>
    <row r="4" spans="1:29" ht="15">
      <c r="A4" s="361" t="s">
        <v>2223</v>
      </c>
      <c r="B4" s="362"/>
      <c r="C4" s="3468" t="s">
        <v>2224</v>
      </c>
      <c r="D4" s="3469"/>
      <c r="E4" s="3470" t="s">
        <v>2225</v>
      </c>
      <c r="F4" s="3471"/>
      <c r="G4" s="3468" t="s">
        <v>2226</v>
      </c>
      <c r="H4" s="3469"/>
      <c r="I4" s="3468" t="s">
        <v>2227</v>
      </c>
      <c r="J4" s="3469"/>
      <c r="K4" s="567" t="s">
        <v>2228</v>
      </c>
      <c r="L4" s="2892"/>
      <c r="M4" s="2893"/>
      <c r="N4" s="2893"/>
      <c r="O4" s="2893"/>
      <c r="P4" s="3472" t="s">
        <v>2229</v>
      </c>
      <c r="Q4" s="3473"/>
      <c r="R4" s="3455" t="s">
        <v>2225</v>
      </c>
      <c r="S4" s="3456"/>
      <c r="T4" s="3455" t="s">
        <v>2226</v>
      </c>
      <c r="U4" s="3456"/>
      <c r="V4" s="3480" t="s">
        <v>2227</v>
      </c>
      <c r="W4" s="3480"/>
      <c r="X4" s="1489"/>
      <c r="Y4" s="3455" t="s">
        <v>2229</v>
      </c>
      <c r="Z4" s="3456"/>
      <c r="AA4" s="3450" t="s">
        <v>2225</v>
      </c>
      <c r="AB4" s="3480" t="s">
        <v>2226</v>
      </c>
      <c r="AC4" s="3450" t="s">
        <v>2227</v>
      </c>
    </row>
    <row r="5" spans="1:29" ht="15">
      <c r="A5" s="364"/>
      <c r="B5" s="365"/>
      <c r="C5" s="3461" t="s">
        <v>2120</v>
      </c>
      <c r="D5" s="3462"/>
      <c r="E5" s="3459" t="s">
        <v>2121</v>
      </c>
      <c r="F5" s="3460"/>
      <c r="G5" s="3461" t="s">
        <v>2122</v>
      </c>
      <c r="H5" s="3462"/>
      <c r="I5" s="3461" t="s">
        <v>2123</v>
      </c>
      <c r="J5" s="3462"/>
      <c r="K5" s="567"/>
      <c r="L5" s="2892"/>
      <c r="M5" s="2893"/>
      <c r="N5" s="2893"/>
      <c r="O5" s="2893"/>
      <c r="P5" s="3474"/>
      <c r="Q5" s="3475"/>
      <c r="R5" s="3457"/>
      <c r="S5" s="3458"/>
      <c r="T5" s="3457"/>
      <c r="U5" s="3458"/>
      <c r="V5" s="3480"/>
      <c r="W5" s="3480"/>
      <c r="X5" s="1489"/>
      <c r="Y5" s="3457"/>
      <c r="Z5" s="3458"/>
      <c r="AA5" s="3451"/>
      <c r="AB5" s="3480"/>
      <c r="AC5" s="3451"/>
    </row>
    <row r="6" spans="1:29" ht="15.75" thickBot="1">
      <c r="A6" s="366"/>
      <c r="B6" s="367"/>
      <c r="C6" s="3463" t="s">
        <v>2124</v>
      </c>
      <c r="D6" s="3464"/>
      <c r="E6" s="3465" t="s">
        <v>2124</v>
      </c>
      <c r="F6" s="3466"/>
      <c r="G6" s="3463" t="s">
        <v>2124</v>
      </c>
      <c r="H6" s="3464"/>
      <c r="I6" s="3463" t="s">
        <v>2124</v>
      </c>
      <c r="J6" s="3464"/>
      <c r="K6" s="567" t="s">
        <v>2125</v>
      </c>
      <c r="L6" s="2892"/>
      <c r="M6" s="2893"/>
      <c r="N6" s="2893"/>
      <c r="O6" s="2893"/>
      <c r="P6" s="3476"/>
      <c r="Q6" s="3477"/>
      <c r="R6" s="3457"/>
      <c r="S6" s="3458"/>
      <c r="T6" s="3478"/>
      <c r="U6" s="3479"/>
      <c r="V6" s="3480"/>
      <c r="W6" s="3480"/>
      <c r="X6" s="1489"/>
      <c r="Y6" s="3478"/>
      <c r="Z6" s="3479"/>
      <c r="AA6" s="3452"/>
      <c r="AB6" s="3480"/>
      <c r="AC6" s="3452"/>
    </row>
    <row r="7" spans="1:29" s="113" customFormat="1" ht="15.75" thickBot="1">
      <c r="A7" s="368" t="s">
        <v>2126</v>
      </c>
      <c r="B7" s="369"/>
      <c r="C7" s="370">
        <f>'数据-取费表'!B2</f>
        <v>44915</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53" t="s">
        <v>2127</v>
      </c>
      <c r="Q7" s="3481"/>
      <c r="R7" s="710" t="s">
        <v>17</v>
      </c>
      <c r="S7" s="711">
        <f t="shared" ref="S7:S15" si="0">F7</f>
        <v>0</v>
      </c>
      <c r="T7" s="710" t="s">
        <v>17</v>
      </c>
      <c r="U7" s="711">
        <f t="shared" ref="U7:U15" si="1">H7</f>
        <v>0</v>
      </c>
      <c r="V7" s="710" t="s">
        <v>17</v>
      </c>
      <c r="W7" s="711">
        <f t="shared" ref="W7:W15" si="2">J7</f>
        <v>0</v>
      </c>
      <c r="X7" s="712"/>
      <c r="Y7" s="3453" t="s">
        <v>2127</v>
      </c>
      <c r="Z7" s="3454"/>
      <c r="AA7" s="713" t="e">
        <f>D7/F7</f>
        <v>#DIV/0!</v>
      </c>
      <c r="AB7" s="713" t="e">
        <f>D7/H7</f>
        <v>#DIV/0!</v>
      </c>
      <c r="AC7" s="713" t="e">
        <f>D7/J7</f>
        <v>#DIV/0!</v>
      </c>
    </row>
    <row r="8" spans="1:29" s="113" customFormat="1" ht="15.75" thickBot="1">
      <c r="A8" s="368" t="s">
        <v>2128</v>
      </c>
      <c r="B8" s="369"/>
      <c r="C8" s="374" t="s">
        <v>2230</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53" t="s">
        <v>2130</v>
      </c>
      <c r="Q8" s="3454"/>
      <c r="R8" s="710" t="s">
        <v>17</v>
      </c>
      <c r="S8" s="711">
        <f t="shared" si="0"/>
        <v>0</v>
      </c>
      <c r="T8" s="710" t="s">
        <v>17</v>
      </c>
      <c r="U8" s="711">
        <f t="shared" si="1"/>
        <v>0</v>
      </c>
      <c r="V8" s="710" t="s">
        <v>17</v>
      </c>
      <c r="W8" s="711">
        <f t="shared" si="2"/>
        <v>0</v>
      </c>
      <c r="X8" s="712"/>
      <c r="Y8" s="3453" t="s">
        <v>2130</v>
      </c>
      <c r="Z8" s="3454"/>
      <c r="AA8" s="713" t="e">
        <f t="shared" ref="AA8:AA46" si="3">D8/F8</f>
        <v>#DIV/0!</v>
      </c>
      <c r="AB8" s="713" t="e">
        <f t="shared" ref="AB8:AB46" si="4">D8/H8</f>
        <v>#DIV/0!</v>
      </c>
      <c r="AC8" s="713" t="e">
        <f t="shared" ref="AC8:AC46" si="5">D8/J8</f>
        <v>#DIV/0!</v>
      </c>
    </row>
    <row r="9" spans="1:29" s="113" customFormat="1">
      <c r="A9" s="375" t="s">
        <v>2131</v>
      </c>
      <c r="B9" s="67" t="s">
        <v>2132</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91" t="s">
        <v>2133</v>
      </c>
      <c r="Q9" s="1477" t="str">
        <f t="shared" ref="Q9:Q15" si="6">B9</f>
        <v>用途</v>
      </c>
      <c r="R9" s="710" t="s">
        <v>17</v>
      </c>
      <c r="S9" s="711">
        <f t="shared" si="0"/>
        <v>100</v>
      </c>
      <c r="T9" s="710" t="s">
        <v>17</v>
      </c>
      <c r="U9" s="711">
        <f t="shared" si="1"/>
        <v>100</v>
      </c>
      <c r="V9" s="710" t="s">
        <v>17</v>
      </c>
      <c r="W9" s="711">
        <f t="shared" si="2"/>
        <v>100</v>
      </c>
      <c r="X9" s="712"/>
      <c r="Y9" s="3423"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91"/>
      <c r="Q10" s="147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387"/>
      <c r="B11" s="381" t="s">
        <v>2136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91"/>
      <c r="Q11" s="1477"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91"/>
      <c r="Q12" s="147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91"/>
      <c r="Q13" s="147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91"/>
      <c r="Q14" s="1477">
        <f t="shared" si="6"/>
        <v>111</v>
      </c>
      <c r="R14" s="710" t="s">
        <v>17</v>
      </c>
      <c r="S14" s="711">
        <f t="shared" si="0"/>
        <v>100</v>
      </c>
      <c r="T14" s="710" t="s">
        <v>17</v>
      </c>
      <c r="U14" s="711">
        <f t="shared" si="1"/>
        <v>100</v>
      </c>
      <c r="V14" s="710" t="s">
        <v>17</v>
      </c>
      <c r="W14" s="711">
        <f t="shared" si="2"/>
        <v>100</v>
      </c>
      <c r="X14" s="712"/>
      <c r="Y14" s="3423"/>
      <c r="Z14" s="55">
        <f t="shared" si="7"/>
        <v>111</v>
      </c>
      <c r="AA14" s="713">
        <f t="shared" si="3"/>
        <v>1</v>
      </c>
      <c r="AB14" s="713">
        <f t="shared" si="4"/>
        <v>1</v>
      </c>
      <c r="AC14" s="713">
        <f t="shared" si="5"/>
        <v>1</v>
      </c>
    </row>
    <row r="15" spans="1:29" ht="15">
      <c r="A15" s="399" t="s">
        <v>2137</v>
      </c>
      <c r="B15" s="65" t="s">
        <v>2231</v>
      </c>
      <c r="C15" s="2032">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26" t="s">
        <v>2138</v>
      </c>
      <c r="Q15" s="1486" t="str">
        <f t="shared" si="6"/>
        <v>商业繁华度</v>
      </c>
      <c r="R15" s="714" t="s">
        <v>17</v>
      </c>
      <c r="S15" s="715">
        <f t="shared" si="0"/>
        <v>100</v>
      </c>
      <c r="T15" s="714" t="s">
        <v>17</v>
      </c>
      <c r="U15" s="715">
        <f t="shared" si="1"/>
        <v>100</v>
      </c>
      <c r="V15" s="714" t="s">
        <v>17</v>
      </c>
      <c r="W15" s="715">
        <f t="shared" si="2"/>
        <v>100</v>
      </c>
      <c r="X15" s="1489"/>
      <c r="Y15" s="3482" t="s">
        <v>2138</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9"/>
      <c r="M16" s="2893"/>
      <c r="N16" s="2893"/>
      <c r="O16" s="2893"/>
      <c r="P16" s="3527"/>
      <c r="Q16" s="1486"/>
      <c r="R16" s="714"/>
      <c r="S16" s="715"/>
      <c r="T16" s="714"/>
      <c r="U16" s="715"/>
      <c r="V16" s="714"/>
      <c r="W16" s="715"/>
      <c r="X16" s="1489"/>
      <c r="Y16" s="3483"/>
      <c r="Z16" s="1490"/>
      <c r="AA16" s="1487">
        <v>1</v>
      </c>
      <c r="AB16" s="1487">
        <v>1</v>
      </c>
      <c r="AC16" s="1487">
        <v>1</v>
      </c>
    </row>
    <row r="17" spans="1:29" ht="15">
      <c r="A17" s="387"/>
      <c r="B17" s="410" t="s">
        <v>1705</v>
      </c>
      <c r="C17" s="2036">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27"/>
      <c r="Q17" s="1486" t="str">
        <f>B17</f>
        <v>交通便捷度</v>
      </c>
      <c r="R17" s="714" t="s">
        <v>17</v>
      </c>
      <c r="S17" s="715">
        <f>F17</f>
        <v>100</v>
      </c>
      <c r="T17" s="714" t="s">
        <v>17</v>
      </c>
      <c r="U17" s="715">
        <f>H17</f>
        <v>100</v>
      </c>
      <c r="V17" s="714" t="s">
        <v>17</v>
      </c>
      <c r="W17" s="715">
        <f>J17</f>
        <v>100</v>
      </c>
      <c r="X17" s="1489"/>
      <c r="Y17" s="3483"/>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899"/>
      <c r="M18" s="2893"/>
      <c r="N18" s="2893"/>
      <c r="O18" s="2893"/>
      <c r="P18" s="3527"/>
      <c r="Q18" s="1486"/>
      <c r="R18" s="714"/>
      <c r="S18" s="715"/>
      <c r="T18" s="714"/>
      <c r="U18" s="715"/>
      <c r="V18" s="714"/>
      <c r="W18" s="715"/>
      <c r="X18" s="1489"/>
      <c r="Y18" s="3483"/>
      <c r="Z18" s="1490"/>
      <c r="AA18" s="1487">
        <v>1</v>
      </c>
      <c r="AB18" s="1487">
        <v>1</v>
      </c>
      <c r="AC18" s="1487">
        <v>1</v>
      </c>
    </row>
    <row r="19" spans="1:29" ht="15">
      <c r="A19" s="387"/>
      <c r="B19" s="410" t="s">
        <v>2232</v>
      </c>
      <c r="C19" s="2036">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27"/>
      <c r="Q19" s="1486" t="str">
        <f>B19</f>
        <v>公共配套设施</v>
      </c>
      <c r="R19" s="714" t="s">
        <v>17</v>
      </c>
      <c r="S19" s="715">
        <f>F19</f>
        <v>100</v>
      </c>
      <c r="T19" s="714" t="s">
        <v>17</v>
      </c>
      <c r="U19" s="715">
        <f>H19</f>
        <v>100</v>
      </c>
      <c r="V19" s="714" t="s">
        <v>17</v>
      </c>
      <c r="W19" s="715">
        <f>J19</f>
        <v>100</v>
      </c>
      <c r="X19" s="1489"/>
      <c r="Y19" s="3483"/>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899"/>
      <c r="M20" s="2893"/>
      <c r="N20" s="2893"/>
      <c r="O20" s="2893"/>
      <c r="P20" s="3527"/>
      <c r="Q20" s="1486"/>
      <c r="R20" s="714"/>
      <c r="S20" s="715"/>
      <c r="T20" s="714"/>
      <c r="U20" s="715"/>
      <c r="V20" s="714"/>
      <c r="W20" s="715"/>
      <c r="X20" s="1489"/>
      <c r="Y20" s="3483"/>
      <c r="Z20" s="1490"/>
      <c r="AA20" s="1487">
        <v>1</v>
      </c>
      <c r="AB20" s="1487">
        <v>1</v>
      </c>
      <c r="AC20" s="1487">
        <v>1</v>
      </c>
    </row>
    <row r="21" spans="1:29" ht="15">
      <c r="A21" s="387"/>
      <c r="B21" s="1246" t="s">
        <v>2233</v>
      </c>
      <c r="C21" s="2036">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27"/>
      <c r="Q21" s="1486" t="str">
        <f>B21</f>
        <v>基础设施水平</v>
      </c>
      <c r="R21" s="714" t="s">
        <v>17</v>
      </c>
      <c r="S21" s="715">
        <f>F21</f>
        <v>100</v>
      </c>
      <c r="T21" s="714" t="s">
        <v>17</v>
      </c>
      <c r="U21" s="715">
        <f>H21</f>
        <v>100</v>
      </c>
      <c r="V21" s="714" t="s">
        <v>17</v>
      </c>
      <c r="W21" s="715">
        <f>J21</f>
        <v>100</v>
      </c>
      <c r="X21" s="1489"/>
      <c r="Y21" s="3483"/>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2899"/>
      <c r="M22" s="2893"/>
      <c r="N22" s="2893"/>
      <c r="O22" s="2893"/>
      <c r="P22" s="3527"/>
      <c r="Q22" s="1486"/>
      <c r="R22" s="714"/>
      <c r="S22" s="715"/>
      <c r="T22" s="714"/>
      <c r="U22" s="715"/>
      <c r="V22" s="714"/>
      <c r="W22" s="715"/>
      <c r="X22" s="1489"/>
      <c r="Y22" s="3483"/>
      <c r="Z22" s="1490"/>
      <c r="AA22" s="1487">
        <v>1</v>
      </c>
      <c r="AB22" s="1487">
        <v>1</v>
      </c>
      <c r="AC22" s="1487">
        <v>1</v>
      </c>
    </row>
    <row r="23" spans="1:29" ht="15">
      <c r="A23" s="387"/>
      <c r="B23" s="410" t="s">
        <v>1707</v>
      </c>
      <c r="C23" s="2090">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27"/>
      <c r="Q23" s="1486" t="str">
        <f>B23</f>
        <v>自然及人文环境</v>
      </c>
      <c r="R23" s="714" t="s">
        <v>17</v>
      </c>
      <c r="S23" s="715">
        <f>F23</f>
        <v>100</v>
      </c>
      <c r="T23" s="714" t="s">
        <v>17</v>
      </c>
      <c r="U23" s="715">
        <f>H23</f>
        <v>100</v>
      </c>
      <c r="V23" s="714" t="s">
        <v>17</v>
      </c>
      <c r="W23" s="715">
        <f>J23</f>
        <v>100</v>
      </c>
      <c r="X23" s="1489"/>
      <c r="Y23" s="3483"/>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899"/>
      <c r="M24" s="2893"/>
      <c r="N24" s="2893"/>
      <c r="O24" s="2893"/>
      <c r="P24" s="3527"/>
      <c r="Q24" s="1486"/>
      <c r="R24" s="714"/>
      <c r="S24" s="715"/>
      <c r="T24" s="714"/>
      <c r="U24" s="715"/>
      <c r="V24" s="714"/>
      <c r="W24" s="715"/>
      <c r="X24" s="1489"/>
      <c r="Y24" s="3483"/>
      <c r="Z24" s="1490"/>
      <c r="AA24" s="1487">
        <v>1</v>
      </c>
      <c r="AB24" s="1487">
        <v>1</v>
      </c>
      <c r="AC24" s="1487">
        <v>1</v>
      </c>
    </row>
    <row r="25" spans="1:29" ht="15">
      <c r="A25" s="387"/>
      <c r="B25" s="381" t="s">
        <v>2234</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27"/>
      <c r="Q25" s="1486" t="str">
        <f t="shared" ref="Q25:Q46" si="11">B25</f>
        <v>临街状况</v>
      </c>
      <c r="R25" s="714" t="s">
        <v>17</v>
      </c>
      <c r="S25" s="715">
        <f>F25</f>
        <v>100</v>
      </c>
      <c r="T25" s="714" t="s">
        <v>17</v>
      </c>
      <c r="U25" s="715">
        <f>H25</f>
        <v>100</v>
      </c>
      <c r="V25" s="714" t="s">
        <v>17</v>
      </c>
      <c r="W25" s="715">
        <f>J25</f>
        <v>100</v>
      </c>
      <c r="X25" s="1489"/>
      <c r="Y25" s="3483"/>
      <c r="Z25" s="1490" t="str">
        <f>Q25</f>
        <v>临街状况</v>
      </c>
      <c r="AA25" s="1487">
        <f t="shared" si="3"/>
        <v>1</v>
      </c>
      <c r="AB25" s="1487">
        <f t="shared" si="4"/>
        <v>1</v>
      </c>
      <c r="AC25" s="1487">
        <f t="shared" si="5"/>
        <v>1</v>
      </c>
    </row>
    <row r="26" spans="1:29" ht="15">
      <c r="A26" s="387"/>
      <c r="B26" s="1248" t="s">
        <v>2235</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27"/>
      <c r="Q26" s="1486" t="str">
        <f t="shared" si="11"/>
        <v>平面位置/可视性</v>
      </c>
      <c r="R26" s="714" t="s">
        <v>17</v>
      </c>
      <c r="S26" s="715">
        <f>F26</f>
        <v>100</v>
      </c>
      <c r="T26" s="714" t="s">
        <v>17</v>
      </c>
      <c r="U26" s="715">
        <f>H26</f>
        <v>100</v>
      </c>
      <c r="V26" s="714" t="s">
        <v>17</v>
      </c>
      <c r="W26" s="715">
        <f>J26</f>
        <v>100</v>
      </c>
      <c r="X26" s="1489"/>
      <c r="Y26" s="3483"/>
      <c r="Z26" s="1490" t="str">
        <f>Q26</f>
        <v>平面位置/可视性</v>
      </c>
      <c r="AA26" s="1487">
        <f t="shared" si="3"/>
        <v>1</v>
      </c>
      <c r="AB26" s="1487">
        <f t="shared" si="4"/>
        <v>1</v>
      </c>
      <c r="AC26" s="1487">
        <f t="shared" si="5"/>
        <v>1</v>
      </c>
    </row>
    <row r="27" spans="1:29" s="113" customFormat="1" ht="15">
      <c r="A27" s="390"/>
      <c r="B27" s="410" t="s">
        <v>2236</v>
      </c>
      <c r="C27" s="2091"/>
      <c r="D27" s="421">
        <v>100</v>
      </c>
      <c r="E27" s="2091"/>
      <c r="F27" s="423">
        <f>SUMIF(90:90,E27,91:91)-SUMIF(90:90,C27,91:91)+100</f>
        <v>100</v>
      </c>
      <c r="G27" s="2091"/>
      <c r="H27" s="421">
        <f>SUMIF(90:90,G27,91:91)-SUMIF(90:90,C27,91:91)+100</f>
        <v>100</v>
      </c>
      <c r="I27" s="2091"/>
      <c r="J27" s="421">
        <f>SUMIF(90:90,I27,91:91)-SUMIF(90:90,C27,91:91)+100</f>
        <v>100</v>
      </c>
      <c r="K27" s="569"/>
      <c r="L27" s="2894"/>
      <c r="M27" s="2895"/>
      <c r="N27" s="2895"/>
      <c r="O27" s="2895"/>
      <c r="P27" s="3527"/>
      <c r="Q27" s="1477" t="str">
        <f t="shared" si="11"/>
        <v>人流量</v>
      </c>
      <c r="R27" s="710" t="s">
        <v>17</v>
      </c>
      <c r="S27" s="711">
        <f>F27</f>
        <v>100</v>
      </c>
      <c r="T27" s="710" t="s">
        <v>17</v>
      </c>
      <c r="U27" s="711">
        <f>H27</f>
        <v>100</v>
      </c>
      <c r="V27" s="710" t="s">
        <v>17</v>
      </c>
      <c r="W27" s="711">
        <f>J27</f>
        <v>100</v>
      </c>
      <c r="X27" s="712"/>
      <c r="Y27" s="3483"/>
      <c r="Z27" s="55" t="str">
        <f>Q27</f>
        <v>人流量</v>
      </c>
      <c r="AA27" s="1487">
        <f>D27/F27</f>
        <v>1</v>
      </c>
      <c r="AB27" s="1487">
        <f>D27/H27</f>
        <v>1</v>
      </c>
      <c r="AC27" s="1487">
        <f>D27/J27</f>
        <v>1</v>
      </c>
    </row>
    <row r="28" spans="1:29" ht="15">
      <c r="A28" s="387"/>
      <c r="B28" s="381" t="s">
        <v>2237</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27"/>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83"/>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27"/>
      <c r="Q29" s="1486">
        <f t="shared" si="11"/>
        <v>111</v>
      </c>
      <c r="R29" s="714" t="s">
        <v>17</v>
      </c>
      <c r="S29" s="715">
        <f t="shared" si="12"/>
        <v>100</v>
      </c>
      <c r="T29" s="714" t="s">
        <v>17</v>
      </c>
      <c r="U29" s="715">
        <f t="shared" si="13"/>
        <v>100</v>
      </c>
      <c r="V29" s="714" t="s">
        <v>17</v>
      </c>
      <c r="W29" s="715">
        <f t="shared" si="14"/>
        <v>100</v>
      </c>
      <c r="X29" s="1489"/>
      <c r="Y29" s="3483"/>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27"/>
      <c r="Q30" s="1486">
        <f t="shared" si="11"/>
        <v>111</v>
      </c>
      <c r="R30" s="714" t="s">
        <v>17</v>
      </c>
      <c r="S30" s="715">
        <f t="shared" si="12"/>
        <v>100</v>
      </c>
      <c r="T30" s="714" t="s">
        <v>17</v>
      </c>
      <c r="U30" s="715">
        <f t="shared" si="13"/>
        <v>100</v>
      </c>
      <c r="V30" s="714" t="s">
        <v>17</v>
      </c>
      <c r="W30" s="715">
        <f t="shared" si="14"/>
        <v>100</v>
      </c>
      <c r="X30" s="1489"/>
      <c r="Y30" s="3483"/>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27"/>
      <c r="Q31" s="1486">
        <f t="shared" si="11"/>
        <v>111</v>
      </c>
      <c r="R31" s="714" t="s">
        <v>17</v>
      </c>
      <c r="S31" s="715">
        <f t="shared" si="12"/>
        <v>100</v>
      </c>
      <c r="T31" s="714" t="s">
        <v>17</v>
      </c>
      <c r="U31" s="715">
        <f t="shared" si="13"/>
        <v>100</v>
      </c>
      <c r="V31" s="714" t="s">
        <v>17</v>
      </c>
      <c r="W31" s="715">
        <f t="shared" si="14"/>
        <v>100</v>
      </c>
      <c r="X31" s="1489"/>
      <c r="Y31" s="3483"/>
      <c r="Z31" s="1490">
        <f t="shared" si="15"/>
        <v>111</v>
      </c>
      <c r="AA31" s="1487">
        <f t="shared" si="3"/>
        <v>1</v>
      </c>
      <c r="AB31" s="1487">
        <f t="shared" si="4"/>
        <v>1</v>
      </c>
      <c r="AC31" s="1487">
        <f t="shared" si="5"/>
        <v>1</v>
      </c>
    </row>
    <row r="32" spans="1:29" ht="15">
      <c r="A32" s="399" t="s">
        <v>2141</v>
      </c>
      <c r="B32" s="67" t="s">
        <v>2238</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9"/>
      <c r="M32" s="2893"/>
      <c r="N32" s="2893"/>
      <c r="O32" s="2893"/>
      <c r="P32" s="3522" t="s">
        <v>2143</v>
      </c>
      <c r="Q32" s="1486" t="str">
        <f t="shared" si="11"/>
        <v>商业类型</v>
      </c>
      <c r="R32" s="714" t="s">
        <v>17</v>
      </c>
      <c r="S32" s="715">
        <f t="shared" si="12"/>
        <v>100</v>
      </c>
      <c r="T32" s="714" t="s">
        <v>17</v>
      </c>
      <c r="U32" s="715">
        <f t="shared" si="13"/>
        <v>100</v>
      </c>
      <c r="V32" s="714" t="s">
        <v>17</v>
      </c>
      <c r="W32" s="715">
        <f t="shared" si="14"/>
        <v>100</v>
      </c>
      <c r="X32" s="1489"/>
      <c r="Y32" s="3485" t="s">
        <v>2143</v>
      </c>
      <c r="Z32" s="1490" t="str">
        <f t="shared" si="15"/>
        <v>商业类型</v>
      </c>
      <c r="AA32" s="1487">
        <f t="shared" si="3"/>
        <v>1</v>
      </c>
      <c r="AB32" s="1487">
        <f t="shared" si="4"/>
        <v>1</v>
      </c>
      <c r="AC32" s="1487">
        <f t="shared" si="5"/>
        <v>1</v>
      </c>
    </row>
    <row r="33" spans="1:29" s="430" customFormat="1" ht="15">
      <c r="A33" s="427"/>
      <c r="B33" s="381" t="s">
        <v>2144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23"/>
      <c r="Q33" s="716" t="str">
        <f t="shared" si="11"/>
        <v>项目建筑规模</v>
      </c>
      <c r="R33" s="717" t="s">
        <v>17</v>
      </c>
      <c r="S33" s="718" t="e">
        <f t="shared" si="12"/>
        <v>#N/A</v>
      </c>
      <c r="T33" s="717" t="s">
        <v>17</v>
      </c>
      <c r="U33" s="718" t="e">
        <f t="shared" si="13"/>
        <v>#N/A</v>
      </c>
      <c r="V33" s="717" t="s">
        <v>17</v>
      </c>
      <c r="W33" s="718" t="e">
        <f t="shared" si="14"/>
        <v>#N/A</v>
      </c>
      <c r="X33" s="719"/>
      <c r="Y33" s="3485"/>
      <c r="Z33" s="720" t="str">
        <f t="shared" si="15"/>
        <v>项目建筑规模</v>
      </c>
      <c r="AA33" s="1487" t="e">
        <f t="shared" si="3"/>
        <v>#N/A</v>
      </c>
      <c r="AB33" s="1487" t="e">
        <f t="shared" si="4"/>
        <v>#N/A</v>
      </c>
      <c r="AC33" s="1487" t="e">
        <f t="shared" si="5"/>
        <v>#N/A</v>
      </c>
    </row>
    <row r="34" spans="1:29" ht="15">
      <c r="A34" s="431"/>
      <c r="B34" s="381" t="s">
        <v>2145</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9"/>
      <c r="M34" s="2893"/>
      <c r="N34" s="2893"/>
      <c r="O34" s="2893"/>
      <c r="P34" s="3523"/>
      <c r="Q34" s="1486" t="str">
        <f t="shared" si="11"/>
        <v>建筑结构</v>
      </c>
      <c r="R34" s="714" t="s">
        <v>17</v>
      </c>
      <c r="S34" s="715">
        <f t="shared" si="12"/>
        <v>100</v>
      </c>
      <c r="T34" s="714" t="s">
        <v>17</v>
      </c>
      <c r="U34" s="715">
        <f t="shared" si="13"/>
        <v>100</v>
      </c>
      <c r="V34" s="714" t="s">
        <v>17</v>
      </c>
      <c r="W34" s="715">
        <f t="shared" si="14"/>
        <v>100</v>
      </c>
      <c r="X34" s="1489"/>
      <c r="Y34" s="3485"/>
      <c r="Z34" s="1490" t="str">
        <f t="shared" si="15"/>
        <v>建筑结构</v>
      </c>
      <c r="AA34" s="1487">
        <f t="shared" si="3"/>
        <v>1</v>
      </c>
      <c r="AB34" s="1487">
        <f t="shared" si="4"/>
        <v>1</v>
      </c>
      <c r="AC34" s="1487">
        <f t="shared" si="5"/>
        <v>1</v>
      </c>
    </row>
    <row r="35" spans="1:29" ht="15">
      <c r="A35" s="431"/>
      <c r="B35" s="381" t="s">
        <v>2239</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9"/>
      <c r="M35" s="2893"/>
      <c r="N35" s="2893"/>
      <c r="O35" s="2893"/>
      <c r="P35" s="3523"/>
      <c r="Q35" s="1486" t="str">
        <f t="shared" si="11"/>
        <v>公共部分装修</v>
      </c>
      <c r="R35" s="714" t="s">
        <v>17</v>
      </c>
      <c r="S35" s="715">
        <f t="shared" si="12"/>
        <v>100</v>
      </c>
      <c r="T35" s="714" t="s">
        <v>17</v>
      </c>
      <c r="U35" s="715">
        <f t="shared" si="13"/>
        <v>100</v>
      </c>
      <c r="V35" s="714" t="s">
        <v>17</v>
      </c>
      <c r="W35" s="715">
        <f t="shared" si="14"/>
        <v>100</v>
      </c>
      <c r="X35" s="1489"/>
      <c r="Y35" s="3485"/>
      <c r="Z35" s="1490" t="str">
        <f t="shared" si="15"/>
        <v>公共部分装修</v>
      </c>
      <c r="AA35" s="1487">
        <f t="shared" si="3"/>
        <v>1</v>
      </c>
      <c r="AB35" s="1487">
        <f t="shared" si="4"/>
        <v>1</v>
      </c>
      <c r="AC35" s="1487">
        <f t="shared" si="5"/>
        <v>1</v>
      </c>
    </row>
    <row r="36" spans="1:29" ht="15">
      <c r="A36" s="431"/>
      <c r="B36" s="381" t="s">
        <v>2240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23"/>
      <c r="Q36" s="1486" t="str">
        <f t="shared" si="11"/>
        <v>成新度</v>
      </c>
      <c r="R36" s="714" t="s">
        <v>17</v>
      </c>
      <c r="S36" s="715" t="e">
        <f t="shared" si="12"/>
        <v>#N/A</v>
      </c>
      <c r="T36" s="714" t="s">
        <v>17</v>
      </c>
      <c r="U36" s="715" t="e">
        <f t="shared" si="13"/>
        <v>#N/A</v>
      </c>
      <c r="V36" s="714" t="s">
        <v>17</v>
      </c>
      <c r="W36" s="715" t="e">
        <f t="shared" si="14"/>
        <v>#N/A</v>
      </c>
      <c r="X36" s="1489"/>
      <c r="Y36" s="3485"/>
      <c r="Z36" s="1490" t="str">
        <f t="shared" si="15"/>
        <v>成新度</v>
      </c>
      <c r="AA36" s="1487" t="e">
        <f t="shared" si="3"/>
        <v>#N/A</v>
      </c>
      <c r="AB36" s="1487" t="e">
        <f t="shared" si="4"/>
        <v>#N/A</v>
      </c>
      <c r="AC36" s="1487" t="e">
        <f t="shared" si="5"/>
        <v>#N/A</v>
      </c>
    </row>
    <row r="37" spans="1:29" s="113" customFormat="1" ht="15">
      <c r="A37" s="432"/>
      <c r="B37" s="381" t="s">
        <v>2241</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4"/>
      <c r="M37" s="2895"/>
      <c r="N37" s="2895"/>
      <c r="O37" s="2895"/>
      <c r="P37" s="3523"/>
      <c r="Q37" s="1477" t="str">
        <f t="shared" si="11"/>
        <v>市政基础设施</v>
      </c>
      <c r="R37" s="710" t="s">
        <v>17</v>
      </c>
      <c r="S37" s="711">
        <f t="shared" si="12"/>
        <v>100</v>
      </c>
      <c r="T37" s="710" t="s">
        <v>17</v>
      </c>
      <c r="U37" s="711">
        <f t="shared" si="13"/>
        <v>100</v>
      </c>
      <c r="V37" s="710" t="s">
        <v>17</v>
      </c>
      <c r="W37" s="711">
        <f t="shared" si="14"/>
        <v>100</v>
      </c>
      <c r="X37" s="712"/>
      <c r="Y37" s="3485"/>
      <c r="Z37" s="55" t="str">
        <f t="shared" si="15"/>
        <v>市政基础设施</v>
      </c>
      <c r="AA37" s="713">
        <f t="shared" si="3"/>
        <v>1</v>
      </c>
      <c r="AB37" s="713">
        <f t="shared" si="4"/>
        <v>1</v>
      </c>
      <c r="AC37" s="713">
        <f t="shared" si="5"/>
        <v>1</v>
      </c>
    </row>
    <row r="38" spans="1:29" ht="15">
      <c r="A38" s="431"/>
      <c r="B38" s="381" t="s">
        <v>2242</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9"/>
      <c r="M38" s="2893"/>
      <c r="N38" s="2893"/>
      <c r="O38" s="2893"/>
      <c r="P38" s="3523" t="s">
        <v>2143</v>
      </c>
      <c r="Q38" s="1486" t="str">
        <f t="shared" si="11"/>
        <v>业态</v>
      </c>
      <c r="R38" s="714" t="s">
        <v>17</v>
      </c>
      <c r="S38" s="715">
        <f t="shared" si="12"/>
        <v>100</v>
      </c>
      <c r="T38" s="714" t="s">
        <v>17</v>
      </c>
      <c r="U38" s="715">
        <f t="shared" si="13"/>
        <v>100</v>
      </c>
      <c r="V38" s="714" t="s">
        <v>17</v>
      </c>
      <c r="W38" s="715">
        <f t="shared" si="14"/>
        <v>100</v>
      </c>
      <c r="X38" s="1489"/>
      <c r="Y38" s="3485" t="s">
        <v>2143</v>
      </c>
      <c r="Z38" s="1490" t="str">
        <f t="shared" si="15"/>
        <v>业态</v>
      </c>
      <c r="AA38" s="1487">
        <f t="shared" si="3"/>
        <v>1</v>
      </c>
      <c r="AB38" s="1487">
        <f t="shared" si="4"/>
        <v>1</v>
      </c>
      <c r="AC38" s="1487">
        <f t="shared" si="5"/>
        <v>1</v>
      </c>
    </row>
    <row r="39" spans="1:29" ht="15">
      <c r="A39" s="431"/>
      <c r="B39" s="381" t="s">
        <v>2243</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9"/>
      <c r="M39" s="2893"/>
      <c r="N39" s="2893"/>
      <c r="O39" s="2893"/>
      <c r="P39" s="3523"/>
      <c r="Q39" s="1486" t="str">
        <f t="shared" si="11"/>
        <v>层高</v>
      </c>
      <c r="R39" s="714" t="s">
        <v>17</v>
      </c>
      <c r="S39" s="715">
        <f t="shared" si="12"/>
        <v>100</v>
      </c>
      <c r="T39" s="714" t="s">
        <v>17</v>
      </c>
      <c r="U39" s="715">
        <f t="shared" si="13"/>
        <v>100</v>
      </c>
      <c r="V39" s="714" t="s">
        <v>17</v>
      </c>
      <c r="W39" s="715">
        <f t="shared" si="14"/>
        <v>100</v>
      </c>
      <c r="X39" s="1489"/>
      <c r="Y39" s="3485"/>
      <c r="Z39" s="1490" t="str">
        <f t="shared" si="15"/>
        <v>层高</v>
      </c>
      <c r="AA39" s="1487">
        <f t="shared" si="3"/>
        <v>1</v>
      </c>
      <c r="AB39" s="1487">
        <f t="shared" si="4"/>
        <v>1</v>
      </c>
      <c r="AC39" s="1487">
        <f t="shared" si="5"/>
        <v>1</v>
      </c>
    </row>
    <row r="40" spans="1:29" ht="15">
      <c r="A40" s="431"/>
      <c r="B40" s="381" t="s">
        <v>2244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23"/>
      <c r="Q40" s="1486" t="str">
        <f t="shared" si="11"/>
        <v>单套建筑面积</v>
      </c>
      <c r="R40" s="714" t="s">
        <v>17</v>
      </c>
      <c r="S40" s="715">
        <f t="shared" si="12"/>
        <v>100</v>
      </c>
      <c r="T40" s="714" t="s">
        <v>17</v>
      </c>
      <c r="U40" s="715">
        <f t="shared" si="13"/>
        <v>100</v>
      </c>
      <c r="V40" s="714" t="s">
        <v>17</v>
      </c>
      <c r="W40" s="715">
        <f t="shared" si="14"/>
        <v>100</v>
      </c>
      <c r="X40" s="1489"/>
      <c r="Y40" s="3485"/>
      <c r="Z40" s="1490" t="str">
        <f t="shared" si="15"/>
        <v>单套建筑面积</v>
      </c>
      <c r="AA40" s="1487">
        <f t="shared" si="3"/>
        <v>1</v>
      </c>
      <c r="AB40" s="1487">
        <f t="shared" si="4"/>
        <v>1</v>
      </c>
      <c r="AC40" s="1487">
        <f t="shared" si="5"/>
        <v>1</v>
      </c>
    </row>
    <row r="41" spans="1:29" s="430" customFormat="1" ht="15">
      <c r="A41" s="427"/>
      <c r="B41" s="1488" t="s">
        <v>2245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23"/>
      <c r="Q41" s="716" t="str">
        <f t="shared" si="11"/>
        <v>进深比</v>
      </c>
      <c r="R41" s="717" t="s">
        <v>17</v>
      </c>
      <c r="S41" s="718">
        <f t="shared" si="12"/>
        <v>100</v>
      </c>
      <c r="T41" s="717" t="s">
        <v>17</v>
      </c>
      <c r="U41" s="718">
        <f t="shared" si="13"/>
        <v>100</v>
      </c>
      <c r="V41" s="717" t="s">
        <v>17</v>
      </c>
      <c r="W41" s="718">
        <f t="shared" si="14"/>
        <v>100</v>
      </c>
      <c r="X41" s="719"/>
      <c r="Y41" s="3485"/>
      <c r="Z41" s="720" t="str">
        <f t="shared" si="15"/>
        <v>进深比</v>
      </c>
      <c r="AA41" s="1487">
        <f t="shared" si="3"/>
        <v>1</v>
      </c>
      <c r="AB41" s="1487">
        <f t="shared" si="4"/>
        <v>1</v>
      </c>
      <c r="AC41" s="1487">
        <f t="shared" si="5"/>
        <v>1</v>
      </c>
    </row>
    <row r="42" spans="1:29" ht="15">
      <c r="A42" s="431"/>
      <c r="B42" s="381" t="s">
        <v>2246</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9"/>
      <c r="M42" s="2893"/>
      <c r="N42" s="2893"/>
      <c r="O42" s="2893"/>
      <c r="P42" s="3523"/>
      <c r="Q42" s="1486" t="str">
        <f t="shared" si="11"/>
        <v>内部装修</v>
      </c>
      <c r="R42" s="714" t="s">
        <v>17</v>
      </c>
      <c r="S42" s="715">
        <f t="shared" si="12"/>
        <v>100</v>
      </c>
      <c r="T42" s="714" t="s">
        <v>17</v>
      </c>
      <c r="U42" s="715">
        <f t="shared" si="13"/>
        <v>100</v>
      </c>
      <c r="V42" s="714" t="s">
        <v>17</v>
      </c>
      <c r="W42" s="715">
        <f t="shared" si="14"/>
        <v>100</v>
      </c>
      <c r="X42" s="1489"/>
      <c r="Y42" s="3485"/>
      <c r="Z42" s="1490" t="str">
        <f t="shared" si="15"/>
        <v>内部装修</v>
      </c>
      <c r="AA42" s="1487">
        <f t="shared" si="3"/>
        <v>1</v>
      </c>
      <c r="AB42" s="1487">
        <f t="shared" si="4"/>
        <v>1</v>
      </c>
      <c r="AC42" s="1487">
        <f t="shared" si="5"/>
        <v>1</v>
      </c>
    </row>
    <row r="43" spans="1:29" ht="15">
      <c r="A43" s="431"/>
      <c r="B43" s="381" t="s">
        <v>2154</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9"/>
      <c r="M43" s="2893"/>
      <c r="N43" s="2893"/>
      <c r="O43" s="2893"/>
      <c r="P43" s="3523"/>
      <c r="Q43" s="1486" t="str">
        <f t="shared" si="11"/>
        <v>内部装修维护情况</v>
      </c>
      <c r="R43" s="714" t="s">
        <v>17</v>
      </c>
      <c r="S43" s="715">
        <f t="shared" si="12"/>
        <v>100</v>
      </c>
      <c r="T43" s="714" t="s">
        <v>17</v>
      </c>
      <c r="U43" s="715">
        <f t="shared" si="13"/>
        <v>100</v>
      </c>
      <c r="V43" s="714" t="s">
        <v>17</v>
      </c>
      <c r="W43" s="715">
        <f t="shared" si="14"/>
        <v>100</v>
      </c>
      <c r="X43" s="1489"/>
      <c r="Y43" s="3485"/>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23"/>
      <c r="Q44" s="1477">
        <f t="shared" si="11"/>
        <v>111</v>
      </c>
      <c r="R44" s="710" t="s">
        <v>17</v>
      </c>
      <c r="S44" s="711">
        <f t="shared" si="12"/>
        <v>100</v>
      </c>
      <c r="T44" s="710" t="s">
        <v>17</v>
      </c>
      <c r="U44" s="711">
        <f t="shared" si="13"/>
        <v>100</v>
      </c>
      <c r="V44" s="710" t="s">
        <v>17</v>
      </c>
      <c r="W44" s="711">
        <f t="shared" si="14"/>
        <v>100</v>
      </c>
      <c r="X44" s="712"/>
      <c r="Y44" s="3485"/>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23"/>
      <c r="Q45" s="1486">
        <f t="shared" si="11"/>
        <v>111</v>
      </c>
      <c r="R45" s="714" t="s">
        <v>17</v>
      </c>
      <c r="S45" s="715">
        <f t="shared" si="12"/>
        <v>100</v>
      </c>
      <c r="T45" s="714" t="s">
        <v>17</v>
      </c>
      <c r="U45" s="715">
        <f t="shared" si="13"/>
        <v>100</v>
      </c>
      <c r="V45" s="714" t="s">
        <v>17</v>
      </c>
      <c r="W45" s="715">
        <f t="shared" si="14"/>
        <v>100</v>
      </c>
      <c r="X45" s="1489"/>
      <c r="Y45" s="3485"/>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24"/>
      <c r="Q46" s="1486">
        <f t="shared" si="11"/>
        <v>111</v>
      </c>
      <c r="R46" s="714" t="s">
        <v>17</v>
      </c>
      <c r="S46" s="715">
        <f t="shared" si="12"/>
        <v>100</v>
      </c>
      <c r="T46" s="714" t="s">
        <v>17</v>
      </c>
      <c r="U46" s="715">
        <f t="shared" si="13"/>
        <v>100</v>
      </c>
      <c r="V46" s="714" t="s">
        <v>17</v>
      </c>
      <c r="W46" s="715">
        <f t="shared" si="14"/>
        <v>100</v>
      </c>
      <c r="X46" s="1489"/>
      <c r="Y46" s="3525"/>
      <c r="Z46" s="1490">
        <f t="shared" si="15"/>
        <v>111</v>
      </c>
      <c r="AA46" s="1487">
        <f t="shared" si="3"/>
        <v>1</v>
      </c>
      <c r="AB46" s="1487">
        <f t="shared" si="4"/>
        <v>1</v>
      </c>
      <c r="AC46" s="1487">
        <f t="shared" si="5"/>
        <v>1</v>
      </c>
    </row>
    <row r="47" spans="1:29" ht="15">
      <c r="A47" s="438" t="s">
        <v>2155</v>
      </c>
      <c r="B47" s="439"/>
      <c r="C47" s="1269" t="s">
        <v>1</v>
      </c>
      <c r="D47" s="1270"/>
      <c r="E47" s="1271"/>
      <c r="F47" s="1272"/>
      <c r="G47" s="1273"/>
      <c r="H47" s="1274"/>
      <c r="I47" s="1271"/>
      <c r="J47" s="1274"/>
      <c r="K47" s="723"/>
      <c r="L47" s="2901"/>
      <c r="M47" s="2902"/>
      <c r="N47" s="2893"/>
      <c r="O47" s="2902"/>
      <c r="P47" s="3467" t="str">
        <f>A47</f>
        <v>成交单价（元/平方米）</v>
      </c>
      <c r="Q47" s="3467"/>
      <c r="R47" s="3480">
        <f>E47</f>
        <v>0</v>
      </c>
      <c r="S47" s="3480"/>
      <c r="T47" s="3480">
        <f>G47</f>
        <v>0</v>
      </c>
      <c r="U47" s="3480"/>
      <c r="V47" s="3480">
        <f>I47</f>
        <v>0</v>
      </c>
      <c r="W47" s="3480"/>
      <c r="X47" s="699"/>
      <c r="Y47" s="721"/>
      <c r="Z47" s="699"/>
      <c r="AA47" s="699"/>
      <c r="AB47" s="699"/>
      <c r="AC47" s="699"/>
    </row>
    <row r="48" spans="1:29" ht="15.75" thickBot="1">
      <c r="A48" s="445" t="s">
        <v>2247</v>
      </c>
      <c r="B48" s="446"/>
      <c r="C48" s="1275" t="e">
        <f>R49</f>
        <v>#DIV/0!</v>
      </c>
      <c r="D48" s="2487" t="s">
        <v>2637</v>
      </c>
      <c r="E48" s="1276" t="e">
        <f>R48</f>
        <v>#DIV/0!</v>
      </c>
      <c r="F48" s="2488"/>
      <c r="G48" s="1275" t="e">
        <f>T48</f>
        <v>#DIV/0!</v>
      </c>
      <c r="H48" s="2488"/>
      <c r="I48" s="1276" t="e">
        <f>V48</f>
        <v>#DIV/0!</v>
      </c>
      <c r="J48" s="2488"/>
      <c r="K48" s="2490">
        <f>F48+H48+J48</f>
        <v>0</v>
      </c>
      <c r="L48" s="2901"/>
      <c r="M48" s="2902"/>
      <c r="N48" s="2893"/>
      <c r="O48" s="2902"/>
      <c r="P48" s="3467" t="str">
        <f>A48</f>
        <v>比较价值（元/平方米）</v>
      </c>
      <c r="Q48" s="3467"/>
      <c r="R48" s="3521" t="e">
        <f>IF(F1="售价",ROUND(PRODUCT(R47,AA7:AA46),0),ROUND(PRODUCT(R47,AA7:AA46),1))</f>
        <v>#DIV/0!</v>
      </c>
      <c r="S48" s="3521"/>
      <c r="T48" s="3521" t="e">
        <f>IF(F1="售价",ROUND(PRODUCT(T47,AB7:AB46),0),ROUND(PRODUCT(T47,AB7:AB46),1))</f>
        <v>#DIV/0!</v>
      </c>
      <c r="U48" s="3521"/>
      <c r="V48" s="3521" t="e">
        <f>IF(F1="售价",ROUND(PRODUCT(V47,AC7:AC46),0),ROUND(PRODUCT(V47,AC7:AC46),1))</f>
        <v>#DIV/0!</v>
      </c>
      <c r="W48" s="3521"/>
      <c r="X48" s="699"/>
      <c r="Y48" s="699"/>
      <c r="Z48" s="699"/>
      <c r="AA48" s="699"/>
      <c r="AB48" s="699"/>
      <c r="AC48" s="699"/>
    </row>
    <row r="49" spans="1:29" ht="15.75" thickBot="1">
      <c r="A49" s="449" t="s">
        <v>2248</v>
      </c>
      <c r="B49" s="450"/>
      <c r="C49" s="1278" t="e">
        <f>R49</f>
        <v>#DIV/0!</v>
      </c>
      <c r="D49" s="1278"/>
      <c r="E49" s="1278"/>
      <c r="F49" s="1278"/>
      <c r="G49" s="1278"/>
      <c r="H49" s="1278"/>
      <c r="I49" s="1278"/>
      <c r="J49" s="1278"/>
      <c r="K49" s="724"/>
      <c r="L49" s="2901"/>
      <c r="M49" s="2902"/>
      <c r="N49" s="2893"/>
      <c r="O49" s="2902"/>
      <c r="P49" s="3487" t="str">
        <f>A49</f>
        <v>估价对象XX用房的比较价值（楼面单价，元/平方米）</v>
      </c>
      <c r="Q49" s="3488"/>
      <c r="R49" s="3520" t="e">
        <f>IF(F1="售价",ROUND(IF(D48="简单平均",AVERAGE(R48:V48),R48*F48+T48*H48+V48*J48),0),ROUND(IF(D48="简单平均",AVERAGE(R48:V48),R48*F48+T48*H48+V48*J48),1))</f>
        <v>#DIV/0!</v>
      </c>
      <c r="S49" s="3520"/>
      <c r="T49" s="3520"/>
      <c r="U49" s="3520"/>
      <c r="V49" s="3520"/>
      <c r="W49" s="3520"/>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2249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2252</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2126</v>
      </c>
      <c r="B58" s="463"/>
      <c r="C58" s="1298" t="str">
        <f>YEAR(C7)&amp;"-"&amp;MONTH(C7)</f>
        <v>2022-12</v>
      </c>
      <c r="D58" s="1299">
        <f>EDATE(C58,-1)</f>
        <v>44866</v>
      </c>
      <c r="E58" s="1299">
        <f t="shared" ref="E58:N58" si="16">EDATE(D58,-1)</f>
        <v>44835</v>
      </c>
      <c r="F58" s="1299">
        <f t="shared" si="16"/>
        <v>44805</v>
      </c>
      <c r="G58" s="1299">
        <f t="shared" si="16"/>
        <v>44774</v>
      </c>
      <c r="H58" s="1299">
        <f t="shared" si="16"/>
        <v>44743</v>
      </c>
      <c r="I58" s="1299">
        <f t="shared" si="16"/>
        <v>44713</v>
      </c>
      <c r="J58" s="1299">
        <f t="shared" si="16"/>
        <v>44682</v>
      </c>
      <c r="K58" s="1299">
        <f t="shared" si="16"/>
        <v>44652</v>
      </c>
      <c r="L58" s="1299">
        <f t="shared" si="16"/>
        <v>44621</v>
      </c>
      <c r="M58" s="1299">
        <f t="shared" si="16"/>
        <v>44593</v>
      </c>
      <c r="N58" s="1299">
        <f t="shared" si="16"/>
        <v>44562</v>
      </c>
      <c r="O58" s="1299">
        <f>EDATE(N58,-1)</f>
        <v>44531</v>
      </c>
      <c r="P58" s="2917"/>
      <c r="Q58" s="2918"/>
      <c r="R58" s="2918"/>
      <c r="S58" s="2918"/>
      <c r="T58" s="2918"/>
      <c r="U58" s="2918"/>
      <c r="V58" s="2918"/>
      <c r="W58" s="2918"/>
      <c r="X58" s="2918"/>
      <c r="Y58" s="2918"/>
      <c r="Z58" s="2918"/>
      <c r="AA58" s="2918"/>
      <c r="AB58" s="2918"/>
      <c r="AC58" s="2918"/>
    </row>
    <row r="59" spans="1:29" s="113" customFormat="1" ht="15">
      <c r="A59" s="466"/>
      <c r="B59" s="467"/>
      <c r="C59" s="1297">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2163</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2128</v>
      </c>
      <c r="B61" s="467"/>
      <c r="C61" s="479" t="s">
        <v>2230</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2166</v>
      </c>
      <c r="B63" s="485" t="s">
        <v>2132</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2135</v>
      </c>
      <c r="C65" s="496" t="s">
        <v>2167</v>
      </c>
      <c r="D65" s="496" t="s">
        <v>2168</v>
      </c>
      <c r="E65" s="496" t="s">
        <v>2169</v>
      </c>
      <c r="F65" s="496" t="s">
        <v>2170</v>
      </c>
      <c r="G65" s="496" t="s">
        <v>2171</v>
      </c>
      <c r="H65" s="496" t="s">
        <v>2172</v>
      </c>
      <c r="I65" s="496" t="s">
        <v>2173</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2137</v>
      </c>
      <c r="B76" s="485" t="s">
        <v>2174</v>
      </c>
      <c r="C76" s="530" t="s">
        <v>2175</v>
      </c>
      <c r="D76" s="530" t="s">
        <v>2176</v>
      </c>
      <c r="E76" s="530" t="s">
        <v>2177</v>
      </c>
      <c r="F76" s="530" t="s">
        <v>2178</v>
      </c>
      <c r="G76" s="530" t="s">
        <v>2179</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2180</v>
      </c>
      <c r="C78" s="535" t="s">
        <v>2175</v>
      </c>
      <c r="D78" s="535" t="s">
        <v>2176</v>
      </c>
      <c r="E78" s="535" t="s">
        <v>2177</v>
      </c>
      <c r="F78" s="535" t="s">
        <v>2178</v>
      </c>
      <c r="G78" s="535" t="s">
        <v>2179</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2181</v>
      </c>
      <c r="C80" s="535" t="s">
        <v>2175</v>
      </c>
      <c r="D80" s="535" t="s">
        <v>2176</v>
      </c>
      <c r="E80" s="535" t="s">
        <v>2177</v>
      </c>
      <c r="F80" s="535" t="s">
        <v>2178</v>
      </c>
      <c r="G80" s="535" t="s">
        <v>2179</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2233</v>
      </c>
      <c r="C82" s="616" t="s">
        <v>2253</v>
      </c>
      <c r="D82" s="616" t="s">
        <v>2254</v>
      </c>
      <c r="E82" s="616" t="s">
        <v>2255</v>
      </c>
      <c r="F82" s="616" t="s">
        <v>2256</v>
      </c>
      <c r="G82" s="616" t="s">
        <v>2257</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2187</v>
      </c>
      <c r="C84" s="535" t="s">
        <v>2175</v>
      </c>
      <c r="D84" s="535" t="s">
        <v>2176</v>
      </c>
      <c r="E84" s="535" t="s">
        <v>2177</v>
      </c>
      <c r="F84" s="535" t="s">
        <v>2178</v>
      </c>
      <c r="G84" s="535" t="s">
        <v>2179</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2258</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2"/>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3"/>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2141</v>
      </c>
      <c r="B100" s="485" t="s">
        <v>2259</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2192</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2194</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2196</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2260</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2261</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2262</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2263</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2198</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2199</v>
      </c>
      <c r="C124" s="535" t="s">
        <v>2175</v>
      </c>
      <c r="D124" s="535" t="s">
        <v>2176</v>
      </c>
      <c r="E124" s="535" t="s">
        <v>2177</v>
      </c>
      <c r="F124" s="535" t="s">
        <v>2178</v>
      </c>
      <c r="G124" s="535" t="s">
        <v>2179</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3"/>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2264</v>
      </c>
      <c r="C1" s="1344" t="s">
        <v>2108</v>
      </c>
      <c r="D1" s="1345"/>
      <c r="E1" s="1354"/>
      <c r="F1" s="2015"/>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1908</v>
      </c>
      <c r="B2" s="1279" t="e">
        <f ca="1">IF(C2="——",ROUND(C50*D3/10000,0),ROUND(C50*D3/10000,0)-D2)</f>
        <v>#DIV/0!</v>
      </c>
      <c r="C2" s="2017"/>
      <c r="D2" s="1228" t="e">
        <f ca="1">SUMIF(INDIRECT("'"&amp;F2&amp;"'"&amp;"!A:A"),"承租人权益价值",INDIRECT("'"&amp;F2&amp;"'"&amp;"!c:c"))</f>
        <v>#REF!</v>
      </c>
      <c r="E2" s="2018" t="s">
        <v>1909</v>
      </c>
      <c r="F2" s="2019"/>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1910</v>
      </c>
      <c r="B3" s="566" t="e">
        <f ca="1">IF(C2="——",C50,ROUND(B2*10000/D3,0))</f>
        <v>#DIV/0!</v>
      </c>
      <c r="C3" s="360" t="s">
        <v>2222</v>
      </c>
      <c r="D3" s="359">
        <f>IF(D1="",'数据-汇总表'!E3,SUMIF('数据-汇总表'!$C19:$C33,D1,'数据-汇总表'!$E19:$E33))</f>
        <v>6199.09</v>
      </c>
      <c r="E3" s="2089"/>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2223</v>
      </c>
      <c r="B4" s="362"/>
      <c r="C4" s="3468" t="s">
        <v>2224</v>
      </c>
      <c r="D4" s="3469"/>
      <c r="E4" s="3470" t="s">
        <v>2225</v>
      </c>
      <c r="F4" s="3471"/>
      <c r="G4" s="3468" t="s">
        <v>2226</v>
      </c>
      <c r="H4" s="3469"/>
      <c r="I4" s="3468" t="s">
        <v>2227</v>
      </c>
      <c r="J4" s="3469"/>
      <c r="K4" s="567" t="s">
        <v>2228</v>
      </c>
      <c r="L4" s="2892"/>
      <c r="M4" s="2893"/>
      <c r="N4" s="2893"/>
      <c r="O4" s="2893"/>
      <c r="P4" s="3534" t="s">
        <v>2229</v>
      </c>
      <c r="Q4" s="3535"/>
      <c r="R4" s="3529" t="s">
        <v>2225</v>
      </c>
      <c r="S4" s="3530"/>
      <c r="T4" s="3529" t="s">
        <v>2226</v>
      </c>
      <c r="U4" s="3530"/>
      <c r="V4" s="3538" t="s">
        <v>2227</v>
      </c>
      <c r="W4" s="3538"/>
      <c r="X4" s="2093"/>
      <c r="Y4" s="3529" t="s">
        <v>2229</v>
      </c>
      <c r="Z4" s="3530"/>
      <c r="AA4" s="3528" t="s">
        <v>2225</v>
      </c>
      <c r="AB4" s="3528" t="s">
        <v>2226</v>
      </c>
      <c r="AC4" s="3531" t="s">
        <v>2227</v>
      </c>
    </row>
    <row r="5" spans="1:29" ht="15">
      <c r="A5" s="364"/>
      <c r="B5" s="365"/>
      <c r="C5" s="3461" t="s">
        <v>2120</v>
      </c>
      <c r="D5" s="3462"/>
      <c r="E5" s="3459" t="s">
        <v>2121</v>
      </c>
      <c r="F5" s="3460"/>
      <c r="G5" s="3461" t="s">
        <v>2122</v>
      </c>
      <c r="H5" s="3462"/>
      <c r="I5" s="3461" t="s">
        <v>2123</v>
      </c>
      <c r="J5" s="3462"/>
      <c r="K5" s="567"/>
      <c r="L5" s="2892"/>
      <c r="M5" s="2893"/>
      <c r="N5" s="2893"/>
      <c r="O5" s="2893"/>
      <c r="P5" s="3536"/>
      <c r="Q5" s="3475"/>
      <c r="R5" s="3457"/>
      <c r="S5" s="3458"/>
      <c r="T5" s="3457"/>
      <c r="U5" s="3458"/>
      <c r="V5" s="3480"/>
      <c r="W5" s="3480"/>
      <c r="X5" s="1489"/>
      <c r="Y5" s="3457"/>
      <c r="Z5" s="3458"/>
      <c r="AA5" s="3451"/>
      <c r="AB5" s="3451"/>
      <c r="AC5" s="3532"/>
    </row>
    <row r="6" spans="1:29" ht="15.75" thickBot="1">
      <c r="A6" s="366"/>
      <c r="B6" s="367"/>
      <c r="C6" s="3463" t="s">
        <v>2124</v>
      </c>
      <c r="D6" s="3464"/>
      <c r="E6" s="3465" t="s">
        <v>2124</v>
      </c>
      <c r="F6" s="3466"/>
      <c r="G6" s="3463" t="s">
        <v>2124</v>
      </c>
      <c r="H6" s="3464"/>
      <c r="I6" s="3463" t="s">
        <v>2124</v>
      </c>
      <c r="J6" s="3464"/>
      <c r="K6" s="567" t="s">
        <v>2125</v>
      </c>
      <c r="L6" s="2892"/>
      <c r="M6" s="2893"/>
      <c r="N6" s="2893"/>
      <c r="O6" s="2893"/>
      <c r="P6" s="3537"/>
      <c r="Q6" s="3477"/>
      <c r="R6" s="3457"/>
      <c r="S6" s="3458"/>
      <c r="T6" s="3478"/>
      <c r="U6" s="3479"/>
      <c r="V6" s="3480"/>
      <c r="W6" s="3480"/>
      <c r="X6" s="1489"/>
      <c r="Y6" s="3478"/>
      <c r="Z6" s="3479"/>
      <c r="AA6" s="3452"/>
      <c r="AB6" s="3452"/>
      <c r="AC6" s="3533"/>
    </row>
    <row r="7" spans="1:29" s="113" customFormat="1" ht="15.75" thickBot="1">
      <c r="A7" s="368" t="s">
        <v>2126</v>
      </c>
      <c r="B7" s="369"/>
      <c r="C7" s="370">
        <f>'数据-取费表'!B2</f>
        <v>44915</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39" t="s">
        <v>2127</v>
      </c>
      <c r="Q7" s="3481"/>
      <c r="R7" s="710" t="s">
        <v>17</v>
      </c>
      <c r="S7" s="711">
        <f t="shared" ref="S7:S15" si="0">F7</f>
        <v>0</v>
      </c>
      <c r="T7" s="710" t="s">
        <v>17</v>
      </c>
      <c r="U7" s="711">
        <f t="shared" ref="U7:U15" si="1">H7</f>
        <v>0</v>
      </c>
      <c r="V7" s="710" t="s">
        <v>17</v>
      </c>
      <c r="W7" s="711">
        <f t="shared" ref="W7:W15" si="2">J7</f>
        <v>0</v>
      </c>
      <c r="X7" s="712"/>
      <c r="Y7" s="3453" t="s">
        <v>2127</v>
      </c>
      <c r="Z7" s="3454"/>
      <c r="AA7" s="713" t="e">
        <f>D7/F7</f>
        <v>#DIV/0!</v>
      </c>
      <c r="AB7" s="713" t="e">
        <f>D7/H7</f>
        <v>#DIV/0!</v>
      </c>
      <c r="AC7" s="2094" t="e">
        <f>D7/J7</f>
        <v>#DIV/0!</v>
      </c>
    </row>
    <row r="8" spans="1:29" s="113" customFormat="1" ht="15.75" thickBot="1">
      <c r="A8" s="368" t="s">
        <v>2128</v>
      </c>
      <c r="B8" s="369"/>
      <c r="C8" s="374" t="s">
        <v>2230</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39" t="s">
        <v>2130</v>
      </c>
      <c r="Q8" s="3454"/>
      <c r="R8" s="710" t="s">
        <v>17</v>
      </c>
      <c r="S8" s="711">
        <f t="shared" si="0"/>
        <v>0</v>
      </c>
      <c r="T8" s="710" t="s">
        <v>17</v>
      </c>
      <c r="U8" s="711">
        <f t="shared" si="1"/>
        <v>0</v>
      </c>
      <c r="V8" s="710" t="s">
        <v>17</v>
      </c>
      <c r="W8" s="711">
        <f t="shared" si="2"/>
        <v>0</v>
      </c>
      <c r="X8" s="712"/>
      <c r="Y8" s="3453" t="s">
        <v>2130</v>
      </c>
      <c r="Z8" s="3454"/>
      <c r="AA8" s="713" t="e">
        <f t="shared" ref="AA8:AA47" si="3">D8/F8</f>
        <v>#DIV/0!</v>
      </c>
      <c r="AB8" s="713" t="e">
        <f t="shared" ref="AB8:AB47" si="4">D8/H8</f>
        <v>#DIV/0!</v>
      </c>
      <c r="AC8" s="2094" t="e">
        <f t="shared" ref="AC8:AC47" si="5">D8/J8</f>
        <v>#DIV/0!</v>
      </c>
    </row>
    <row r="9" spans="1:29" s="113" customFormat="1">
      <c r="A9" s="375" t="s">
        <v>2131</v>
      </c>
      <c r="B9" s="67" t="s">
        <v>2132</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91" t="s">
        <v>2133</v>
      </c>
      <c r="Q9" s="1477" t="str">
        <f t="shared" ref="Q9:Q15" si="6">B9</f>
        <v>用途</v>
      </c>
      <c r="R9" s="710" t="s">
        <v>17</v>
      </c>
      <c r="S9" s="711">
        <f t="shared" si="0"/>
        <v>100</v>
      </c>
      <c r="T9" s="710" t="s">
        <v>17</v>
      </c>
      <c r="U9" s="711">
        <f t="shared" si="1"/>
        <v>100</v>
      </c>
      <c r="V9" s="710" t="s">
        <v>17</v>
      </c>
      <c r="W9" s="711">
        <f t="shared" si="2"/>
        <v>100</v>
      </c>
      <c r="X9" s="712"/>
      <c r="Y9" s="3423" t="s">
        <v>2134</v>
      </c>
      <c r="Z9" s="55" t="str">
        <f t="shared" ref="Z9:Z15" si="7">Q9</f>
        <v>用途</v>
      </c>
      <c r="AA9" s="713">
        <f t="shared" si="3"/>
        <v>1</v>
      </c>
      <c r="AB9" s="713">
        <f t="shared" si="4"/>
        <v>1</v>
      </c>
      <c r="AC9" s="2094">
        <f t="shared" si="5"/>
        <v>1</v>
      </c>
    </row>
    <row r="10" spans="1:29" s="386" customFormat="1" ht="27">
      <c r="A10" s="380"/>
      <c r="B10" s="381" t="s">
        <v>2135</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91"/>
      <c r="Q10" s="147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2094">
        <f t="shared" si="5"/>
        <v>1</v>
      </c>
    </row>
    <row r="11" spans="1:29" ht="15">
      <c r="A11" s="387"/>
      <c r="B11" s="381" t="s">
        <v>2136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91"/>
      <c r="Q11" s="1477"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2094" t="e">
        <f t="shared" si="5"/>
        <v>#N/A</v>
      </c>
    </row>
    <row r="12" spans="1:29" s="113" customFormat="1" ht="15">
      <c r="A12" s="390"/>
      <c r="B12" s="2029">
        <v>111</v>
      </c>
      <c r="C12" s="391"/>
      <c r="D12" s="392">
        <v>100</v>
      </c>
      <c r="E12" s="391"/>
      <c r="F12" s="132">
        <f>SUMIF(71:71,E12,72:72)-SUMIF(71:71,C12,72:72)+100</f>
        <v>100</v>
      </c>
      <c r="G12" s="2095"/>
      <c r="H12" s="132">
        <f>SUMIF(71:71,G12,72:72)-SUMIF(71:71,C12,72:72)+100</f>
        <v>100</v>
      </c>
      <c r="I12" s="391"/>
      <c r="J12" s="132">
        <f>SUMIF(71:71,I12,72:72)-SUMIF(71:71,C12,72:72)+100</f>
        <v>100</v>
      </c>
      <c r="K12" s="570"/>
      <c r="L12" s="2894"/>
      <c r="M12" s="2895"/>
      <c r="N12" s="2895"/>
      <c r="O12" s="2895"/>
      <c r="P12" s="3491"/>
      <c r="Q12" s="147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2094">
        <f>D12/J12</f>
        <v>1</v>
      </c>
    </row>
    <row r="13" spans="1:29" ht="15">
      <c r="A13" s="387"/>
      <c r="B13" s="2029">
        <v>111</v>
      </c>
      <c r="C13" s="393"/>
      <c r="D13" s="394">
        <v>100</v>
      </c>
      <c r="E13" s="391"/>
      <c r="F13" s="132">
        <f>SUMIF(73:73,E13,74:74)-SUMIF(73:73,C13,74:74)+100</f>
        <v>100</v>
      </c>
      <c r="G13" s="2095"/>
      <c r="H13" s="394">
        <f>SUMIF(73:73,G13,74:74)-SUMIF(73:73,C13,74:74)+100</f>
        <v>100</v>
      </c>
      <c r="I13" s="391"/>
      <c r="J13" s="394">
        <f>SUMIF(73:73,I13,74:74)-SUMIF(73:73,C13,74:74)+100</f>
        <v>100</v>
      </c>
      <c r="K13" s="570"/>
      <c r="L13" s="2899"/>
      <c r="M13" s="2893"/>
      <c r="N13" s="2893"/>
      <c r="O13" s="2893"/>
      <c r="P13" s="3491"/>
      <c r="Q13" s="147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2094">
        <f t="shared" si="5"/>
        <v>1</v>
      </c>
    </row>
    <row r="14" spans="1:29" ht="15.75" thickBot="1">
      <c r="A14" s="395"/>
      <c r="B14" s="2031">
        <v>111</v>
      </c>
      <c r="C14" s="396"/>
      <c r="D14" s="397">
        <v>100</v>
      </c>
      <c r="E14" s="584"/>
      <c r="F14" s="397">
        <f>SUMIF(75:75,E14,76:76)-SUMIF(75:75,C14,76:76)+100</f>
        <v>100</v>
      </c>
      <c r="G14" s="2095"/>
      <c r="H14" s="397">
        <f>SUMIF(75:75,G14,76:76)-SUMIF(75:75,C14,76:76)+100</f>
        <v>100</v>
      </c>
      <c r="I14" s="391"/>
      <c r="J14" s="397">
        <f>SUMIF(75:75,I14,76:76)-SUMIF(75:75,C14,76:76)+100</f>
        <v>100</v>
      </c>
      <c r="K14" s="570"/>
      <c r="L14" s="2899"/>
      <c r="M14" s="2893"/>
      <c r="N14" s="2893"/>
      <c r="O14" s="2893"/>
      <c r="P14" s="3491"/>
      <c r="Q14" s="1477">
        <f t="shared" si="6"/>
        <v>111</v>
      </c>
      <c r="R14" s="710" t="s">
        <v>17</v>
      </c>
      <c r="S14" s="711">
        <f t="shared" si="0"/>
        <v>100</v>
      </c>
      <c r="T14" s="710" t="s">
        <v>17</v>
      </c>
      <c r="U14" s="711">
        <f t="shared" si="1"/>
        <v>100</v>
      </c>
      <c r="V14" s="710" t="s">
        <v>17</v>
      </c>
      <c r="W14" s="711">
        <f t="shared" si="2"/>
        <v>100</v>
      </c>
      <c r="X14" s="712"/>
      <c r="Y14" s="3423"/>
      <c r="Z14" s="55">
        <f t="shared" si="7"/>
        <v>111</v>
      </c>
      <c r="AA14" s="713">
        <f t="shared" si="3"/>
        <v>1</v>
      </c>
      <c r="AB14" s="713">
        <f t="shared" si="4"/>
        <v>1</v>
      </c>
      <c r="AC14" s="2094">
        <f t="shared" si="5"/>
        <v>1</v>
      </c>
    </row>
    <row r="15" spans="1:29" ht="15">
      <c r="A15" s="399" t="s">
        <v>2137</v>
      </c>
      <c r="B15" s="585" t="s">
        <v>2265</v>
      </c>
      <c r="C15" s="2096">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26" t="s">
        <v>2138</v>
      </c>
      <c r="Q15" s="1486" t="str">
        <f t="shared" si="6"/>
        <v>办公集聚程度</v>
      </c>
      <c r="R15" s="714" t="s">
        <v>17</v>
      </c>
      <c r="S15" s="715">
        <f t="shared" si="0"/>
        <v>100</v>
      </c>
      <c r="T15" s="714" t="s">
        <v>17</v>
      </c>
      <c r="U15" s="715">
        <f t="shared" si="1"/>
        <v>100</v>
      </c>
      <c r="V15" s="714" t="s">
        <v>17</v>
      </c>
      <c r="W15" s="715">
        <f t="shared" si="2"/>
        <v>100</v>
      </c>
      <c r="X15" s="1489"/>
      <c r="Y15" s="3482" t="s">
        <v>2138</v>
      </c>
      <c r="Z15" s="1490" t="str">
        <f t="shared" si="7"/>
        <v>办公集聚程度</v>
      </c>
      <c r="AA15" s="1487">
        <f t="shared" si="3"/>
        <v>1</v>
      </c>
      <c r="AB15" s="1487">
        <f t="shared" si="4"/>
        <v>1</v>
      </c>
      <c r="AC15" s="2097">
        <f t="shared" si="5"/>
        <v>1</v>
      </c>
    </row>
    <row r="16" spans="1:29" ht="15">
      <c r="A16" s="387"/>
      <c r="B16" s="586"/>
      <c r="C16" s="2040"/>
      <c r="D16" s="407"/>
      <c r="E16" s="406"/>
      <c r="F16" s="407"/>
      <c r="G16" s="2040"/>
      <c r="H16" s="409"/>
      <c r="I16" s="406"/>
      <c r="J16" s="407"/>
      <c r="K16" s="572"/>
      <c r="L16" s="2899"/>
      <c r="M16" s="2893"/>
      <c r="N16" s="2893"/>
      <c r="O16" s="2893"/>
      <c r="P16" s="3527"/>
      <c r="Q16" s="1486"/>
      <c r="R16" s="714"/>
      <c r="S16" s="715"/>
      <c r="T16" s="714"/>
      <c r="U16" s="715"/>
      <c r="V16" s="714"/>
      <c r="W16" s="715"/>
      <c r="X16" s="1489"/>
      <c r="Y16" s="3483"/>
      <c r="Z16" s="1490"/>
      <c r="AA16" s="1487">
        <v>1</v>
      </c>
      <c r="AB16" s="1487">
        <v>1</v>
      </c>
      <c r="AC16" s="2097">
        <v>1</v>
      </c>
    </row>
    <row r="17" spans="1:29" ht="15">
      <c r="A17" s="387"/>
      <c r="B17" s="587" t="s">
        <v>1705</v>
      </c>
      <c r="C17" s="2098">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27"/>
      <c r="Q17" s="1486" t="str">
        <f>B17</f>
        <v>交通便捷度</v>
      </c>
      <c r="R17" s="714" t="s">
        <v>17</v>
      </c>
      <c r="S17" s="715">
        <f>F17</f>
        <v>100</v>
      </c>
      <c r="T17" s="714" t="s">
        <v>17</v>
      </c>
      <c r="U17" s="715">
        <f>H17</f>
        <v>100</v>
      </c>
      <c r="V17" s="714" t="s">
        <v>17</v>
      </c>
      <c r="W17" s="715">
        <f>J17</f>
        <v>100</v>
      </c>
      <c r="X17" s="1489"/>
      <c r="Y17" s="3483"/>
      <c r="Z17" s="1490" t="str">
        <f>Q17</f>
        <v>交通便捷度</v>
      </c>
      <c r="AA17" s="1487">
        <f t="shared" si="3"/>
        <v>1</v>
      </c>
      <c r="AB17" s="1487">
        <f t="shared" si="4"/>
        <v>1</v>
      </c>
      <c r="AC17" s="2097">
        <f t="shared" si="5"/>
        <v>1</v>
      </c>
    </row>
    <row r="18" spans="1:29" ht="15">
      <c r="A18" s="387"/>
      <c r="B18" s="588"/>
      <c r="C18" s="2099"/>
      <c r="D18" s="409"/>
      <c r="E18" s="2038"/>
      <c r="F18" s="409"/>
      <c r="G18" s="2039"/>
      <c r="H18" s="407"/>
      <c r="I18" s="2039"/>
      <c r="J18" s="407"/>
      <c r="K18" s="572"/>
      <c r="L18" s="2899"/>
      <c r="M18" s="2893"/>
      <c r="N18" s="2893"/>
      <c r="O18" s="2893"/>
      <c r="P18" s="3527"/>
      <c r="Q18" s="1486"/>
      <c r="R18" s="714"/>
      <c r="S18" s="715"/>
      <c r="T18" s="714"/>
      <c r="U18" s="715"/>
      <c r="V18" s="714"/>
      <c r="W18" s="715"/>
      <c r="X18" s="1489"/>
      <c r="Y18" s="3483"/>
      <c r="Z18" s="1490"/>
      <c r="AA18" s="1487">
        <v>1</v>
      </c>
      <c r="AB18" s="1487">
        <v>1</v>
      </c>
      <c r="AC18" s="2097">
        <v>1</v>
      </c>
    </row>
    <row r="19" spans="1:29" ht="15">
      <c r="A19" s="387"/>
      <c r="B19" s="587" t="s">
        <v>2266</v>
      </c>
      <c r="C19" s="2098">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27"/>
      <c r="Q19" s="1486" t="str">
        <f>B19</f>
        <v>公共配套设施</v>
      </c>
      <c r="R19" s="714" t="s">
        <v>17</v>
      </c>
      <c r="S19" s="715">
        <f>F19</f>
        <v>100</v>
      </c>
      <c r="T19" s="714" t="s">
        <v>17</v>
      </c>
      <c r="U19" s="715">
        <f>H19</f>
        <v>100</v>
      </c>
      <c r="V19" s="714" t="s">
        <v>17</v>
      </c>
      <c r="W19" s="715">
        <f>J19</f>
        <v>100</v>
      </c>
      <c r="X19" s="1489"/>
      <c r="Y19" s="3483"/>
      <c r="Z19" s="1490" t="str">
        <f>Q19</f>
        <v>公共配套设施</v>
      </c>
      <c r="AA19" s="1487">
        <f t="shared" si="3"/>
        <v>1</v>
      </c>
      <c r="AB19" s="1487">
        <f t="shared" si="4"/>
        <v>1</v>
      </c>
      <c r="AC19" s="2097">
        <f t="shared" si="5"/>
        <v>1</v>
      </c>
    </row>
    <row r="20" spans="1:29" ht="15">
      <c r="A20" s="387"/>
      <c r="B20" s="588"/>
      <c r="C20" s="2040"/>
      <c r="D20" s="407"/>
      <c r="E20" s="2033"/>
      <c r="F20" s="407"/>
      <c r="G20" s="2034"/>
      <c r="H20" s="407"/>
      <c r="I20" s="2034"/>
      <c r="J20" s="407"/>
      <c r="K20" s="572"/>
      <c r="L20" s="2899"/>
      <c r="M20" s="2893"/>
      <c r="N20" s="2893"/>
      <c r="O20" s="2893"/>
      <c r="P20" s="3527"/>
      <c r="Q20" s="1486"/>
      <c r="R20" s="714"/>
      <c r="S20" s="715"/>
      <c r="T20" s="714"/>
      <c r="U20" s="715"/>
      <c r="V20" s="714"/>
      <c r="W20" s="715"/>
      <c r="X20" s="1489"/>
      <c r="Y20" s="3483"/>
      <c r="Z20" s="1490"/>
      <c r="AA20" s="1487">
        <v>1</v>
      </c>
      <c r="AB20" s="1487">
        <v>1</v>
      </c>
      <c r="AC20" s="2097">
        <v>1</v>
      </c>
    </row>
    <row r="21" spans="1:29" ht="15">
      <c r="A21" s="387"/>
      <c r="B21" s="589" t="s">
        <v>2267</v>
      </c>
      <c r="C21" s="2098">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27"/>
      <c r="Q21" s="1486" t="str">
        <f>B21</f>
        <v>基础设施水平</v>
      </c>
      <c r="R21" s="714" t="s">
        <v>17</v>
      </c>
      <c r="S21" s="715">
        <f>F21</f>
        <v>100</v>
      </c>
      <c r="T21" s="714" t="s">
        <v>17</v>
      </c>
      <c r="U21" s="715">
        <f>H21</f>
        <v>100</v>
      </c>
      <c r="V21" s="714" t="s">
        <v>17</v>
      </c>
      <c r="W21" s="715">
        <f>J21</f>
        <v>100</v>
      </c>
      <c r="X21" s="1489"/>
      <c r="Y21" s="3483"/>
      <c r="Z21" s="1490" t="str">
        <f>Q21</f>
        <v>基础设施水平</v>
      </c>
      <c r="AA21" s="1487">
        <f t="shared" ref="AA21" si="8">D21/F21</f>
        <v>1</v>
      </c>
      <c r="AB21" s="1487">
        <f t="shared" ref="AB21" si="9">D21/H21</f>
        <v>1</v>
      </c>
      <c r="AC21" s="2097">
        <f t="shared" ref="AC21" si="10">D21/J21</f>
        <v>1</v>
      </c>
    </row>
    <row r="22" spans="1:29" ht="15">
      <c r="A22" s="387"/>
      <c r="B22" s="589"/>
      <c r="C22" s="2099"/>
      <c r="D22" s="407"/>
      <c r="E22" s="406"/>
      <c r="F22" s="407"/>
      <c r="G22" s="2040"/>
      <c r="H22" s="407"/>
      <c r="I22" s="2040"/>
      <c r="J22" s="407"/>
      <c r="K22" s="1245"/>
      <c r="L22" s="2899"/>
      <c r="M22" s="2893"/>
      <c r="N22" s="2893"/>
      <c r="O22" s="2893"/>
      <c r="P22" s="3527"/>
      <c r="Q22" s="1486"/>
      <c r="R22" s="714"/>
      <c r="S22" s="715"/>
      <c r="T22" s="714"/>
      <c r="U22" s="715"/>
      <c r="V22" s="714"/>
      <c r="W22" s="715"/>
      <c r="X22" s="1489"/>
      <c r="Y22" s="3483"/>
      <c r="Z22" s="1490"/>
      <c r="AA22" s="1487">
        <v>1</v>
      </c>
      <c r="AB22" s="1487">
        <v>1</v>
      </c>
      <c r="AC22" s="2097">
        <v>1</v>
      </c>
    </row>
    <row r="23" spans="1:29" ht="15">
      <c r="A23" s="387"/>
      <c r="B23" s="587" t="s">
        <v>2268</v>
      </c>
      <c r="C23" s="2098">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27"/>
      <c r="Q23" s="1486" t="str">
        <f>B23</f>
        <v>环境质量</v>
      </c>
      <c r="R23" s="714" t="s">
        <v>17</v>
      </c>
      <c r="S23" s="715">
        <f>F23</f>
        <v>100</v>
      </c>
      <c r="T23" s="714" t="s">
        <v>17</v>
      </c>
      <c r="U23" s="715">
        <f>H23</f>
        <v>100</v>
      </c>
      <c r="V23" s="714" t="s">
        <v>17</v>
      </c>
      <c r="W23" s="715">
        <f>J23</f>
        <v>100</v>
      </c>
      <c r="X23" s="1489"/>
      <c r="Y23" s="3483"/>
      <c r="Z23" s="1490" t="str">
        <f>Q23</f>
        <v>环境质量</v>
      </c>
      <c r="AA23" s="1487">
        <f t="shared" si="3"/>
        <v>1</v>
      </c>
      <c r="AB23" s="1487">
        <f t="shared" si="4"/>
        <v>1</v>
      </c>
      <c r="AC23" s="2097">
        <f t="shared" si="5"/>
        <v>1</v>
      </c>
    </row>
    <row r="24" spans="1:29" ht="15">
      <c r="A24" s="387"/>
      <c r="B24" s="589"/>
      <c r="C24" s="2040"/>
      <c r="D24" s="407"/>
      <c r="E24" s="2033"/>
      <c r="F24" s="407"/>
      <c r="G24" s="2034"/>
      <c r="H24" s="407"/>
      <c r="I24" s="2034"/>
      <c r="J24" s="407"/>
      <c r="K24" s="572"/>
      <c r="L24" s="2899"/>
      <c r="M24" s="2893"/>
      <c r="N24" s="2893"/>
      <c r="O24" s="2893"/>
      <c r="P24" s="3527"/>
      <c r="Q24" s="1486"/>
      <c r="R24" s="714"/>
      <c r="S24" s="715"/>
      <c r="T24" s="714"/>
      <c r="U24" s="715"/>
      <c r="V24" s="714"/>
      <c r="W24" s="715"/>
      <c r="X24" s="1489"/>
      <c r="Y24" s="3483"/>
      <c r="Z24" s="1490"/>
      <c r="AA24" s="1487">
        <v>1</v>
      </c>
      <c r="AB24" s="1487">
        <v>1</v>
      </c>
      <c r="AC24" s="2097">
        <v>1</v>
      </c>
    </row>
    <row r="25" spans="1:29" ht="27">
      <c r="A25" s="364"/>
      <c r="B25" s="587" t="s">
        <v>2269</v>
      </c>
      <c r="C25" s="2044"/>
      <c r="D25" s="394">
        <v>100</v>
      </c>
      <c r="E25" s="393"/>
      <c r="F25" s="394">
        <f>SUMIF(87:87,E26,88:88)-SUMIF(87:87,C26,88:88)+100</f>
        <v>100</v>
      </c>
      <c r="G25" s="2044"/>
      <c r="H25" s="394">
        <f>SUMIF(87:87,G26,88:88)-SUMIF(87:87,C26,88:88)+100</f>
        <v>100</v>
      </c>
      <c r="I25" s="393"/>
      <c r="J25" s="394">
        <f>SUMIF(87:87,I26,88:88)-SUMIF(87:87,C26,88:88)+100</f>
        <v>100</v>
      </c>
      <c r="K25" s="571"/>
      <c r="L25" s="2899"/>
      <c r="M25" s="2893"/>
      <c r="N25" s="2893"/>
      <c r="O25" s="2893"/>
      <c r="P25" s="3527"/>
      <c r="Q25" s="1486" t="str">
        <f>B25</f>
        <v>毗邻道路的类型与等级</v>
      </c>
      <c r="R25" s="714" t="s">
        <v>17</v>
      </c>
      <c r="S25" s="715">
        <f>F25</f>
        <v>100</v>
      </c>
      <c r="T25" s="714" t="s">
        <v>17</v>
      </c>
      <c r="U25" s="715">
        <f>H25</f>
        <v>100</v>
      </c>
      <c r="V25" s="714" t="s">
        <v>17</v>
      </c>
      <c r="W25" s="715">
        <f>J25</f>
        <v>100</v>
      </c>
      <c r="X25" s="1489"/>
      <c r="Y25" s="3483"/>
      <c r="Z25" s="1490" t="str">
        <f>Q25</f>
        <v>毗邻道路的类型与等级</v>
      </c>
      <c r="AA25" s="1487">
        <f t="shared" si="3"/>
        <v>1</v>
      </c>
      <c r="AB25" s="1487">
        <f t="shared" si="4"/>
        <v>1</v>
      </c>
      <c r="AC25" s="2097">
        <f t="shared" si="5"/>
        <v>1</v>
      </c>
    </row>
    <row r="26" spans="1:29" ht="15">
      <c r="A26" s="364"/>
      <c r="B26" s="588"/>
      <c r="C26" s="590"/>
      <c r="D26" s="394"/>
      <c r="E26" s="573"/>
      <c r="F26" s="394"/>
      <c r="G26" s="590"/>
      <c r="H26" s="394"/>
      <c r="I26" s="573"/>
      <c r="J26" s="394"/>
      <c r="K26" s="572"/>
      <c r="L26" s="2899"/>
      <c r="M26" s="2893"/>
      <c r="N26" s="2893"/>
      <c r="O26" s="2893"/>
      <c r="P26" s="3527"/>
      <c r="Q26" s="1486"/>
      <c r="R26" s="714"/>
      <c r="S26" s="715"/>
      <c r="T26" s="714"/>
      <c r="U26" s="715"/>
      <c r="V26" s="714"/>
      <c r="W26" s="715"/>
      <c r="X26" s="1489"/>
      <c r="Y26" s="3483"/>
      <c r="Z26" s="1490"/>
      <c r="AA26" s="1487">
        <v>1</v>
      </c>
      <c r="AB26" s="1487">
        <v>1</v>
      </c>
      <c r="AC26" s="2097">
        <v>1</v>
      </c>
    </row>
    <row r="27" spans="1:29" ht="15">
      <c r="A27" s="387"/>
      <c r="B27" s="588" t="s">
        <v>2237</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27"/>
      <c r="Q27" s="1486" t="str">
        <f t="shared" ref="Q27:Q47" si="11">B27</f>
        <v>楼层</v>
      </c>
      <c r="R27" s="714" t="s">
        <v>17</v>
      </c>
      <c r="S27" s="715">
        <f>F27</f>
        <v>100</v>
      </c>
      <c r="T27" s="714" t="s">
        <v>17</v>
      </c>
      <c r="U27" s="715">
        <f>H27</f>
        <v>100</v>
      </c>
      <c r="V27" s="714" t="s">
        <v>17</v>
      </c>
      <c r="W27" s="715">
        <f>J27</f>
        <v>100</v>
      </c>
      <c r="X27" s="1489"/>
      <c r="Y27" s="3483"/>
      <c r="Z27" s="1490" t="str">
        <f>Q27</f>
        <v>楼层</v>
      </c>
      <c r="AA27" s="1487">
        <f t="shared" si="3"/>
        <v>1</v>
      </c>
      <c r="AB27" s="1487">
        <f t="shared" si="4"/>
        <v>1</v>
      </c>
      <c r="AC27" s="2097">
        <f t="shared" si="5"/>
        <v>1</v>
      </c>
    </row>
    <row r="28" spans="1:29" s="113" customFormat="1" ht="15">
      <c r="A28" s="390"/>
      <c r="B28" s="587" t="s">
        <v>2270</v>
      </c>
      <c r="C28" s="2100"/>
      <c r="D28" s="421">
        <v>100</v>
      </c>
      <c r="E28" s="2091"/>
      <c r="F28" s="421">
        <f>SUMIF(91:91,E28,92:92)-SUMIF(91:91,C28,92:92)+100</f>
        <v>100</v>
      </c>
      <c r="G28" s="2100"/>
      <c r="H28" s="421">
        <f>SUMIF(91:91,G28,92:92)-SUMIF(91:91,C28,92:92)+100</f>
        <v>100</v>
      </c>
      <c r="I28" s="2091"/>
      <c r="J28" s="421">
        <f>SUMIF(91:91,I28,92:92)-SUMIF(91:91,C28,92:92)+100</f>
        <v>100</v>
      </c>
      <c r="K28" s="569"/>
      <c r="L28" s="2894"/>
      <c r="M28" s="2895"/>
      <c r="N28" s="2895"/>
      <c r="O28" s="2895"/>
      <c r="P28" s="3527"/>
      <c r="Q28" s="1477" t="str">
        <f t="shared" si="11"/>
        <v>朝向</v>
      </c>
      <c r="R28" s="710" t="s">
        <v>17</v>
      </c>
      <c r="S28" s="711">
        <f>F28</f>
        <v>100</v>
      </c>
      <c r="T28" s="710" t="s">
        <v>17</v>
      </c>
      <c r="U28" s="711">
        <f>H28</f>
        <v>100</v>
      </c>
      <c r="V28" s="710" t="s">
        <v>17</v>
      </c>
      <c r="W28" s="711">
        <f>J28</f>
        <v>100</v>
      </c>
      <c r="X28" s="712"/>
      <c r="Y28" s="3483"/>
      <c r="Z28" s="55" t="str">
        <f>Q28</f>
        <v>朝向</v>
      </c>
      <c r="AA28" s="1487">
        <f>D28/F28</f>
        <v>1</v>
      </c>
      <c r="AB28" s="1487">
        <f>D28/H28</f>
        <v>1</v>
      </c>
      <c r="AC28" s="2097">
        <f>D28/J28</f>
        <v>1</v>
      </c>
    </row>
    <row r="29" spans="1:29" ht="15">
      <c r="A29" s="387"/>
      <c r="B29" s="2101">
        <v>111</v>
      </c>
      <c r="C29" s="2044"/>
      <c r="D29" s="394">
        <v>100</v>
      </c>
      <c r="E29" s="391"/>
      <c r="F29" s="394">
        <f>SUMIF(93:93,E29,94:94)-SUMIF(93:93,C29,94:94)+100</f>
        <v>100</v>
      </c>
      <c r="G29" s="2095"/>
      <c r="H29" s="394">
        <f>SUMIF(93:93,G29,94:94)-SUMIF(93:93,C29,94:94)+100</f>
        <v>100</v>
      </c>
      <c r="I29" s="391"/>
      <c r="J29" s="394">
        <f>SUMIF(93:93,I29,94:94)-SUMIF(93:93,C29,94:94)+100</f>
        <v>100</v>
      </c>
      <c r="K29" s="570"/>
      <c r="L29" s="2899"/>
      <c r="M29" s="2893"/>
      <c r="N29" s="2893"/>
      <c r="O29" s="2893"/>
      <c r="P29" s="3527"/>
      <c r="Q29" s="1486">
        <f t="shared" si="11"/>
        <v>111</v>
      </c>
      <c r="R29" s="714" t="s">
        <v>17</v>
      </c>
      <c r="S29" s="715">
        <f t="shared" ref="S29:S47" si="12">F29</f>
        <v>100</v>
      </c>
      <c r="T29" s="714" t="s">
        <v>17</v>
      </c>
      <c r="U29" s="715">
        <f t="shared" ref="U29:U47" si="13">H29</f>
        <v>100</v>
      </c>
      <c r="V29" s="714" t="s">
        <v>17</v>
      </c>
      <c r="W29" s="715">
        <f t="shared" ref="W29:W47" si="14">J29</f>
        <v>100</v>
      </c>
      <c r="X29" s="1489"/>
      <c r="Y29" s="3483"/>
      <c r="Z29" s="1490">
        <f t="shared" ref="Z29:Z47" si="15">Q29</f>
        <v>111</v>
      </c>
      <c r="AA29" s="1487">
        <f t="shared" si="3"/>
        <v>1</v>
      </c>
      <c r="AB29" s="1487">
        <f t="shared" si="4"/>
        <v>1</v>
      </c>
      <c r="AC29" s="2097">
        <f t="shared" si="5"/>
        <v>1</v>
      </c>
    </row>
    <row r="30" spans="1:29" ht="15">
      <c r="A30" s="387"/>
      <c r="B30" s="2101">
        <v>111</v>
      </c>
      <c r="C30" s="2044"/>
      <c r="D30" s="394">
        <v>100</v>
      </c>
      <c r="E30" s="391"/>
      <c r="F30" s="394">
        <f>SUMIF(95:95,E30,96:96)-SUMIF(95:95,C30,96:96)+100</f>
        <v>100</v>
      </c>
      <c r="G30" s="2095"/>
      <c r="H30" s="394">
        <f>SUMIF(95:95,G30,96:96)-SUMIF(95:95,C30,96:96)+100</f>
        <v>100</v>
      </c>
      <c r="I30" s="391"/>
      <c r="J30" s="394">
        <f>SUMIF(95:95,I30,96:96)-SUMIF(95:95,C30,96:96)+100</f>
        <v>100</v>
      </c>
      <c r="K30" s="570"/>
      <c r="L30" s="2899"/>
      <c r="M30" s="2893"/>
      <c r="N30" s="2893"/>
      <c r="O30" s="2893"/>
      <c r="P30" s="3527"/>
      <c r="Q30" s="1486">
        <f t="shared" si="11"/>
        <v>111</v>
      </c>
      <c r="R30" s="714" t="s">
        <v>17</v>
      </c>
      <c r="S30" s="715">
        <f t="shared" si="12"/>
        <v>100</v>
      </c>
      <c r="T30" s="714" t="s">
        <v>17</v>
      </c>
      <c r="U30" s="715">
        <f t="shared" si="13"/>
        <v>100</v>
      </c>
      <c r="V30" s="714" t="s">
        <v>17</v>
      </c>
      <c r="W30" s="715">
        <f t="shared" si="14"/>
        <v>100</v>
      </c>
      <c r="X30" s="1489"/>
      <c r="Y30" s="3483"/>
      <c r="Z30" s="1490">
        <f t="shared" si="15"/>
        <v>111</v>
      </c>
      <c r="AA30" s="1487">
        <f t="shared" si="3"/>
        <v>1</v>
      </c>
      <c r="AB30" s="1487">
        <f t="shared" si="4"/>
        <v>1</v>
      </c>
      <c r="AC30" s="2097">
        <f t="shared" si="5"/>
        <v>1</v>
      </c>
    </row>
    <row r="31" spans="1:29" ht="15">
      <c r="A31" s="387"/>
      <c r="B31" s="2101">
        <v>111</v>
      </c>
      <c r="C31" s="2044"/>
      <c r="D31" s="394">
        <v>100</v>
      </c>
      <c r="E31" s="391"/>
      <c r="F31" s="394">
        <f>SUMIF(97:97,E31,98:98)-SUMIF(97:97,C31,98:98)+100</f>
        <v>100</v>
      </c>
      <c r="G31" s="2095"/>
      <c r="H31" s="394">
        <f>SUMIF(97:97,G31,98:98)-SUMIF(97:97,C31,98:98)+100</f>
        <v>100</v>
      </c>
      <c r="I31" s="391"/>
      <c r="J31" s="394">
        <f>SUMIF(97:97,I31,98:98)-SUMIF(97:97,C31,98:98)+100</f>
        <v>100</v>
      </c>
      <c r="K31" s="570"/>
      <c r="L31" s="2899"/>
      <c r="M31" s="2893"/>
      <c r="N31" s="2893"/>
      <c r="O31" s="2893"/>
      <c r="P31" s="3527"/>
      <c r="Q31" s="1486">
        <f t="shared" si="11"/>
        <v>111</v>
      </c>
      <c r="R31" s="714" t="s">
        <v>17</v>
      </c>
      <c r="S31" s="715">
        <f t="shared" si="12"/>
        <v>100</v>
      </c>
      <c r="T31" s="714" t="s">
        <v>17</v>
      </c>
      <c r="U31" s="715">
        <f t="shared" si="13"/>
        <v>100</v>
      </c>
      <c r="V31" s="714" t="s">
        <v>17</v>
      </c>
      <c r="W31" s="715">
        <f t="shared" si="14"/>
        <v>100</v>
      </c>
      <c r="X31" s="1489"/>
      <c r="Y31" s="3483"/>
      <c r="Z31" s="1490">
        <f t="shared" si="15"/>
        <v>111</v>
      </c>
      <c r="AA31" s="1487">
        <f t="shared" si="3"/>
        <v>1</v>
      </c>
      <c r="AB31" s="1487">
        <f t="shared" si="4"/>
        <v>1</v>
      </c>
      <c r="AC31" s="2097">
        <f t="shared" si="5"/>
        <v>1</v>
      </c>
    </row>
    <row r="32" spans="1:29" ht="15.75" thickBot="1">
      <c r="A32" s="395"/>
      <c r="B32" s="591">
        <v>111</v>
      </c>
      <c r="C32" s="2045"/>
      <c r="D32" s="397">
        <v>100</v>
      </c>
      <c r="E32" s="584"/>
      <c r="F32" s="397">
        <f>SUMIF(99:99,E32,100:100)-SUMIF(99:99,C32,100:100)+100</f>
        <v>100</v>
      </c>
      <c r="G32" s="2095"/>
      <c r="H32" s="397">
        <f>SUMIF(99:99,G32,100:100)-SUMIF(99:99,C32,100:100)+100</f>
        <v>100</v>
      </c>
      <c r="I32" s="391"/>
      <c r="J32" s="397">
        <f>SUMIF(99:99,I32,100:100)-SUMIF(99:99,C32,100:100)+100</f>
        <v>100</v>
      </c>
      <c r="K32" s="570"/>
      <c r="L32" s="2899"/>
      <c r="M32" s="2893"/>
      <c r="N32" s="2893"/>
      <c r="O32" s="2893"/>
      <c r="P32" s="3527"/>
      <c r="Q32" s="1486">
        <f t="shared" si="11"/>
        <v>111</v>
      </c>
      <c r="R32" s="714" t="s">
        <v>17</v>
      </c>
      <c r="S32" s="715">
        <f t="shared" si="12"/>
        <v>100</v>
      </c>
      <c r="T32" s="714" t="s">
        <v>17</v>
      </c>
      <c r="U32" s="715">
        <f t="shared" si="13"/>
        <v>100</v>
      </c>
      <c r="V32" s="714" t="s">
        <v>17</v>
      </c>
      <c r="W32" s="715">
        <f t="shared" si="14"/>
        <v>100</v>
      </c>
      <c r="X32" s="1489"/>
      <c r="Y32" s="3483"/>
      <c r="Z32" s="1490">
        <f t="shared" si="15"/>
        <v>111</v>
      </c>
      <c r="AA32" s="1487">
        <f t="shared" si="3"/>
        <v>1</v>
      </c>
      <c r="AB32" s="1487">
        <f t="shared" si="4"/>
        <v>1</v>
      </c>
      <c r="AC32" s="2097">
        <f t="shared" si="5"/>
        <v>1</v>
      </c>
    </row>
    <row r="33" spans="1:29" ht="15">
      <c r="A33" s="399" t="s">
        <v>2141</v>
      </c>
      <c r="B33" s="67" t="s">
        <v>2271</v>
      </c>
      <c r="C33" s="2102"/>
      <c r="D33" s="426">
        <v>100</v>
      </c>
      <c r="E33" s="2102"/>
      <c r="F33" s="420">
        <f>SUMIF(101:101,E33,102:102)-SUMIF(101:101,C33,102:102)+100</f>
        <v>100</v>
      </c>
      <c r="G33" s="2102"/>
      <c r="H33" s="394">
        <f>SUMIF(101:101,G33,102:102)-SUMIF(101:101,C33,102:102)+100</f>
        <v>100</v>
      </c>
      <c r="I33" s="2102"/>
      <c r="J33" s="426">
        <f>SUMIF(101:101,I33,102:102)-SUMIF(101:101,C33,102:102)+100</f>
        <v>100</v>
      </c>
      <c r="K33" s="569"/>
      <c r="L33" s="2899"/>
      <c r="M33" s="2893"/>
      <c r="N33" s="2893"/>
      <c r="O33" s="2893"/>
      <c r="P33" s="3522" t="s">
        <v>2143</v>
      </c>
      <c r="Q33" s="1486" t="str">
        <f t="shared" si="11"/>
        <v>建筑类型</v>
      </c>
      <c r="R33" s="714" t="s">
        <v>17</v>
      </c>
      <c r="S33" s="715">
        <f t="shared" si="12"/>
        <v>100</v>
      </c>
      <c r="T33" s="714" t="s">
        <v>17</v>
      </c>
      <c r="U33" s="715">
        <f t="shared" si="13"/>
        <v>100</v>
      </c>
      <c r="V33" s="714" t="s">
        <v>17</v>
      </c>
      <c r="W33" s="715">
        <f t="shared" si="14"/>
        <v>100</v>
      </c>
      <c r="X33" s="1489"/>
      <c r="Y33" s="3485" t="s">
        <v>2143</v>
      </c>
      <c r="Z33" s="1490" t="str">
        <f t="shared" si="15"/>
        <v>建筑类型</v>
      </c>
      <c r="AA33" s="1487">
        <f t="shared" si="3"/>
        <v>1</v>
      </c>
      <c r="AB33" s="1487">
        <f t="shared" si="4"/>
        <v>1</v>
      </c>
      <c r="AC33" s="2097">
        <f t="shared" si="5"/>
        <v>1</v>
      </c>
    </row>
    <row r="34" spans="1:29" s="430" customFormat="1" ht="15">
      <c r="A34" s="427"/>
      <c r="B34" s="381" t="s">
        <v>2144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23"/>
      <c r="Q34" s="716" t="str">
        <f t="shared" si="11"/>
        <v>项目建筑规模</v>
      </c>
      <c r="R34" s="717" t="s">
        <v>17</v>
      </c>
      <c r="S34" s="718" t="e">
        <f t="shared" si="12"/>
        <v>#N/A</v>
      </c>
      <c r="T34" s="717" t="s">
        <v>17</v>
      </c>
      <c r="U34" s="718" t="e">
        <f t="shared" si="13"/>
        <v>#N/A</v>
      </c>
      <c r="V34" s="717" t="s">
        <v>17</v>
      </c>
      <c r="W34" s="718" t="e">
        <f t="shared" si="14"/>
        <v>#N/A</v>
      </c>
      <c r="X34" s="719"/>
      <c r="Y34" s="3485"/>
      <c r="Z34" s="720" t="str">
        <f t="shared" si="15"/>
        <v>项目建筑规模</v>
      </c>
      <c r="AA34" s="1487" t="e">
        <f t="shared" si="3"/>
        <v>#N/A</v>
      </c>
      <c r="AB34" s="1487" t="e">
        <f t="shared" si="4"/>
        <v>#N/A</v>
      </c>
      <c r="AC34" s="2097" t="e">
        <f t="shared" si="5"/>
        <v>#N/A</v>
      </c>
    </row>
    <row r="35" spans="1:29" ht="15">
      <c r="A35" s="431"/>
      <c r="B35" s="381" t="s">
        <v>2145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23"/>
      <c r="Q35" s="1486" t="str">
        <f t="shared" si="11"/>
        <v>建筑结构</v>
      </c>
      <c r="R35" s="714" t="s">
        <v>17</v>
      </c>
      <c r="S35" s="715">
        <f t="shared" si="12"/>
        <v>100</v>
      </c>
      <c r="T35" s="714" t="s">
        <v>17</v>
      </c>
      <c r="U35" s="715">
        <f t="shared" si="13"/>
        <v>100</v>
      </c>
      <c r="V35" s="714" t="s">
        <v>17</v>
      </c>
      <c r="W35" s="715">
        <f t="shared" si="14"/>
        <v>100</v>
      </c>
      <c r="X35" s="1489"/>
      <c r="Y35" s="3485"/>
      <c r="Z35" s="1490" t="str">
        <f t="shared" si="15"/>
        <v>建筑结构</v>
      </c>
      <c r="AA35" s="1487">
        <f t="shared" si="3"/>
        <v>1</v>
      </c>
      <c r="AB35" s="1487">
        <f t="shared" si="4"/>
        <v>1</v>
      </c>
      <c r="AC35" s="2097">
        <f t="shared" si="5"/>
        <v>1</v>
      </c>
    </row>
    <row r="36" spans="1:29" ht="15">
      <c r="A36" s="431"/>
      <c r="B36" s="381" t="s">
        <v>2239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23"/>
      <c r="Q36" s="1486" t="str">
        <f t="shared" si="11"/>
        <v>公共部分装修</v>
      </c>
      <c r="R36" s="714" t="s">
        <v>17</v>
      </c>
      <c r="S36" s="715">
        <f t="shared" si="12"/>
        <v>100</v>
      </c>
      <c r="T36" s="714" t="s">
        <v>17</v>
      </c>
      <c r="U36" s="715">
        <f t="shared" si="13"/>
        <v>100</v>
      </c>
      <c r="V36" s="714" t="s">
        <v>17</v>
      </c>
      <c r="W36" s="715">
        <f t="shared" si="14"/>
        <v>100</v>
      </c>
      <c r="X36" s="1489"/>
      <c r="Y36" s="3485"/>
      <c r="Z36" s="1490" t="str">
        <f t="shared" si="15"/>
        <v>公共部分装修</v>
      </c>
      <c r="AA36" s="1487">
        <f t="shared" si="3"/>
        <v>1</v>
      </c>
      <c r="AB36" s="1487">
        <f t="shared" si="4"/>
        <v>1</v>
      </c>
      <c r="AC36" s="2097">
        <f t="shared" si="5"/>
        <v>1</v>
      </c>
    </row>
    <row r="37" spans="1:29" ht="15">
      <c r="A37" s="431"/>
      <c r="B37" s="381" t="s">
        <v>2240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23"/>
      <c r="Q37" s="1486" t="str">
        <f t="shared" si="11"/>
        <v>成新度</v>
      </c>
      <c r="R37" s="714" t="s">
        <v>17</v>
      </c>
      <c r="S37" s="715" t="e">
        <f t="shared" si="12"/>
        <v>#N/A</v>
      </c>
      <c r="T37" s="714" t="s">
        <v>17</v>
      </c>
      <c r="U37" s="715" t="e">
        <f t="shared" si="13"/>
        <v>#N/A</v>
      </c>
      <c r="V37" s="714" t="s">
        <v>17</v>
      </c>
      <c r="W37" s="715" t="e">
        <f t="shared" si="14"/>
        <v>#N/A</v>
      </c>
      <c r="X37" s="1489"/>
      <c r="Y37" s="3485"/>
      <c r="Z37" s="1490" t="str">
        <f t="shared" si="15"/>
        <v>成新度</v>
      </c>
      <c r="AA37" s="1487" t="e">
        <f t="shared" si="3"/>
        <v>#N/A</v>
      </c>
      <c r="AB37" s="1487" t="e">
        <f t="shared" si="4"/>
        <v>#N/A</v>
      </c>
      <c r="AC37" s="2097" t="e">
        <f t="shared" si="5"/>
        <v>#N/A</v>
      </c>
    </row>
    <row r="38" spans="1:29" s="113" customFormat="1" ht="15">
      <c r="A38" s="432"/>
      <c r="B38" s="381" t="s">
        <v>2272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23"/>
      <c r="Q38" s="1477" t="str">
        <f t="shared" si="11"/>
        <v>写字楼等级</v>
      </c>
      <c r="R38" s="710" t="s">
        <v>17</v>
      </c>
      <c r="S38" s="711">
        <f t="shared" si="12"/>
        <v>100</v>
      </c>
      <c r="T38" s="710" t="s">
        <v>17</v>
      </c>
      <c r="U38" s="711">
        <f t="shared" si="13"/>
        <v>100</v>
      </c>
      <c r="V38" s="710" t="s">
        <v>17</v>
      </c>
      <c r="W38" s="711">
        <f t="shared" si="14"/>
        <v>100</v>
      </c>
      <c r="X38" s="712"/>
      <c r="Y38" s="3485"/>
      <c r="Z38" s="55" t="str">
        <f t="shared" si="15"/>
        <v>写字楼等级</v>
      </c>
      <c r="AA38" s="713">
        <f t="shared" si="3"/>
        <v>1</v>
      </c>
      <c r="AB38" s="713">
        <f t="shared" si="4"/>
        <v>1</v>
      </c>
      <c r="AC38" s="2094">
        <f t="shared" si="5"/>
        <v>1</v>
      </c>
    </row>
    <row r="39" spans="1:29" ht="15">
      <c r="A39" s="431"/>
      <c r="B39" s="381" t="s">
        <v>2273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23" t="s">
        <v>2143</v>
      </c>
      <c r="Q39" s="1486" t="str">
        <f t="shared" si="11"/>
        <v>物业管理</v>
      </c>
      <c r="R39" s="714" t="s">
        <v>17</v>
      </c>
      <c r="S39" s="715">
        <f t="shared" si="12"/>
        <v>100</v>
      </c>
      <c r="T39" s="714" t="s">
        <v>17</v>
      </c>
      <c r="U39" s="715">
        <f t="shared" si="13"/>
        <v>100</v>
      </c>
      <c r="V39" s="714" t="s">
        <v>17</v>
      </c>
      <c r="W39" s="715">
        <f t="shared" si="14"/>
        <v>100</v>
      </c>
      <c r="X39" s="1489"/>
      <c r="Y39" s="3485" t="s">
        <v>2143</v>
      </c>
      <c r="Z39" s="1490" t="str">
        <f t="shared" si="15"/>
        <v>物业管理</v>
      </c>
      <c r="AA39" s="1487">
        <f t="shared" si="3"/>
        <v>1</v>
      </c>
      <c r="AB39" s="1487">
        <f t="shared" si="4"/>
        <v>1</v>
      </c>
      <c r="AC39" s="2097">
        <f t="shared" si="5"/>
        <v>1</v>
      </c>
    </row>
    <row r="40" spans="1:29" ht="15">
      <c r="A40" s="431"/>
      <c r="B40" s="381" t="s">
        <v>2241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23"/>
      <c r="Q40" s="1486" t="str">
        <f t="shared" si="11"/>
        <v>市政基础设施</v>
      </c>
      <c r="R40" s="714" t="s">
        <v>17</v>
      </c>
      <c r="S40" s="715">
        <f t="shared" si="12"/>
        <v>100</v>
      </c>
      <c r="T40" s="714" t="s">
        <v>17</v>
      </c>
      <c r="U40" s="715">
        <f t="shared" si="13"/>
        <v>100</v>
      </c>
      <c r="V40" s="714" t="s">
        <v>17</v>
      </c>
      <c r="W40" s="715">
        <f t="shared" si="14"/>
        <v>100</v>
      </c>
      <c r="X40" s="1489"/>
      <c r="Y40" s="3485"/>
      <c r="Z40" s="1490" t="str">
        <f t="shared" si="15"/>
        <v>市政基础设施</v>
      </c>
      <c r="AA40" s="1487">
        <f t="shared" si="3"/>
        <v>1</v>
      </c>
      <c r="AB40" s="1487">
        <f t="shared" si="4"/>
        <v>1</v>
      </c>
      <c r="AC40" s="2097">
        <f t="shared" si="5"/>
        <v>1</v>
      </c>
    </row>
    <row r="41" spans="1:29" ht="15">
      <c r="A41" s="431"/>
      <c r="B41" s="381" t="s">
        <v>2243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23"/>
      <c r="Q41" s="1486" t="str">
        <f t="shared" si="11"/>
        <v>层高</v>
      </c>
      <c r="R41" s="714" t="s">
        <v>17</v>
      </c>
      <c r="S41" s="715">
        <f t="shared" si="12"/>
        <v>100</v>
      </c>
      <c r="T41" s="714" t="s">
        <v>17</v>
      </c>
      <c r="U41" s="715">
        <f t="shared" si="13"/>
        <v>100</v>
      </c>
      <c r="V41" s="714" t="s">
        <v>17</v>
      </c>
      <c r="W41" s="715">
        <f t="shared" si="14"/>
        <v>100</v>
      </c>
      <c r="X41" s="1489"/>
      <c r="Y41" s="3485"/>
      <c r="Z41" s="1490" t="str">
        <f t="shared" si="15"/>
        <v>层高</v>
      </c>
      <c r="AA41" s="1487">
        <f t="shared" si="3"/>
        <v>1</v>
      </c>
      <c r="AB41" s="1487">
        <f t="shared" si="4"/>
        <v>1</v>
      </c>
      <c r="AC41" s="2097">
        <f t="shared" si="5"/>
        <v>1</v>
      </c>
    </row>
    <row r="42" spans="1:29" s="430" customFormat="1" ht="15">
      <c r="A42" s="427"/>
      <c r="B42" s="1488" t="s">
        <v>2274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23"/>
      <c r="Q42" s="716" t="str">
        <f t="shared" si="11"/>
        <v>单套建筑面积</v>
      </c>
      <c r="R42" s="717" t="s">
        <v>17</v>
      </c>
      <c r="S42" s="718">
        <f t="shared" si="12"/>
        <v>100</v>
      </c>
      <c r="T42" s="717" t="s">
        <v>17</v>
      </c>
      <c r="U42" s="718">
        <f t="shared" si="13"/>
        <v>100</v>
      </c>
      <c r="V42" s="717" t="s">
        <v>17</v>
      </c>
      <c r="W42" s="718">
        <f t="shared" si="14"/>
        <v>100</v>
      </c>
      <c r="X42" s="719"/>
      <c r="Y42" s="3485"/>
      <c r="Z42" s="720" t="str">
        <f t="shared" si="15"/>
        <v>单套建筑面积</v>
      </c>
      <c r="AA42" s="1487">
        <f t="shared" si="3"/>
        <v>1</v>
      </c>
      <c r="AB42" s="1487">
        <f t="shared" si="4"/>
        <v>1</v>
      </c>
      <c r="AC42" s="2097">
        <f t="shared" si="5"/>
        <v>1</v>
      </c>
    </row>
    <row r="43" spans="1:29" ht="15">
      <c r="A43" s="431"/>
      <c r="B43" s="381" t="s">
        <v>2246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23"/>
      <c r="Q43" s="1486" t="str">
        <f t="shared" si="11"/>
        <v>内部装修</v>
      </c>
      <c r="R43" s="714" t="s">
        <v>17</v>
      </c>
      <c r="S43" s="715">
        <f t="shared" si="12"/>
        <v>100</v>
      </c>
      <c r="T43" s="714" t="s">
        <v>17</v>
      </c>
      <c r="U43" s="715">
        <f t="shared" si="13"/>
        <v>100</v>
      </c>
      <c r="V43" s="714" t="s">
        <v>17</v>
      </c>
      <c r="W43" s="715">
        <f t="shared" si="14"/>
        <v>100</v>
      </c>
      <c r="X43" s="1489"/>
      <c r="Y43" s="3485"/>
      <c r="Z43" s="1490" t="str">
        <f t="shared" si="15"/>
        <v>内部装修</v>
      </c>
      <c r="AA43" s="1487">
        <f t="shared" si="3"/>
        <v>1</v>
      </c>
      <c r="AB43" s="1487">
        <f t="shared" si="4"/>
        <v>1</v>
      </c>
      <c r="AC43" s="2097">
        <f t="shared" si="5"/>
        <v>1</v>
      </c>
    </row>
    <row r="44" spans="1:29" ht="15">
      <c r="A44" s="431"/>
      <c r="B44" s="381" t="s">
        <v>2154</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9"/>
      <c r="M44" s="2893"/>
      <c r="N44" s="2893"/>
      <c r="O44" s="2893"/>
      <c r="P44" s="3523"/>
      <c r="Q44" s="1486" t="str">
        <f t="shared" si="11"/>
        <v>内部装修维护情况</v>
      </c>
      <c r="R44" s="714" t="s">
        <v>17</v>
      </c>
      <c r="S44" s="715">
        <f t="shared" si="12"/>
        <v>100</v>
      </c>
      <c r="T44" s="714" t="s">
        <v>17</v>
      </c>
      <c r="U44" s="715">
        <f t="shared" si="13"/>
        <v>100</v>
      </c>
      <c r="V44" s="714" t="s">
        <v>17</v>
      </c>
      <c r="W44" s="715">
        <f t="shared" si="14"/>
        <v>100</v>
      </c>
      <c r="X44" s="1489"/>
      <c r="Y44" s="3485"/>
      <c r="Z44" s="1490" t="str">
        <f t="shared" si="15"/>
        <v>内部装修维护情况</v>
      </c>
      <c r="AA44" s="1487">
        <f t="shared" si="3"/>
        <v>1</v>
      </c>
      <c r="AB44" s="1487">
        <f t="shared" si="4"/>
        <v>1</v>
      </c>
      <c r="AC44" s="2097">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23"/>
      <c r="Q45" s="1477">
        <f t="shared" si="11"/>
        <v>111</v>
      </c>
      <c r="R45" s="710" t="s">
        <v>17</v>
      </c>
      <c r="S45" s="711">
        <f t="shared" si="12"/>
        <v>100</v>
      </c>
      <c r="T45" s="710" t="s">
        <v>17</v>
      </c>
      <c r="U45" s="711">
        <f t="shared" si="13"/>
        <v>100</v>
      </c>
      <c r="V45" s="710" t="s">
        <v>17</v>
      </c>
      <c r="W45" s="711">
        <f t="shared" si="14"/>
        <v>100</v>
      </c>
      <c r="X45" s="712"/>
      <c r="Y45" s="3485"/>
      <c r="Z45" s="55">
        <f t="shared" si="15"/>
        <v>111</v>
      </c>
      <c r="AA45" s="713">
        <f t="shared" si="3"/>
        <v>1</v>
      </c>
      <c r="AB45" s="713">
        <f t="shared" si="4"/>
        <v>1</v>
      </c>
      <c r="AC45" s="2094">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23"/>
      <c r="Q46" s="1486">
        <f t="shared" si="11"/>
        <v>111</v>
      </c>
      <c r="R46" s="714" t="s">
        <v>17</v>
      </c>
      <c r="S46" s="715">
        <f t="shared" si="12"/>
        <v>100</v>
      </c>
      <c r="T46" s="714" t="s">
        <v>17</v>
      </c>
      <c r="U46" s="715">
        <f t="shared" si="13"/>
        <v>100</v>
      </c>
      <c r="V46" s="714" t="s">
        <v>17</v>
      </c>
      <c r="W46" s="715">
        <f t="shared" si="14"/>
        <v>100</v>
      </c>
      <c r="X46" s="1489"/>
      <c r="Y46" s="3485"/>
      <c r="Z46" s="1490">
        <f t="shared" si="15"/>
        <v>111</v>
      </c>
      <c r="AA46" s="1487">
        <f t="shared" si="3"/>
        <v>1</v>
      </c>
      <c r="AB46" s="1487">
        <f t="shared" si="4"/>
        <v>1</v>
      </c>
      <c r="AC46" s="2097">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24"/>
      <c r="Q47" s="1486">
        <f t="shared" si="11"/>
        <v>111</v>
      </c>
      <c r="R47" s="714" t="s">
        <v>17</v>
      </c>
      <c r="S47" s="715">
        <f t="shared" si="12"/>
        <v>100</v>
      </c>
      <c r="T47" s="714" t="s">
        <v>17</v>
      </c>
      <c r="U47" s="715">
        <f t="shared" si="13"/>
        <v>100</v>
      </c>
      <c r="V47" s="714" t="s">
        <v>17</v>
      </c>
      <c r="W47" s="715">
        <f t="shared" si="14"/>
        <v>100</v>
      </c>
      <c r="X47" s="1489"/>
      <c r="Y47" s="3525"/>
      <c r="Z47" s="1490">
        <f t="shared" si="15"/>
        <v>111</v>
      </c>
      <c r="AA47" s="1487">
        <f t="shared" si="3"/>
        <v>1</v>
      </c>
      <c r="AB47" s="1487">
        <f t="shared" si="4"/>
        <v>1</v>
      </c>
      <c r="AC47" s="2097">
        <f t="shared" si="5"/>
        <v>1</v>
      </c>
    </row>
    <row r="48" spans="1:29" ht="15">
      <c r="A48" s="438" t="s">
        <v>2155</v>
      </c>
      <c r="B48" s="439"/>
      <c r="C48" s="1269" t="s">
        <v>1</v>
      </c>
      <c r="D48" s="1270"/>
      <c r="E48" s="1271"/>
      <c r="F48" s="1272"/>
      <c r="G48" s="1273"/>
      <c r="H48" s="1274"/>
      <c r="I48" s="1271"/>
      <c r="J48" s="444"/>
      <c r="K48" s="723"/>
      <c r="L48" s="2901"/>
      <c r="M48" s="2893"/>
      <c r="N48" s="2893"/>
      <c r="O48" s="2893"/>
      <c r="P48" s="3491" t="str">
        <f>A48</f>
        <v>成交单价（元/平方米）</v>
      </c>
      <c r="Q48" s="3467"/>
      <c r="R48" s="3521">
        <f>E48</f>
        <v>0</v>
      </c>
      <c r="S48" s="3521"/>
      <c r="T48" s="3521">
        <f>G48</f>
        <v>0</v>
      </c>
      <c r="U48" s="3521"/>
      <c r="V48" s="3521">
        <f>I48</f>
        <v>0</v>
      </c>
      <c r="W48" s="3521"/>
      <c r="X48" s="405"/>
      <c r="Y48" s="721"/>
      <c r="Z48" s="405"/>
      <c r="AA48" s="405"/>
      <c r="AB48" s="405"/>
      <c r="AC48" s="586"/>
    </row>
    <row r="49" spans="1:29" ht="15.75" thickBot="1">
      <c r="A49" s="445" t="s">
        <v>2247</v>
      </c>
      <c r="B49" s="446"/>
      <c r="C49" s="1275" t="e">
        <f>R50</f>
        <v>#DIV/0!</v>
      </c>
      <c r="D49" s="2487" t="s">
        <v>2637</v>
      </c>
      <c r="E49" s="1276" t="e">
        <f>R49</f>
        <v>#DIV/0!</v>
      </c>
      <c r="F49" s="2488"/>
      <c r="G49" s="1275" t="e">
        <f>T49</f>
        <v>#DIV/0!</v>
      </c>
      <c r="H49" s="2488"/>
      <c r="I49" s="1276" t="e">
        <f>V49</f>
        <v>#DIV/0!</v>
      </c>
      <c r="J49" s="2488"/>
      <c r="K49" s="2490">
        <f>F49+H49+J49</f>
        <v>0</v>
      </c>
      <c r="L49" s="2901"/>
      <c r="M49" s="2893"/>
      <c r="N49" s="2893"/>
      <c r="O49" s="2893"/>
      <c r="P49" s="3491" t="str">
        <f>A49</f>
        <v>比较价值（元/平方米）</v>
      </c>
      <c r="Q49" s="3467"/>
      <c r="R49" s="3521" t="e">
        <f>IF(F1="售价",ROUND(PRODUCT(R48,AA7:AA47),0),ROUND(PRODUCT(R48,AA7:AA47),1))</f>
        <v>#DIV/0!</v>
      </c>
      <c r="S49" s="3521"/>
      <c r="T49" s="3521" t="e">
        <f>IF(F1="售价",ROUND(PRODUCT(T48,AB7:AB47),0),ROUND(PRODUCT(T48,AB7:AB47),1))</f>
        <v>#DIV/0!</v>
      </c>
      <c r="U49" s="3521"/>
      <c r="V49" s="3521" t="e">
        <f>IF(F1="售价",ROUND(PRODUCT(V48,AC7:AC47),0),ROUND(PRODUCT(V48,AC7:AC47),1))</f>
        <v>#DIV/0!</v>
      </c>
      <c r="W49" s="3521"/>
      <c r="X49" s="405"/>
      <c r="Y49" s="405"/>
      <c r="Z49" s="405"/>
      <c r="AA49" s="405"/>
      <c r="AB49" s="405"/>
      <c r="AC49" s="586"/>
    </row>
    <row r="50" spans="1:29" ht="15.75" thickBot="1">
      <c r="A50" s="449" t="s">
        <v>2248</v>
      </c>
      <c r="B50" s="450"/>
      <c r="C50" s="1278" t="e">
        <f>R50</f>
        <v>#DIV/0!</v>
      </c>
      <c r="D50" s="1278"/>
      <c r="E50" s="1278"/>
      <c r="F50" s="1278"/>
      <c r="G50" s="1278"/>
      <c r="H50" s="1278"/>
      <c r="I50" s="1278"/>
      <c r="J50" s="451"/>
      <c r="K50" s="724"/>
      <c r="L50" s="2901"/>
      <c r="M50" s="2893"/>
      <c r="N50" s="2893"/>
      <c r="O50" s="2893"/>
      <c r="P50" s="3540" t="str">
        <f>A50</f>
        <v>估价对象XX用房的比较价值（楼面单价，元/平方米）</v>
      </c>
      <c r="Q50" s="3541"/>
      <c r="R50" s="3542" t="e">
        <f>IF(F1="售价",ROUND(IF(D49="简单平均",AVERAGE(R49:V49),R49*F49+T49*H49+V49*J49),0),ROUND(IF(D49="简单平均",AVERAGE(R49:V49),R49*F49+T49*H49+V49*J49),1))</f>
        <v>#DIV/0!</v>
      </c>
      <c r="S50" s="3542"/>
      <c r="T50" s="3542"/>
      <c r="U50" s="3542"/>
      <c r="V50" s="3542"/>
      <c r="W50" s="3542"/>
      <c r="X50" s="2081"/>
      <c r="Y50" s="2081"/>
      <c r="Z50" s="2081"/>
      <c r="AA50" s="2081"/>
      <c r="AB50" s="2081"/>
      <c r="AC50" s="2082"/>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2249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2252</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2126</v>
      </c>
      <c r="B59" s="463"/>
      <c r="C59" s="1298" t="str">
        <f>YEAR(C7)&amp;"-"&amp;MONTH(C7)</f>
        <v>2022-12</v>
      </c>
      <c r="D59" s="1299">
        <f>EDATE(C59,-1)</f>
        <v>44866</v>
      </c>
      <c r="E59" s="1299">
        <f>EDATE(D59,-1)</f>
        <v>44835</v>
      </c>
      <c r="F59" s="1299">
        <f t="shared" ref="F59:O59" si="16">EDATE(E59,-1)</f>
        <v>44805</v>
      </c>
      <c r="G59" s="1299">
        <f t="shared" si="16"/>
        <v>44774</v>
      </c>
      <c r="H59" s="1299">
        <f t="shared" si="16"/>
        <v>44743</v>
      </c>
      <c r="I59" s="1299">
        <f t="shared" si="16"/>
        <v>44713</v>
      </c>
      <c r="J59" s="1299">
        <f t="shared" si="16"/>
        <v>44682</v>
      </c>
      <c r="K59" s="1299">
        <f t="shared" si="16"/>
        <v>44652</v>
      </c>
      <c r="L59" s="1299">
        <f t="shared" si="16"/>
        <v>44621</v>
      </c>
      <c r="M59" s="1299">
        <f t="shared" si="16"/>
        <v>44593</v>
      </c>
      <c r="N59" s="1299">
        <f t="shared" si="16"/>
        <v>44562</v>
      </c>
      <c r="O59" s="1299">
        <f t="shared" si="16"/>
        <v>44531</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2163</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2128</v>
      </c>
      <c r="B62" s="467"/>
      <c r="C62" s="479" t="s">
        <v>2230</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2166</v>
      </c>
      <c r="B64" s="485" t="s">
        <v>2132</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2135</v>
      </c>
      <c r="C66" s="496" t="s">
        <v>2167</v>
      </c>
      <c r="D66" s="496" t="s">
        <v>2168</v>
      </c>
      <c r="E66" s="496" t="s">
        <v>2169</v>
      </c>
      <c r="F66" s="496" t="s">
        <v>2170</v>
      </c>
      <c r="G66" s="496" t="s">
        <v>2171</v>
      </c>
      <c r="H66" s="496" t="s">
        <v>2172</v>
      </c>
      <c r="I66" s="496" t="s">
        <v>2173</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2137</v>
      </c>
      <c r="B77" s="485" t="s">
        <v>2275</v>
      </c>
      <c r="C77" s="530" t="s">
        <v>2175</v>
      </c>
      <c r="D77" s="530" t="s">
        <v>2176</v>
      </c>
      <c r="E77" s="530" t="s">
        <v>2177</v>
      </c>
      <c r="F77" s="530" t="s">
        <v>2178</v>
      </c>
      <c r="G77" s="530" t="s">
        <v>2179</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2180</v>
      </c>
      <c r="C79" s="535" t="s">
        <v>2175</v>
      </c>
      <c r="D79" s="535" t="s">
        <v>2176</v>
      </c>
      <c r="E79" s="535" t="s">
        <v>2177</v>
      </c>
      <c r="F79" s="535" t="s">
        <v>2178</v>
      </c>
      <c r="G79" s="535" t="s">
        <v>2179</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2181</v>
      </c>
      <c r="C81" s="535" t="s">
        <v>2175</v>
      </c>
      <c r="D81" s="535" t="s">
        <v>2176</v>
      </c>
      <c r="E81" s="535" t="s">
        <v>2177</v>
      </c>
      <c r="F81" s="535" t="s">
        <v>2178</v>
      </c>
      <c r="G81" s="535" t="s">
        <v>2179</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2267</v>
      </c>
      <c r="C83" s="616" t="s">
        <v>2253</v>
      </c>
      <c r="D83" s="616" t="s">
        <v>2254</v>
      </c>
      <c r="E83" s="616" t="s">
        <v>2255</v>
      </c>
      <c r="F83" s="616" t="s">
        <v>2256</v>
      </c>
      <c r="G83" s="616" t="s">
        <v>2257</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2276</v>
      </c>
      <c r="C85" s="535" t="s">
        <v>2175</v>
      </c>
      <c r="D85" s="535" t="s">
        <v>2176</v>
      </c>
      <c r="E85" s="535" t="s">
        <v>2177</v>
      </c>
      <c r="F85" s="535" t="s">
        <v>2178</v>
      </c>
      <c r="G85" s="535" t="s">
        <v>2179</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2277</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2"/>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3"/>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2141</v>
      </c>
      <c r="B101" s="485" t="s">
        <v>2190</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2192</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2194</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2278</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2195</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2196</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2279</v>
      </c>
      <c r="C119" s="540"/>
      <c r="D119" s="540"/>
      <c r="E119" s="540"/>
      <c r="F119" s="540"/>
      <c r="G119" s="540"/>
      <c r="H119" s="540"/>
      <c r="I119" s="540"/>
      <c r="J119" s="540"/>
      <c r="K119" s="540"/>
      <c r="L119" s="2103"/>
      <c r="M119" s="2104"/>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2262</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2198</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2199</v>
      </c>
      <c r="C125" s="535" t="s">
        <v>2175</v>
      </c>
      <c r="D125" s="535" t="s">
        <v>2176</v>
      </c>
      <c r="E125" s="535" t="s">
        <v>2177</v>
      </c>
      <c r="F125" s="535" t="s">
        <v>2178</v>
      </c>
      <c r="G125" s="535" t="s">
        <v>2179</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3"/>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92" t="s">
        <v>2280</v>
      </c>
      <c r="C1" s="1344" t="s">
        <v>2108</v>
      </c>
      <c r="D1" s="1345"/>
      <c r="E1" s="1354"/>
      <c r="F1" s="2015"/>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1908</v>
      </c>
      <c r="B2" s="1279" t="e">
        <f ca="1">IF(C2="——",ROUND(C43*D3/10000,0),ROUND(C43*D3/10000,0)-D2)</f>
        <v>#DIV/0!</v>
      </c>
      <c r="C2" s="2017"/>
      <c r="D2" s="1019" t="e">
        <f ca="1">SUMIF(INDIRECT("'"&amp;F2&amp;"'"&amp;"!A:A"),"承租人权益价值",INDIRECT("'"&amp;F2&amp;"'"&amp;"!c:c"))</f>
        <v>#REF!</v>
      </c>
      <c r="E2" s="2018" t="s">
        <v>1909</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1910</v>
      </c>
      <c r="B3" s="566" t="e">
        <f ca="1">IF(C2="——",C43,ROUND(B2*10000/D3,0))</f>
        <v>#DIV/0!</v>
      </c>
      <c r="C3" s="360" t="s">
        <v>2222</v>
      </c>
      <c r="D3" s="359">
        <f>IF(D1="",'数据-汇总表'!E3,SUMIF('数据-汇总表'!$C19:$C33,D1,'数据-汇总表'!$E19:$E33))</f>
        <v>6199.09</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2223</v>
      </c>
      <c r="B4" s="362"/>
      <c r="C4" s="3468" t="s">
        <v>2224</v>
      </c>
      <c r="D4" s="3469"/>
      <c r="E4" s="3470" t="s">
        <v>2225</v>
      </c>
      <c r="F4" s="3471"/>
      <c r="G4" s="3468" t="s">
        <v>2226</v>
      </c>
      <c r="H4" s="3469"/>
      <c r="I4" s="3468" t="s">
        <v>2227</v>
      </c>
      <c r="J4" s="3469"/>
      <c r="K4" s="567" t="s">
        <v>2228</v>
      </c>
      <c r="L4" s="1025"/>
      <c r="M4" s="1026"/>
      <c r="N4" s="1026"/>
      <c r="O4" s="1026"/>
      <c r="P4" s="3472" t="s">
        <v>2229</v>
      </c>
      <c r="Q4" s="3473"/>
      <c r="R4" s="3455" t="s">
        <v>2225</v>
      </c>
      <c r="S4" s="3456"/>
      <c r="T4" s="3455" t="s">
        <v>2226</v>
      </c>
      <c r="U4" s="3456"/>
      <c r="V4" s="3480" t="s">
        <v>2227</v>
      </c>
      <c r="W4" s="3480"/>
      <c r="X4" s="1489"/>
      <c r="Y4" s="3455" t="s">
        <v>2229</v>
      </c>
      <c r="Z4" s="3456"/>
      <c r="AA4" s="3450" t="s">
        <v>2225</v>
      </c>
      <c r="AB4" s="3451" t="s">
        <v>2226</v>
      </c>
      <c r="AC4" s="3450" t="s">
        <v>2227</v>
      </c>
    </row>
    <row r="5" spans="1:29" ht="15">
      <c r="A5" s="364"/>
      <c r="B5" s="365"/>
      <c r="C5" s="3461" t="s">
        <v>2120</v>
      </c>
      <c r="D5" s="3462"/>
      <c r="E5" s="3459" t="s">
        <v>2121</v>
      </c>
      <c r="F5" s="3460"/>
      <c r="G5" s="3461" t="s">
        <v>2122</v>
      </c>
      <c r="H5" s="3462"/>
      <c r="I5" s="3461" t="s">
        <v>2123</v>
      </c>
      <c r="J5" s="3462"/>
      <c r="K5" s="567"/>
      <c r="L5" s="1025"/>
      <c r="M5" s="1026"/>
      <c r="N5" s="1026"/>
      <c r="O5" s="1026"/>
      <c r="P5" s="3474"/>
      <c r="Q5" s="3475"/>
      <c r="R5" s="3457"/>
      <c r="S5" s="3458"/>
      <c r="T5" s="3457"/>
      <c r="U5" s="3458"/>
      <c r="V5" s="3480"/>
      <c r="W5" s="3480"/>
      <c r="X5" s="1489"/>
      <c r="Y5" s="3457"/>
      <c r="Z5" s="3458"/>
      <c r="AA5" s="3451"/>
      <c r="AB5" s="3451"/>
      <c r="AC5" s="3451"/>
    </row>
    <row r="6" spans="1:29" ht="15.75" thickBot="1">
      <c r="A6" s="366"/>
      <c r="B6" s="367"/>
      <c r="C6" s="3463" t="s">
        <v>2124</v>
      </c>
      <c r="D6" s="3464"/>
      <c r="E6" s="3465" t="s">
        <v>2124</v>
      </c>
      <c r="F6" s="3466"/>
      <c r="G6" s="3463" t="s">
        <v>2124</v>
      </c>
      <c r="H6" s="3464"/>
      <c r="I6" s="3463" t="s">
        <v>2124</v>
      </c>
      <c r="J6" s="3464"/>
      <c r="K6" s="567" t="s">
        <v>2125</v>
      </c>
      <c r="L6" s="1025"/>
      <c r="M6" s="1026"/>
      <c r="N6" s="1026"/>
      <c r="O6" s="1026"/>
      <c r="P6" s="3476"/>
      <c r="Q6" s="3477"/>
      <c r="R6" s="3457"/>
      <c r="S6" s="3458"/>
      <c r="T6" s="3478"/>
      <c r="U6" s="3479"/>
      <c r="V6" s="3480"/>
      <c r="W6" s="3480"/>
      <c r="X6" s="1489"/>
      <c r="Y6" s="3478"/>
      <c r="Z6" s="3479"/>
      <c r="AA6" s="3452"/>
      <c r="AB6" s="3452"/>
      <c r="AC6" s="3452"/>
    </row>
    <row r="7" spans="1:29" s="113" customFormat="1" ht="15.75" thickBot="1">
      <c r="A7" s="368" t="s">
        <v>2126</v>
      </c>
      <c r="B7" s="369"/>
      <c r="C7" s="370">
        <f>'数据-取费表'!B2</f>
        <v>44915</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3" t="s">
        <v>2127</v>
      </c>
      <c r="Q7" s="3481"/>
      <c r="R7" s="710" t="s">
        <v>17</v>
      </c>
      <c r="S7" s="711">
        <f t="shared" ref="S7:S15" si="0">F7</f>
        <v>0</v>
      </c>
      <c r="T7" s="710" t="s">
        <v>17</v>
      </c>
      <c r="U7" s="711">
        <f t="shared" ref="U7:U15" si="1">H7</f>
        <v>0</v>
      </c>
      <c r="V7" s="710" t="s">
        <v>17</v>
      </c>
      <c r="W7" s="711">
        <f t="shared" ref="W7:W15" si="2">J7</f>
        <v>0</v>
      </c>
      <c r="X7" s="712"/>
      <c r="Y7" s="3453" t="s">
        <v>2127</v>
      </c>
      <c r="Z7" s="3454"/>
      <c r="AA7" s="713" t="e">
        <f>D7/F7</f>
        <v>#DIV/0!</v>
      </c>
      <c r="AB7" s="713" t="e">
        <f>D7/H7</f>
        <v>#DIV/0!</v>
      </c>
      <c r="AC7" s="713" t="e">
        <f>D7/J7</f>
        <v>#DIV/0!</v>
      </c>
    </row>
    <row r="8" spans="1:29" s="113" customFormat="1" ht="15.75" thickBot="1">
      <c r="A8" s="368" t="s">
        <v>2128</v>
      </c>
      <c r="B8" s="369"/>
      <c r="C8" s="374" t="s">
        <v>2129</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3" t="s">
        <v>2130</v>
      </c>
      <c r="Q8" s="3454"/>
      <c r="R8" s="710" t="s">
        <v>17</v>
      </c>
      <c r="S8" s="711">
        <f t="shared" si="0"/>
        <v>0</v>
      </c>
      <c r="T8" s="710" t="s">
        <v>17</v>
      </c>
      <c r="U8" s="711">
        <f t="shared" si="1"/>
        <v>0</v>
      </c>
      <c r="V8" s="710" t="s">
        <v>17</v>
      </c>
      <c r="W8" s="711">
        <f t="shared" si="2"/>
        <v>0</v>
      </c>
      <c r="X8" s="712"/>
      <c r="Y8" s="3453" t="s">
        <v>2130</v>
      </c>
      <c r="Z8" s="3454"/>
      <c r="AA8" s="713" t="e">
        <f t="shared" ref="AA8:AA40" si="3">D8/F8</f>
        <v>#DIV/0!</v>
      </c>
      <c r="AB8" s="713" t="e">
        <f t="shared" ref="AB8:AB40" si="4">D8/H8</f>
        <v>#DIV/0!</v>
      </c>
      <c r="AC8" s="713" t="e">
        <f t="shared" ref="AC8:AC40" si="5">D8/J8</f>
        <v>#DIV/0!</v>
      </c>
    </row>
    <row r="9" spans="1:29" s="113" customFormat="1">
      <c r="A9" s="375" t="s">
        <v>2131</v>
      </c>
      <c r="B9" s="67" t="s">
        <v>2132</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7" t="s">
        <v>2133</v>
      </c>
      <c r="Q9" s="1477" t="str">
        <f t="shared" ref="Q9:Q15" si="6">B9</f>
        <v>用途</v>
      </c>
      <c r="R9" s="710" t="s">
        <v>17</v>
      </c>
      <c r="S9" s="711">
        <f t="shared" si="0"/>
        <v>100</v>
      </c>
      <c r="T9" s="710" t="s">
        <v>17</v>
      </c>
      <c r="U9" s="711">
        <f t="shared" si="1"/>
        <v>100</v>
      </c>
      <c r="V9" s="710" t="s">
        <v>17</v>
      </c>
      <c r="W9" s="711">
        <f t="shared" si="2"/>
        <v>100</v>
      </c>
      <c r="X9" s="712"/>
      <c r="Y9" s="3423" t="s">
        <v>2134</v>
      </c>
      <c r="Z9" s="55" t="str">
        <f t="shared" ref="Z9:Z15" si="7">Q9</f>
        <v>用途</v>
      </c>
      <c r="AA9" s="713">
        <f t="shared" si="3"/>
        <v>1</v>
      </c>
      <c r="AB9" s="713">
        <f t="shared" si="4"/>
        <v>1</v>
      </c>
      <c r="AC9" s="713">
        <f t="shared" si="5"/>
        <v>1</v>
      </c>
    </row>
    <row r="10" spans="1:29" s="386" customFormat="1" ht="27">
      <c r="A10" s="380"/>
      <c r="B10" s="381" t="s">
        <v>2135</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7"/>
      <c r="Q10" s="147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387"/>
      <c r="B11" s="381" t="s">
        <v>2136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7"/>
      <c r="Q11" s="1477"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5"/>
      <c r="H12" s="132">
        <f>SUMIF(64:64,G12,65:65)-SUMIF(64:64,C12,65:65)+100</f>
        <v>100</v>
      </c>
      <c r="I12" s="428"/>
      <c r="J12" s="132">
        <f>SUMIF(64:64,I12,65:65)-SUMIF(64:64,C12,65:65)+100</f>
        <v>100</v>
      </c>
      <c r="K12" s="570"/>
      <c r="L12" s="1027"/>
      <c r="M12" s="1028"/>
      <c r="N12" s="1028"/>
      <c r="O12" s="1029"/>
      <c r="P12" s="3467"/>
      <c r="Q12" s="147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5"/>
      <c r="H13" s="394">
        <f>SUMIF(66:66,G13,67:67)-SUMIF(66:66,C13,67:67)+100</f>
        <v>100</v>
      </c>
      <c r="I13" s="428"/>
      <c r="J13" s="394">
        <f>SUMIF(66:66,I13,67:67)-SUMIF(66:66,C13,67:67)+100</f>
        <v>100</v>
      </c>
      <c r="K13" s="570"/>
      <c r="L13" s="1035"/>
      <c r="M13" s="1026"/>
      <c r="N13" s="1026"/>
      <c r="O13" s="1034"/>
      <c r="P13" s="3467"/>
      <c r="Q13" s="147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5"/>
      <c r="H14" s="397">
        <f>SUMIF(68:68,G14,69:69)-SUMIF(68:68,C14,69:69)+100</f>
        <v>100</v>
      </c>
      <c r="I14" s="428"/>
      <c r="J14" s="397">
        <f>SUMIF(68:68,I14,69:69)-SUMIF(68:68,C14,69:69)+100</f>
        <v>100</v>
      </c>
      <c r="K14" s="570"/>
      <c r="L14" s="1035"/>
      <c r="M14" s="1026"/>
      <c r="N14" s="1026"/>
      <c r="O14" s="1034"/>
      <c r="P14" s="3467"/>
      <c r="Q14" s="1477">
        <f t="shared" si="6"/>
        <v>111</v>
      </c>
      <c r="R14" s="710" t="s">
        <v>17</v>
      </c>
      <c r="S14" s="711">
        <f t="shared" si="0"/>
        <v>100</v>
      </c>
      <c r="T14" s="710" t="s">
        <v>17</v>
      </c>
      <c r="U14" s="711">
        <f t="shared" si="1"/>
        <v>100</v>
      </c>
      <c r="V14" s="710" t="s">
        <v>17</v>
      </c>
      <c r="W14" s="711">
        <f t="shared" si="2"/>
        <v>100</v>
      </c>
      <c r="X14" s="712"/>
      <c r="Y14" s="3423"/>
      <c r="Z14" s="55">
        <f t="shared" si="7"/>
        <v>111</v>
      </c>
      <c r="AA14" s="713">
        <f t="shared" si="3"/>
        <v>1</v>
      </c>
      <c r="AB14" s="713">
        <f t="shared" si="4"/>
        <v>1</v>
      </c>
      <c r="AC14" s="713">
        <f t="shared" si="5"/>
        <v>1</v>
      </c>
    </row>
    <row r="15" spans="1:29" ht="15">
      <c r="A15" s="399" t="s">
        <v>2137</v>
      </c>
      <c r="B15" s="65" t="s">
        <v>2281</v>
      </c>
      <c r="C15" s="2106">
        <f>估价对象房地状况!G3</f>
        <v>0</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2" t="s">
        <v>2138</v>
      </c>
      <c r="Q15" s="1486" t="str">
        <f t="shared" si="6"/>
        <v>产业集聚程度</v>
      </c>
      <c r="R15" s="714" t="s">
        <v>17</v>
      </c>
      <c r="S15" s="715">
        <f t="shared" si="0"/>
        <v>100</v>
      </c>
      <c r="T15" s="714" t="s">
        <v>17</v>
      </c>
      <c r="U15" s="715">
        <f t="shared" si="1"/>
        <v>100</v>
      </c>
      <c r="V15" s="714" t="s">
        <v>17</v>
      </c>
      <c r="W15" s="715">
        <f t="shared" si="2"/>
        <v>100</v>
      </c>
      <c r="X15" s="1489"/>
      <c r="Y15" s="3482" t="s">
        <v>2138</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83"/>
      <c r="Q16" s="1486"/>
      <c r="R16" s="714"/>
      <c r="S16" s="715"/>
      <c r="T16" s="714"/>
      <c r="U16" s="715"/>
      <c r="V16" s="714"/>
      <c r="W16" s="715"/>
      <c r="X16" s="1489"/>
      <c r="Y16" s="3483"/>
      <c r="Z16" s="1490"/>
      <c r="AA16" s="1487">
        <v>1</v>
      </c>
      <c r="AB16" s="1487">
        <v>1</v>
      </c>
      <c r="AC16" s="1487">
        <v>1</v>
      </c>
    </row>
    <row r="17" spans="1:29" ht="15">
      <c r="A17" s="387"/>
      <c r="B17" s="410" t="s">
        <v>1705</v>
      </c>
      <c r="C17" s="2036">
        <f>估价对象房地状况!G4</f>
        <v>0</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3"/>
      <c r="Q17" s="1486" t="str">
        <f>B17</f>
        <v>交通便捷度</v>
      </c>
      <c r="R17" s="714" t="s">
        <v>17</v>
      </c>
      <c r="S17" s="715">
        <f>F17</f>
        <v>100</v>
      </c>
      <c r="T17" s="714" t="s">
        <v>17</v>
      </c>
      <c r="U17" s="715">
        <f>H17</f>
        <v>100</v>
      </c>
      <c r="V17" s="714" t="s">
        <v>17</v>
      </c>
      <c r="W17" s="715">
        <f>J17</f>
        <v>100</v>
      </c>
      <c r="X17" s="1489"/>
      <c r="Y17" s="3483"/>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483"/>
      <c r="Q18" s="1486"/>
      <c r="R18" s="714"/>
      <c r="S18" s="715"/>
      <c r="T18" s="714"/>
      <c r="U18" s="715"/>
      <c r="V18" s="714"/>
      <c r="W18" s="715"/>
      <c r="X18" s="1489"/>
      <c r="Y18" s="3483"/>
      <c r="Z18" s="1490"/>
      <c r="AA18" s="1487">
        <v>1</v>
      </c>
      <c r="AB18" s="1487">
        <v>1</v>
      </c>
      <c r="AC18" s="1487">
        <v>1</v>
      </c>
    </row>
    <row r="19" spans="1:29" ht="15">
      <c r="A19" s="387"/>
      <c r="B19" s="410" t="s">
        <v>2266</v>
      </c>
      <c r="C19" s="2036">
        <f>估价对象房地状况!G5</f>
        <v>0</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3"/>
      <c r="Q19" s="1486" t="str">
        <f>B19</f>
        <v>公共配套设施</v>
      </c>
      <c r="R19" s="714" t="s">
        <v>17</v>
      </c>
      <c r="S19" s="715">
        <f>F19</f>
        <v>100</v>
      </c>
      <c r="T19" s="714" t="s">
        <v>17</v>
      </c>
      <c r="U19" s="715">
        <f>H19</f>
        <v>100</v>
      </c>
      <c r="V19" s="714" t="s">
        <v>17</v>
      </c>
      <c r="W19" s="715">
        <f>J19</f>
        <v>100</v>
      </c>
      <c r="X19" s="1489"/>
      <c r="Y19" s="3483"/>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483"/>
      <c r="Q20" s="1486"/>
      <c r="R20" s="714"/>
      <c r="S20" s="715"/>
      <c r="T20" s="714"/>
      <c r="U20" s="715"/>
      <c r="V20" s="714"/>
      <c r="W20" s="715"/>
      <c r="X20" s="1489"/>
      <c r="Y20" s="3483"/>
      <c r="Z20" s="1490"/>
      <c r="AA20" s="1487">
        <v>1</v>
      </c>
      <c r="AB20" s="1487">
        <v>1</v>
      </c>
      <c r="AC20" s="1487">
        <v>1</v>
      </c>
    </row>
    <row r="21" spans="1:29" ht="15">
      <c r="A21" s="387"/>
      <c r="B21" s="1246" t="s">
        <v>2267</v>
      </c>
      <c r="C21" s="2036">
        <f>估价对象房地状况!G6</f>
        <v>0</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3"/>
      <c r="Q21" s="1486" t="str">
        <f>B21</f>
        <v>基础设施水平</v>
      </c>
      <c r="R21" s="714" t="s">
        <v>17</v>
      </c>
      <c r="S21" s="715">
        <f>F21</f>
        <v>100</v>
      </c>
      <c r="T21" s="714" t="s">
        <v>17</v>
      </c>
      <c r="U21" s="715">
        <f>H21</f>
        <v>100</v>
      </c>
      <c r="V21" s="714" t="s">
        <v>17</v>
      </c>
      <c r="W21" s="715">
        <f>J21</f>
        <v>100</v>
      </c>
      <c r="X21" s="1489"/>
      <c r="Y21" s="3483"/>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1035"/>
      <c r="M22" s="1026"/>
      <c r="N22" s="1026"/>
      <c r="O22" s="1034"/>
      <c r="P22" s="3483"/>
      <c r="Q22" s="1486"/>
      <c r="R22" s="714"/>
      <c r="S22" s="715"/>
      <c r="T22" s="714"/>
      <c r="U22" s="715"/>
      <c r="V22" s="714"/>
      <c r="W22" s="715"/>
      <c r="X22" s="1489"/>
      <c r="Y22" s="3483"/>
      <c r="Z22" s="1490"/>
      <c r="AA22" s="1487">
        <v>1</v>
      </c>
      <c r="AB22" s="1487">
        <v>1</v>
      </c>
      <c r="AC22" s="1487">
        <v>1</v>
      </c>
    </row>
    <row r="23" spans="1:29" ht="15">
      <c r="A23" s="387"/>
      <c r="B23" s="410" t="s">
        <v>2268</v>
      </c>
      <c r="C23" s="2036">
        <f>估价对象房地状况!G7</f>
        <v>0</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3"/>
      <c r="Q23" s="1486" t="str">
        <f>B23</f>
        <v>环境质量</v>
      </c>
      <c r="R23" s="714" t="s">
        <v>17</v>
      </c>
      <c r="S23" s="715">
        <f>F23</f>
        <v>100</v>
      </c>
      <c r="T23" s="714" t="s">
        <v>17</v>
      </c>
      <c r="U23" s="715">
        <f>H23</f>
        <v>100</v>
      </c>
      <c r="V23" s="714" t="s">
        <v>17</v>
      </c>
      <c r="W23" s="715">
        <f>J23</f>
        <v>100</v>
      </c>
      <c r="X23" s="1489"/>
      <c r="Y23" s="3483"/>
      <c r="Z23" s="1490" t="str">
        <f>Q23</f>
        <v>环境质量</v>
      </c>
      <c r="AA23" s="1487">
        <f t="shared" si="3"/>
        <v>1</v>
      </c>
      <c r="AB23" s="1487">
        <f t="shared" si="4"/>
        <v>1</v>
      </c>
      <c r="AC23" s="1487">
        <f t="shared" si="5"/>
        <v>1</v>
      </c>
    </row>
    <row r="24" spans="1:29" ht="15">
      <c r="A24" s="387"/>
      <c r="B24" s="1246"/>
      <c r="C24" s="406"/>
      <c r="D24" s="407"/>
      <c r="E24" s="2034"/>
      <c r="F24" s="408"/>
      <c r="G24" s="2033"/>
      <c r="H24" s="407"/>
      <c r="I24" s="2034"/>
      <c r="J24" s="407"/>
      <c r="K24" s="572"/>
      <c r="L24" s="1035"/>
      <c r="M24" s="1026"/>
      <c r="N24" s="1026"/>
      <c r="O24" s="1034"/>
      <c r="P24" s="3483"/>
      <c r="Q24" s="1486"/>
      <c r="R24" s="714"/>
      <c r="S24" s="715"/>
      <c r="T24" s="714"/>
      <c r="U24" s="715"/>
      <c r="V24" s="714"/>
      <c r="W24" s="715"/>
      <c r="X24" s="1489"/>
      <c r="Y24" s="3483"/>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3"/>
      <c r="Q25" s="1486">
        <f>B25</f>
        <v>111</v>
      </c>
      <c r="R25" s="714" t="s">
        <v>17</v>
      </c>
      <c r="S25" s="715">
        <f>F25</f>
        <v>100</v>
      </c>
      <c r="T25" s="714" t="s">
        <v>17</v>
      </c>
      <c r="U25" s="715">
        <f>H25</f>
        <v>100</v>
      </c>
      <c r="V25" s="714" t="s">
        <v>17</v>
      </c>
      <c r="W25" s="715">
        <f>J25</f>
        <v>100</v>
      </c>
      <c r="X25" s="1489"/>
      <c r="Y25" s="3483"/>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3"/>
      <c r="Q26" s="1486">
        <f t="shared" ref="Q26:Q40" si="11">B26</f>
        <v>111</v>
      </c>
      <c r="R26" s="714" t="s">
        <v>17</v>
      </c>
      <c r="S26" s="715">
        <f>F26</f>
        <v>100</v>
      </c>
      <c r="T26" s="714" t="s">
        <v>17</v>
      </c>
      <c r="U26" s="715">
        <f>H26</f>
        <v>100</v>
      </c>
      <c r="V26" s="714" t="s">
        <v>17</v>
      </c>
      <c r="W26" s="715">
        <f>J26</f>
        <v>100</v>
      </c>
      <c r="X26" s="1489"/>
      <c r="Y26" s="3483"/>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3"/>
      <c r="Q27" s="1477">
        <f t="shared" si="11"/>
        <v>111</v>
      </c>
      <c r="R27" s="710" t="s">
        <v>17</v>
      </c>
      <c r="S27" s="711">
        <f>F27</f>
        <v>100</v>
      </c>
      <c r="T27" s="710" t="s">
        <v>17</v>
      </c>
      <c r="U27" s="711">
        <f>H27</f>
        <v>100</v>
      </c>
      <c r="V27" s="710" t="s">
        <v>17</v>
      </c>
      <c r="W27" s="711">
        <f>J27</f>
        <v>100</v>
      </c>
      <c r="X27" s="712"/>
      <c r="Y27" s="3483"/>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3"/>
      <c r="Q28" s="1486">
        <f t="shared" si="11"/>
        <v>111</v>
      </c>
      <c r="R28" s="714" t="s">
        <v>17</v>
      </c>
      <c r="S28" s="715">
        <f t="shared" ref="S28:S40" si="12">F28</f>
        <v>100</v>
      </c>
      <c r="T28" s="714" t="s">
        <v>17</v>
      </c>
      <c r="U28" s="715">
        <f t="shared" ref="U28:U40" si="13">H28</f>
        <v>100</v>
      </c>
      <c r="V28" s="714" t="s">
        <v>17</v>
      </c>
      <c r="W28" s="715">
        <f t="shared" ref="W28:W40" si="14">J28</f>
        <v>100</v>
      </c>
      <c r="X28" s="1489"/>
      <c r="Y28" s="3483"/>
      <c r="Z28" s="1490">
        <f t="shared" ref="Z28:Z40" si="15">Q28</f>
        <v>111</v>
      </c>
      <c r="AA28" s="1487">
        <f t="shared" si="3"/>
        <v>1</v>
      </c>
      <c r="AB28" s="1487">
        <f t="shared" si="4"/>
        <v>1</v>
      </c>
      <c r="AC28" s="1487">
        <f t="shared" si="5"/>
        <v>1</v>
      </c>
    </row>
    <row r="29" spans="1:29" ht="28.5">
      <c r="A29" s="425" t="s">
        <v>2141</v>
      </c>
      <c r="B29" s="67" t="s">
        <v>2271</v>
      </c>
      <c r="C29" s="2102"/>
      <c r="D29" s="426">
        <v>100</v>
      </c>
      <c r="E29" s="2102"/>
      <c r="F29" s="420">
        <f>SUMIF(88:88,E29,89:89)-SUMIF(88:88,C29,89:89)+100</f>
        <v>100</v>
      </c>
      <c r="G29" s="2102"/>
      <c r="H29" s="394">
        <f>SUMIF(88:88,G29,89:89)-SUMIF(88:88,C29,89:89)+100</f>
        <v>100</v>
      </c>
      <c r="I29" s="2102"/>
      <c r="J29" s="426">
        <f>SUMIF(88:88,I29,89:89)-SUMIF(88:88,C29,89:89)+100</f>
        <v>100</v>
      </c>
      <c r="K29" s="569"/>
      <c r="L29" s="1035"/>
      <c r="M29" s="1026"/>
      <c r="N29" s="1026"/>
      <c r="O29" s="1034"/>
      <c r="P29" s="3484" t="s">
        <v>2143</v>
      </c>
      <c r="Q29" s="1486" t="str">
        <f t="shared" si="11"/>
        <v>建筑类型</v>
      </c>
      <c r="R29" s="714" t="s">
        <v>17</v>
      </c>
      <c r="S29" s="715">
        <f t="shared" si="12"/>
        <v>100</v>
      </c>
      <c r="T29" s="714" t="s">
        <v>17</v>
      </c>
      <c r="U29" s="715">
        <f t="shared" si="13"/>
        <v>100</v>
      </c>
      <c r="V29" s="714" t="s">
        <v>17</v>
      </c>
      <c r="W29" s="715">
        <f t="shared" si="14"/>
        <v>100</v>
      </c>
      <c r="X29" s="1489"/>
      <c r="Y29" s="3485" t="s">
        <v>2143</v>
      </c>
      <c r="Z29" s="1490" t="str">
        <f t="shared" si="15"/>
        <v>建筑类型</v>
      </c>
      <c r="AA29" s="1487">
        <f t="shared" si="3"/>
        <v>1</v>
      </c>
      <c r="AB29" s="1487">
        <f t="shared" si="4"/>
        <v>1</v>
      </c>
      <c r="AC29" s="1487">
        <f t="shared" si="5"/>
        <v>1</v>
      </c>
    </row>
    <row r="30" spans="1:29" s="430" customFormat="1" ht="15">
      <c r="A30" s="427"/>
      <c r="B30" s="381" t="s">
        <v>2144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85"/>
      <c r="Q30" s="716" t="str">
        <f t="shared" si="11"/>
        <v>项目建筑规模</v>
      </c>
      <c r="R30" s="717" t="s">
        <v>17</v>
      </c>
      <c r="S30" s="718" t="e">
        <f t="shared" si="12"/>
        <v>#N/A</v>
      </c>
      <c r="T30" s="717" t="s">
        <v>17</v>
      </c>
      <c r="U30" s="718" t="e">
        <f t="shared" si="13"/>
        <v>#N/A</v>
      </c>
      <c r="V30" s="717" t="s">
        <v>17</v>
      </c>
      <c r="W30" s="718" t="e">
        <f t="shared" si="14"/>
        <v>#N/A</v>
      </c>
      <c r="X30" s="719"/>
      <c r="Y30" s="3485"/>
      <c r="Z30" s="720" t="str">
        <f t="shared" si="15"/>
        <v>项目建筑规模</v>
      </c>
      <c r="AA30" s="1487" t="e">
        <f t="shared" si="3"/>
        <v>#N/A</v>
      </c>
      <c r="AB30" s="1487" t="e">
        <f t="shared" si="4"/>
        <v>#N/A</v>
      </c>
      <c r="AC30" s="1487" t="e">
        <f t="shared" si="5"/>
        <v>#N/A</v>
      </c>
    </row>
    <row r="31" spans="1:29" ht="15">
      <c r="A31" s="431"/>
      <c r="B31" s="381" t="s">
        <v>2145</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85"/>
      <c r="Q31" s="1486" t="str">
        <f t="shared" si="11"/>
        <v>建筑结构</v>
      </c>
      <c r="R31" s="714" t="s">
        <v>17</v>
      </c>
      <c r="S31" s="715">
        <f t="shared" si="12"/>
        <v>100</v>
      </c>
      <c r="T31" s="714" t="s">
        <v>17</v>
      </c>
      <c r="U31" s="715">
        <f t="shared" si="13"/>
        <v>100</v>
      </c>
      <c r="V31" s="714" t="s">
        <v>17</v>
      </c>
      <c r="W31" s="715">
        <f t="shared" si="14"/>
        <v>100</v>
      </c>
      <c r="X31" s="1489"/>
      <c r="Y31" s="3485"/>
      <c r="Z31" s="1490" t="str">
        <f t="shared" si="15"/>
        <v>建筑结构</v>
      </c>
      <c r="AA31" s="1487">
        <f t="shared" si="3"/>
        <v>1</v>
      </c>
      <c r="AB31" s="1487">
        <f t="shared" si="4"/>
        <v>1</v>
      </c>
      <c r="AC31" s="1487">
        <f t="shared" si="5"/>
        <v>1</v>
      </c>
    </row>
    <row r="32" spans="1:29" ht="15">
      <c r="A32" s="431"/>
      <c r="B32" s="381" t="s">
        <v>2239</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85"/>
      <c r="Q32" s="1486" t="str">
        <f t="shared" si="11"/>
        <v>公共部分装修</v>
      </c>
      <c r="R32" s="714" t="s">
        <v>17</v>
      </c>
      <c r="S32" s="715">
        <f t="shared" si="12"/>
        <v>100</v>
      </c>
      <c r="T32" s="714" t="s">
        <v>17</v>
      </c>
      <c r="U32" s="715">
        <f t="shared" si="13"/>
        <v>100</v>
      </c>
      <c r="V32" s="714" t="s">
        <v>17</v>
      </c>
      <c r="W32" s="715">
        <f t="shared" si="14"/>
        <v>100</v>
      </c>
      <c r="X32" s="1489"/>
      <c r="Y32" s="3485"/>
      <c r="Z32" s="1490" t="str">
        <f t="shared" si="15"/>
        <v>公共部分装修</v>
      </c>
      <c r="AA32" s="1487">
        <f t="shared" si="3"/>
        <v>1</v>
      </c>
      <c r="AB32" s="1487">
        <f t="shared" si="4"/>
        <v>1</v>
      </c>
      <c r="AC32" s="1487">
        <f t="shared" si="5"/>
        <v>1</v>
      </c>
    </row>
    <row r="33" spans="1:29" ht="15">
      <c r="A33" s="431"/>
      <c r="B33" s="381" t="s">
        <v>2240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85"/>
      <c r="Q33" s="1486" t="str">
        <f t="shared" si="11"/>
        <v>成新度</v>
      </c>
      <c r="R33" s="714" t="s">
        <v>17</v>
      </c>
      <c r="S33" s="715" t="e">
        <f t="shared" si="12"/>
        <v>#N/A</v>
      </c>
      <c r="T33" s="714" t="s">
        <v>17</v>
      </c>
      <c r="U33" s="715" t="e">
        <f t="shared" si="13"/>
        <v>#N/A</v>
      </c>
      <c r="V33" s="714" t="s">
        <v>17</v>
      </c>
      <c r="W33" s="715" t="e">
        <f t="shared" si="14"/>
        <v>#N/A</v>
      </c>
      <c r="X33" s="1489"/>
      <c r="Y33" s="3485"/>
      <c r="Z33" s="1490" t="str">
        <f t="shared" si="15"/>
        <v>成新度</v>
      </c>
      <c r="AA33" s="1487" t="e">
        <f t="shared" si="3"/>
        <v>#N/A</v>
      </c>
      <c r="AB33" s="1487" t="e">
        <f t="shared" si="4"/>
        <v>#N/A</v>
      </c>
      <c r="AC33" s="1487" t="e">
        <f t="shared" si="5"/>
        <v>#N/A</v>
      </c>
    </row>
    <row r="34" spans="1:29" s="113" customFormat="1" ht="15">
      <c r="A34" s="432"/>
      <c r="B34" s="381" t="s">
        <v>2273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85"/>
      <c r="Q34" s="1477" t="str">
        <f t="shared" si="11"/>
        <v>物业管理</v>
      </c>
      <c r="R34" s="710" t="s">
        <v>17</v>
      </c>
      <c r="S34" s="711">
        <f t="shared" si="12"/>
        <v>100</v>
      </c>
      <c r="T34" s="710" t="s">
        <v>17</v>
      </c>
      <c r="U34" s="711">
        <f t="shared" si="13"/>
        <v>100</v>
      </c>
      <c r="V34" s="710" t="s">
        <v>17</v>
      </c>
      <c r="W34" s="711">
        <f t="shared" si="14"/>
        <v>100</v>
      </c>
      <c r="X34" s="712"/>
      <c r="Y34" s="3485"/>
      <c r="Z34" s="55" t="str">
        <f t="shared" si="15"/>
        <v>物业管理</v>
      </c>
      <c r="AA34" s="713">
        <f t="shared" si="3"/>
        <v>1</v>
      </c>
      <c r="AB34" s="713">
        <f t="shared" si="4"/>
        <v>1</v>
      </c>
      <c r="AC34" s="713">
        <f t="shared" si="5"/>
        <v>1</v>
      </c>
    </row>
    <row r="35" spans="1:29" ht="15">
      <c r="A35" s="431"/>
      <c r="B35" s="381" t="s">
        <v>2241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85" t="s">
        <v>2143</v>
      </c>
      <c r="Q35" s="1486" t="str">
        <f t="shared" si="11"/>
        <v>市政基础设施</v>
      </c>
      <c r="R35" s="714" t="s">
        <v>17</v>
      </c>
      <c r="S35" s="715">
        <f t="shared" si="12"/>
        <v>100</v>
      </c>
      <c r="T35" s="714" t="s">
        <v>17</v>
      </c>
      <c r="U35" s="715">
        <f t="shared" si="13"/>
        <v>100</v>
      </c>
      <c r="V35" s="714" t="s">
        <v>17</v>
      </c>
      <c r="W35" s="715">
        <f t="shared" si="14"/>
        <v>100</v>
      </c>
      <c r="X35" s="1489"/>
      <c r="Y35" s="3485" t="s">
        <v>2143</v>
      </c>
      <c r="Z35" s="1490" t="str">
        <f t="shared" si="15"/>
        <v>市政基础设施</v>
      </c>
      <c r="AA35" s="1487">
        <f t="shared" si="3"/>
        <v>1</v>
      </c>
      <c r="AB35" s="1487">
        <f t="shared" si="4"/>
        <v>1</v>
      </c>
      <c r="AC35" s="1487">
        <f t="shared" si="5"/>
        <v>1</v>
      </c>
    </row>
    <row r="36" spans="1:29" ht="15">
      <c r="A36" s="431"/>
      <c r="B36" s="381" t="s">
        <v>2246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85"/>
      <c r="Q36" s="1486" t="str">
        <f t="shared" si="11"/>
        <v>内部装修</v>
      </c>
      <c r="R36" s="714" t="s">
        <v>17</v>
      </c>
      <c r="S36" s="715">
        <f t="shared" si="12"/>
        <v>100</v>
      </c>
      <c r="T36" s="714" t="s">
        <v>17</v>
      </c>
      <c r="U36" s="715">
        <f t="shared" si="13"/>
        <v>100</v>
      </c>
      <c r="V36" s="714" t="s">
        <v>17</v>
      </c>
      <c r="W36" s="715">
        <f t="shared" si="14"/>
        <v>100</v>
      </c>
      <c r="X36" s="1489"/>
      <c r="Y36" s="3485"/>
      <c r="Z36" s="1490" t="str">
        <f t="shared" si="15"/>
        <v>内部装修</v>
      </c>
      <c r="AA36" s="1487">
        <f t="shared" si="3"/>
        <v>1</v>
      </c>
      <c r="AB36" s="1487">
        <f t="shared" si="4"/>
        <v>1</v>
      </c>
      <c r="AC36" s="1487">
        <f t="shared" si="5"/>
        <v>1</v>
      </c>
    </row>
    <row r="37" spans="1:29" ht="15">
      <c r="A37" s="431"/>
      <c r="B37" s="381" t="s">
        <v>2282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85"/>
      <c r="Q37" s="1486" t="str">
        <f t="shared" si="11"/>
        <v>内部装修状况</v>
      </c>
      <c r="R37" s="714" t="s">
        <v>17</v>
      </c>
      <c r="S37" s="715">
        <f t="shared" si="12"/>
        <v>100</v>
      </c>
      <c r="T37" s="714" t="s">
        <v>17</v>
      </c>
      <c r="U37" s="715">
        <f t="shared" si="13"/>
        <v>100</v>
      </c>
      <c r="V37" s="714" t="s">
        <v>17</v>
      </c>
      <c r="W37" s="715">
        <f t="shared" si="14"/>
        <v>100</v>
      </c>
      <c r="X37" s="1489"/>
      <c r="Y37" s="3485"/>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85"/>
      <c r="Q38" s="716">
        <f t="shared" si="11"/>
        <v>111</v>
      </c>
      <c r="R38" s="717" t="s">
        <v>17</v>
      </c>
      <c r="S38" s="718">
        <f t="shared" si="12"/>
        <v>100</v>
      </c>
      <c r="T38" s="717" t="s">
        <v>17</v>
      </c>
      <c r="U38" s="718">
        <f t="shared" si="13"/>
        <v>100</v>
      </c>
      <c r="V38" s="717" t="s">
        <v>17</v>
      </c>
      <c r="W38" s="718">
        <f t="shared" si="14"/>
        <v>100</v>
      </c>
      <c r="X38" s="719"/>
      <c r="Y38" s="3485"/>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85"/>
      <c r="Q39" s="1486">
        <f t="shared" si="11"/>
        <v>111</v>
      </c>
      <c r="R39" s="714" t="s">
        <v>17</v>
      </c>
      <c r="S39" s="715">
        <f t="shared" si="12"/>
        <v>100</v>
      </c>
      <c r="T39" s="714" t="s">
        <v>17</v>
      </c>
      <c r="U39" s="715">
        <f t="shared" si="13"/>
        <v>100</v>
      </c>
      <c r="V39" s="714" t="s">
        <v>17</v>
      </c>
      <c r="W39" s="715">
        <f t="shared" si="14"/>
        <v>100</v>
      </c>
      <c r="X39" s="1489"/>
      <c r="Y39" s="3485"/>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25"/>
      <c r="Q40" s="1486">
        <f t="shared" si="11"/>
        <v>111</v>
      </c>
      <c r="R40" s="714" t="s">
        <v>17</v>
      </c>
      <c r="S40" s="715">
        <f t="shared" si="12"/>
        <v>100</v>
      </c>
      <c r="T40" s="714" t="s">
        <v>17</v>
      </c>
      <c r="U40" s="715">
        <f t="shared" si="13"/>
        <v>100</v>
      </c>
      <c r="V40" s="714" t="s">
        <v>17</v>
      </c>
      <c r="W40" s="715">
        <f t="shared" si="14"/>
        <v>100</v>
      </c>
      <c r="X40" s="1489"/>
      <c r="Y40" s="3525"/>
      <c r="Z40" s="1490">
        <f t="shared" si="15"/>
        <v>111</v>
      </c>
      <c r="AA40" s="1487">
        <f t="shared" si="3"/>
        <v>1</v>
      </c>
      <c r="AB40" s="1487">
        <f t="shared" si="4"/>
        <v>1</v>
      </c>
      <c r="AC40" s="1487">
        <f t="shared" si="5"/>
        <v>1</v>
      </c>
    </row>
    <row r="41" spans="1:29" ht="15">
      <c r="A41" s="438" t="s">
        <v>2155</v>
      </c>
      <c r="B41" s="439"/>
      <c r="C41" s="1269" t="s">
        <v>1</v>
      </c>
      <c r="D41" s="1270"/>
      <c r="E41" s="1271"/>
      <c r="F41" s="1272"/>
      <c r="G41" s="1273"/>
      <c r="H41" s="1274"/>
      <c r="I41" s="1271"/>
      <c r="J41" s="1274"/>
      <c r="K41" s="723"/>
      <c r="L41" s="1038"/>
      <c r="M41" s="1039"/>
      <c r="N41" s="1026"/>
      <c r="O41" s="1039"/>
      <c r="P41" s="3467" t="str">
        <f>A41</f>
        <v>成交单价（元/平方米）</v>
      </c>
      <c r="Q41" s="3467"/>
      <c r="R41" s="3521">
        <f>E41</f>
        <v>0</v>
      </c>
      <c r="S41" s="3521"/>
      <c r="T41" s="3521">
        <f>G41</f>
        <v>0</v>
      </c>
      <c r="U41" s="3521"/>
      <c r="V41" s="3521">
        <f>I41</f>
        <v>0</v>
      </c>
      <c r="W41" s="3521"/>
      <c r="X41" s="699"/>
      <c r="Y41" s="721"/>
      <c r="Z41" s="699"/>
      <c r="AA41" s="699"/>
      <c r="AB41" s="699"/>
      <c r="AC41" s="699"/>
    </row>
    <row r="42" spans="1:29" ht="15.75" thickBot="1">
      <c r="A42" s="445" t="s">
        <v>2247</v>
      </c>
      <c r="B42" s="446"/>
      <c r="C42" s="1275" t="e">
        <f>R43</f>
        <v>#DIV/0!</v>
      </c>
      <c r="D42" s="2487" t="s">
        <v>2637</v>
      </c>
      <c r="E42" s="1276" t="e">
        <f>R42</f>
        <v>#DIV/0!</v>
      </c>
      <c r="F42" s="2488"/>
      <c r="G42" s="1275" t="e">
        <f>T42</f>
        <v>#DIV/0!</v>
      </c>
      <c r="H42" s="2488"/>
      <c r="I42" s="1276" t="e">
        <f>V42</f>
        <v>#DIV/0!</v>
      </c>
      <c r="J42" s="2488"/>
      <c r="K42" s="2490">
        <f>F42+H42+J42</f>
        <v>0</v>
      </c>
      <c r="L42" s="1038"/>
      <c r="M42" s="1039"/>
      <c r="N42" s="1026"/>
      <c r="O42" s="1039"/>
      <c r="P42" s="3467" t="str">
        <f>A42</f>
        <v>比较价值（元/平方米）</v>
      </c>
      <c r="Q42" s="3467"/>
      <c r="R42" s="3521" t="e">
        <f>IF(F1="售价",ROUND(PRODUCT(R41,AA7:AA40),0),ROUND(PRODUCT(R41,AA7:AA40),1))</f>
        <v>#DIV/0!</v>
      </c>
      <c r="S42" s="3521"/>
      <c r="T42" s="3521" t="e">
        <f>IF(F1="售价",ROUND(PRODUCT(T41,AB7:AB40),0),ROUND(PRODUCT(T41,AB7:AB40),1))</f>
        <v>#DIV/0!</v>
      </c>
      <c r="U42" s="3521"/>
      <c r="V42" s="3521" t="e">
        <f>IF(F1="售价",ROUND(PRODUCT(V41,AC7:AC40),0),ROUND(PRODUCT(V41,AC7:AC40),1))</f>
        <v>#DIV/0!</v>
      </c>
      <c r="W42" s="3521"/>
      <c r="X42" s="699"/>
      <c r="Y42" s="699"/>
      <c r="Z42" s="699"/>
      <c r="AA42" s="699"/>
      <c r="AB42" s="699"/>
      <c r="AC42" s="699"/>
    </row>
    <row r="43" spans="1:29" ht="15.75" thickBot="1">
      <c r="A43" s="449" t="s">
        <v>2248</v>
      </c>
      <c r="B43" s="450"/>
      <c r="C43" s="1278" t="e">
        <f>R43</f>
        <v>#DIV/0!</v>
      </c>
      <c r="D43" s="1278"/>
      <c r="E43" s="1278"/>
      <c r="F43" s="1278"/>
      <c r="G43" s="1278"/>
      <c r="H43" s="1278"/>
      <c r="I43" s="1278"/>
      <c r="J43" s="1278"/>
      <c r="K43" s="724"/>
      <c r="L43" s="1038"/>
      <c r="M43" s="1039"/>
      <c r="N43" s="1039"/>
      <c r="O43" s="1039"/>
      <c r="P43" s="3487" t="str">
        <f>A43</f>
        <v>估价对象XX用房的比较价值（楼面单价，元/平方米）</v>
      </c>
      <c r="Q43" s="3488"/>
      <c r="R43" s="3520" t="e">
        <f>IF(F1="售价",ROUND(IF(D42="简单平均",AVERAGE(R42:V42),R42*F42+T42*H42+V42*J42),0),ROUND(IF(D42="简单平均",AVERAGE(R42:V42),R42*F42+T42*H42+V42*J42),1))</f>
        <v>#DIV/0!</v>
      </c>
      <c r="S43" s="3520"/>
      <c r="T43" s="3520"/>
      <c r="U43" s="3520"/>
      <c r="V43" s="3520"/>
      <c r="W43" s="3520"/>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2252</v>
      </c>
      <c r="B51" s="699"/>
      <c r="C51" s="704"/>
      <c r="D51" s="704"/>
      <c r="E51" s="704"/>
      <c r="F51" s="705"/>
      <c r="G51" s="705"/>
      <c r="H51" s="704"/>
      <c r="I51" s="704"/>
      <c r="J51" s="704"/>
      <c r="K51" s="1053"/>
      <c r="L51" s="1054"/>
      <c r="M51" s="1052"/>
      <c r="N51" s="1052"/>
      <c r="O51" s="1052"/>
      <c r="P51" s="460"/>
      <c r="Q51" s="461"/>
    </row>
    <row r="52" spans="1:17" s="465" customFormat="1" ht="15">
      <c r="A52" s="462" t="s">
        <v>2126</v>
      </c>
      <c r="B52" s="463"/>
      <c r="C52" s="1298" t="str">
        <f>YEAR(C7)&amp;"-"&amp;MONTH(C7)</f>
        <v>2022-12</v>
      </c>
      <c r="D52" s="1299">
        <f>EDATE(C52,-1)</f>
        <v>44866</v>
      </c>
      <c r="E52" s="1299">
        <f t="shared" ref="E52:O52" si="16">EDATE(D52,-1)</f>
        <v>44835</v>
      </c>
      <c r="F52" s="1299">
        <f t="shared" si="16"/>
        <v>44805</v>
      </c>
      <c r="G52" s="1299">
        <f t="shared" si="16"/>
        <v>44774</v>
      </c>
      <c r="H52" s="1299">
        <f t="shared" si="16"/>
        <v>44743</v>
      </c>
      <c r="I52" s="1299">
        <f t="shared" si="16"/>
        <v>44713</v>
      </c>
      <c r="J52" s="1299">
        <f t="shared" si="16"/>
        <v>44682</v>
      </c>
      <c r="K52" s="1299">
        <f t="shared" si="16"/>
        <v>44652</v>
      </c>
      <c r="L52" s="1299">
        <f t="shared" si="16"/>
        <v>44621</v>
      </c>
      <c r="M52" s="1299">
        <f t="shared" si="16"/>
        <v>44593</v>
      </c>
      <c r="N52" s="1299">
        <f t="shared" si="16"/>
        <v>44562</v>
      </c>
      <c r="O52" s="1299">
        <f t="shared" si="16"/>
        <v>44531</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2163</v>
      </c>
      <c r="B54" s="473"/>
      <c r="C54" s="474"/>
      <c r="D54" s="475"/>
      <c r="E54" s="475"/>
      <c r="F54" s="475"/>
      <c r="G54" s="475"/>
      <c r="H54" s="475"/>
      <c r="I54" s="475"/>
      <c r="J54" s="475"/>
      <c r="K54" s="475"/>
      <c r="L54" s="475"/>
      <c r="M54" s="476"/>
      <c r="N54" s="2947"/>
      <c r="O54" s="2948"/>
      <c r="P54" s="461"/>
      <c r="Q54" s="461"/>
    </row>
    <row r="55" spans="1:17" s="113" customFormat="1" ht="15">
      <c r="A55" s="478" t="s">
        <v>2128</v>
      </c>
      <c r="B55" s="467"/>
      <c r="C55" s="479" t="s">
        <v>2230</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2166</v>
      </c>
      <c r="B57" s="485" t="s">
        <v>2132</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2135</v>
      </c>
      <c r="C59" s="496" t="s">
        <v>2167</v>
      </c>
      <c r="D59" s="496" t="s">
        <v>2168</v>
      </c>
      <c r="E59" s="496" t="s">
        <v>2169</v>
      </c>
      <c r="F59" s="496" t="s">
        <v>2170</v>
      </c>
      <c r="G59" s="496" t="s">
        <v>2171</v>
      </c>
      <c r="H59" s="496" t="s">
        <v>2172</v>
      </c>
      <c r="I59" s="496" t="s">
        <v>2173</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2137</v>
      </c>
      <c r="B70" s="485" t="s">
        <v>2283</v>
      </c>
      <c r="C70" s="530" t="s">
        <v>2175</v>
      </c>
      <c r="D70" s="530" t="s">
        <v>2176</v>
      </c>
      <c r="E70" s="530" t="s">
        <v>2177</v>
      </c>
      <c r="F70" s="530" t="s">
        <v>2178</v>
      </c>
      <c r="G70" s="530" t="s">
        <v>2179</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2180</v>
      </c>
      <c r="C72" s="535" t="s">
        <v>2175</v>
      </c>
      <c r="D72" s="535" t="s">
        <v>2176</v>
      </c>
      <c r="E72" s="535" t="s">
        <v>2177</v>
      </c>
      <c r="F72" s="535" t="s">
        <v>2178</v>
      </c>
      <c r="G72" s="535" t="s">
        <v>2179</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2181</v>
      </c>
      <c r="C74" s="535" t="s">
        <v>2175</v>
      </c>
      <c r="D74" s="535" t="s">
        <v>2176</v>
      </c>
      <c r="E74" s="535" t="s">
        <v>2177</v>
      </c>
      <c r="F74" s="535" t="s">
        <v>2178</v>
      </c>
      <c r="G74" s="535" t="s">
        <v>2179</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2267</v>
      </c>
      <c r="C76" s="616" t="s">
        <v>2253</v>
      </c>
      <c r="D76" s="616" t="s">
        <v>2254</v>
      </c>
      <c r="E76" s="616" t="s">
        <v>2255</v>
      </c>
      <c r="F76" s="616" t="s">
        <v>2256</v>
      </c>
      <c r="G76" s="616" t="s">
        <v>2257</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2276</v>
      </c>
      <c r="C78" s="535" t="s">
        <v>2175</v>
      </c>
      <c r="D78" s="535" t="s">
        <v>2176</v>
      </c>
      <c r="E78" s="535" t="s">
        <v>2177</v>
      </c>
      <c r="F78" s="535" t="s">
        <v>2178</v>
      </c>
      <c r="G78" s="535" t="s">
        <v>2179</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3"/>
      <c r="B87" s="526"/>
      <c r="C87" s="527"/>
      <c r="D87" s="527"/>
      <c r="E87" s="527"/>
      <c r="F87" s="527"/>
      <c r="G87" s="548"/>
      <c r="H87" s="548"/>
      <c r="I87" s="548"/>
      <c r="J87" s="548"/>
      <c r="K87" s="548"/>
      <c r="L87" s="548"/>
      <c r="M87" s="549"/>
      <c r="N87" s="1046"/>
      <c r="O87" s="1046"/>
      <c r="P87" s="45"/>
      <c r="Q87" s="461"/>
    </row>
    <row r="88" spans="1:17">
      <c r="A88" s="484" t="s">
        <v>2141</v>
      </c>
      <c r="B88" s="485" t="s">
        <v>2190</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2192</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2194</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2195</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2196</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2198</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2284</v>
      </c>
      <c r="C106" s="535" t="s">
        <v>2175</v>
      </c>
      <c r="D106" s="535" t="s">
        <v>2176</v>
      </c>
      <c r="E106" s="535" t="s">
        <v>2177</v>
      </c>
      <c r="F106" s="535" t="s">
        <v>2178</v>
      </c>
      <c r="G106" s="535" t="s">
        <v>2179</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3"/>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46"/>
      <c r="F1" s="2015"/>
      <c r="G1" s="1347" t="s">
        <v>2221</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1908</v>
      </c>
      <c r="B2" s="1279" t="e">
        <f ca="1">IF(C2="——",IF(B37="元/平方米",ROUND(C39*D3/10000,0),ROUND(F3*C39/10000,0)),IF(B37="元/平方米",ROUND(C39*D3/10000,0),ROUND(F3*C39/10000,0))-D2)</f>
        <v>#DIV/0!</v>
      </c>
      <c r="C2" s="2017"/>
      <c r="D2" s="1019" t="e">
        <f ca="1">SUMIF(INDIRECT("'"&amp;F2&amp;"'"&amp;"!A:A"),"承租人权益价值",INDIRECT("'"&amp;F2&amp;"'"&amp;"!c:c"))</f>
        <v>#REF!</v>
      </c>
      <c r="E2" s="2018" t="s">
        <v>1909</v>
      </c>
      <c r="F2" s="2019"/>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1910</v>
      </c>
      <c r="B3" s="566" t="e">
        <f ca="1">IF(AND(C2="——",B37="元/平方米"),C39,ROUND(B2*10000/D3,0))</f>
        <v>#DIV/0!</v>
      </c>
      <c r="C3" s="360" t="s">
        <v>2222</v>
      </c>
      <c r="D3" s="359">
        <f>SUMIF('数据-汇总表'!$C19:$C33,D1,'数据-汇总表'!$E19:$E33)</f>
        <v>0</v>
      </c>
      <c r="E3" s="360" t="s">
        <v>2286</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2223</v>
      </c>
      <c r="B4" s="362"/>
      <c r="C4" s="3468" t="s">
        <v>2224</v>
      </c>
      <c r="D4" s="3469"/>
      <c r="E4" s="3470" t="s">
        <v>2225</v>
      </c>
      <c r="F4" s="3471"/>
      <c r="G4" s="3468" t="s">
        <v>2226</v>
      </c>
      <c r="H4" s="3469"/>
      <c r="I4" s="3468" t="s">
        <v>2227</v>
      </c>
      <c r="J4" s="3469"/>
      <c r="K4" s="567" t="s">
        <v>2228</v>
      </c>
      <c r="L4" s="2892"/>
      <c r="M4" s="2893"/>
      <c r="N4" s="2893"/>
      <c r="O4" s="2893"/>
      <c r="P4" s="3472" t="s">
        <v>2229</v>
      </c>
      <c r="Q4" s="3473"/>
      <c r="R4" s="3455" t="s">
        <v>2225</v>
      </c>
      <c r="S4" s="3456"/>
      <c r="T4" s="3455" t="s">
        <v>2226</v>
      </c>
      <c r="U4" s="3456"/>
      <c r="V4" s="3480" t="s">
        <v>2227</v>
      </c>
      <c r="W4" s="3480"/>
      <c r="X4" s="1489"/>
      <c r="Y4" s="3455" t="s">
        <v>2229</v>
      </c>
      <c r="Z4" s="3456"/>
      <c r="AA4" s="3450" t="s">
        <v>2225</v>
      </c>
      <c r="AB4" s="3451" t="s">
        <v>2226</v>
      </c>
      <c r="AC4" s="3450" t="s">
        <v>2227</v>
      </c>
    </row>
    <row r="5" spans="1:29" ht="15">
      <c r="A5" s="364"/>
      <c r="B5" s="365"/>
      <c r="C5" s="3461" t="s">
        <v>2120</v>
      </c>
      <c r="D5" s="3462"/>
      <c r="E5" s="3459" t="s">
        <v>2121</v>
      </c>
      <c r="F5" s="3460"/>
      <c r="G5" s="3461" t="s">
        <v>2122</v>
      </c>
      <c r="H5" s="3462"/>
      <c r="I5" s="3461" t="s">
        <v>2123</v>
      </c>
      <c r="J5" s="3462"/>
      <c r="K5" s="567"/>
      <c r="L5" s="2892"/>
      <c r="M5" s="2893"/>
      <c r="N5" s="2893"/>
      <c r="O5" s="2893"/>
      <c r="P5" s="3474"/>
      <c r="Q5" s="3475"/>
      <c r="R5" s="3457"/>
      <c r="S5" s="3458"/>
      <c r="T5" s="3457"/>
      <c r="U5" s="3458"/>
      <c r="V5" s="3480"/>
      <c r="W5" s="3480"/>
      <c r="X5" s="1489"/>
      <c r="Y5" s="3457"/>
      <c r="Z5" s="3458"/>
      <c r="AA5" s="3451"/>
      <c r="AB5" s="3451"/>
      <c r="AC5" s="3451"/>
    </row>
    <row r="6" spans="1:29" ht="15.75" thickBot="1">
      <c r="A6" s="366"/>
      <c r="B6" s="367"/>
      <c r="C6" s="3463" t="s">
        <v>2124</v>
      </c>
      <c r="D6" s="3464"/>
      <c r="E6" s="3465" t="s">
        <v>2124</v>
      </c>
      <c r="F6" s="3466"/>
      <c r="G6" s="3463" t="s">
        <v>2124</v>
      </c>
      <c r="H6" s="3464"/>
      <c r="I6" s="3463" t="s">
        <v>2124</v>
      </c>
      <c r="J6" s="3464"/>
      <c r="K6" s="567" t="s">
        <v>2125</v>
      </c>
      <c r="L6" s="2892"/>
      <c r="M6" s="2893"/>
      <c r="N6" s="2893"/>
      <c r="O6" s="2893"/>
      <c r="P6" s="3476"/>
      <c r="Q6" s="3477"/>
      <c r="R6" s="3457"/>
      <c r="S6" s="3458"/>
      <c r="T6" s="3478"/>
      <c r="U6" s="3479"/>
      <c r="V6" s="3480"/>
      <c r="W6" s="3480"/>
      <c r="X6" s="1489"/>
      <c r="Y6" s="3478"/>
      <c r="Z6" s="3479"/>
      <c r="AA6" s="3452"/>
      <c r="AB6" s="3452"/>
      <c r="AC6" s="3452"/>
    </row>
    <row r="7" spans="1:29" s="113" customFormat="1" ht="15.75" thickBot="1">
      <c r="A7" s="368" t="s">
        <v>2126</v>
      </c>
      <c r="B7" s="369"/>
      <c r="C7" s="370">
        <f>'数据-取费表'!B2</f>
        <v>44915</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53" t="s">
        <v>2127</v>
      </c>
      <c r="Q7" s="3481"/>
      <c r="R7" s="710" t="s">
        <v>17</v>
      </c>
      <c r="S7" s="711">
        <f t="shared" ref="S7:S14" si="0">F7</f>
        <v>0</v>
      </c>
      <c r="T7" s="710" t="s">
        <v>17</v>
      </c>
      <c r="U7" s="711">
        <f t="shared" ref="U7:U14" si="1">H7</f>
        <v>0</v>
      </c>
      <c r="V7" s="710" t="s">
        <v>17</v>
      </c>
      <c r="W7" s="711">
        <f t="shared" ref="W7:W14" si="2">J7</f>
        <v>0</v>
      </c>
      <c r="X7" s="712"/>
      <c r="Y7" s="3453" t="s">
        <v>2127</v>
      </c>
      <c r="Z7" s="3454"/>
      <c r="AA7" s="713" t="e">
        <f>D7/F7</f>
        <v>#DIV/0!</v>
      </c>
      <c r="AB7" s="713" t="e">
        <f>D7/H7</f>
        <v>#DIV/0!</v>
      </c>
      <c r="AC7" s="713" t="e">
        <f>D7/J7</f>
        <v>#DIV/0!</v>
      </c>
    </row>
    <row r="8" spans="1:29" s="113" customFormat="1" ht="15.75" thickBot="1">
      <c r="A8" s="368" t="s">
        <v>2128</v>
      </c>
      <c r="B8" s="369"/>
      <c r="C8" s="374" t="s">
        <v>2230</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53" t="s">
        <v>2130</v>
      </c>
      <c r="Q8" s="3454"/>
      <c r="R8" s="710" t="s">
        <v>17</v>
      </c>
      <c r="S8" s="711">
        <f t="shared" si="0"/>
        <v>0</v>
      </c>
      <c r="T8" s="710" t="s">
        <v>17</v>
      </c>
      <c r="U8" s="711">
        <f t="shared" si="1"/>
        <v>0</v>
      </c>
      <c r="V8" s="710" t="s">
        <v>17</v>
      </c>
      <c r="W8" s="711">
        <f t="shared" si="2"/>
        <v>0</v>
      </c>
      <c r="X8" s="712"/>
      <c r="Y8" s="3453" t="s">
        <v>2130</v>
      </c>
      <c r="Z8" s="3454"/>
      <c r="AA8" s="713" t="e">
        <f t="shared" ref="AA8:AA36" si="3">D8/F8</f>
        <v>#DIV/0!</v>
      </c>
      <c r="AB8" s="713" t="e">
        <f t="shared" ref="AB8:AB36" si="4">D8/H8</f>
        <v>#DIV/0!</v>
      </c>
      <c r="AC8" s="713" t="e">
        <f t="shared" ref="AC8:AC36" si="5">D8/J8</f>
        <v>#DIV/0!</v>
      </c>
    </row>
    <row r="9" spans="1:29" s="113" customFormat="1">
      <c r="A9" s="64" t="s">
        <v>2131</v>
      </c>
      <c r="B9" s="596" t="s">
        <v>2132</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67" t="s">
        <v>2133</v>
      </c>
      <c r="Q9" s="1477" t="str">
        <f t="shared" ref="Q9:Q14" si="6">B9</f>
        <v>用途</v>
      </c>
      <c r="R9" s="710" t="s">
        <v>17</v>
      </c>
      <c r="S9" s="711">
        <f t="shared" si="0"/>
        <v>100</v>
      </c>
      <c r="T9" s="710" t="s">
        <v>17</v>
      </c>
      <c r="U9" s="711">
        <f t="shared" si="1"/>
        <v>100</v>
      </c>
      <c r="V9" s="710" t="s">
        <v>17</v>
      </c>
      <c r="W9" s="711">
        <f t="shared" si="2"/>
        <v>100</v>
      </c>
      <c r="X9" s="712"/>
      <c r="Y9" s="3423" t="s">
        <v>2134</v>
      </c>
      <c r="Z9" s="55" t="str">
        <f t="shared" ref="Z9:Z14" si="7">Q9</f>
        <v>用途</v>
      </c>
      <c r="AA9" s="713">
        <f t="shared" si="3"/>
        <v>1</v>
      </c>
      <c r="AB9" s="713">
        <f t="shared" si="4"/>
        <v>1</v>
      </c>
      <c r="AC9" s="713">
        <f t="shared" si="5"/>
        <v>1</v>
      </c>
    </row>
    <row r="10" spans="1:29" s="386" customFormat="1" ht="27">
      <c r="A10" s="597"/>
      <c r="B10" s="598" t="s">
        <v>2135</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67"/>
      <c r="Q10" s="147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67"/>
      <c r="Q11" s="1477">
        <f t="shared" si="6"/>
        <v>111</v>
      </c>
      <c r="R11" s="710" t="s">
        <v>17</v>
      </c>
      <c r="S11" s="711">
        <f t="shared" si="0"/>
        <v>100</v>
      </c>
      <c r="T11" s="710" t="s">
        <v>17</v>
      </c>
      <c r="U11" s="711">
        <f t="shared" si="1"/>
        <v>100</v>
      </c>
      <c r="V11" s="710" t="s">
        <v>17</v>
      </c>
      <c r="W11" s="711">
        <f t="shared" si="2"/>
        <v>100</v>
      </c>
      <c r="X11" s="712"/>
      <c r="Y11" s="342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67"/>
      <c r="Q12" s="147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67"/>
      <c r="Q13" s="147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
      <c r="A14" s="361" t="s">
        <v>2137</v>
      </c>
      <c r="B14" s="585" t="s">
        <v>2287</v>
      </c>
      <c r="C14" s="2106">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82" t="s">
        <v>2138</v>
      </c>
      <c r="Q14" s="1486" t="str">
        <f t="shared" si="6"/>
        <v>交通便捷度</v>
      </c>
      <c r="R14" s="714" t="s">
        <v>17</v>
      </c>
      <c r="S14" s="715">
        <f t="shared" si="0"/>
        <v>100</v>
      </c>
      <c r="T14" s="714" t="s">
        <v>17</v>
      </c>
      <c r="U14" s="715">
        <f t="shared" si="1"/>
        <v>100</v>
      </c>
      <c r="V14" s="714" t="s">
        <v>17</v>
      </c>
      <c r="W14" s="715">
        <f t="shared" si="2"/>
        <v>100</v>
      </c>
      <c r="X14" s="1489"/>
      <c r="Y14" s="3482" t="s">
        <v>2138</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9"/>
      <c r="M15" s="2893"/>
      <c r="N15" s="2893"/>
      <c r="O15" s="2893"/>
      <c r="P15" s="3483"/>
      <c r="Q15" s="1486"/>
      <c r="R15" s="714"/>
      <c r="S15" s="715"/>
      <c r="T15" s="714"/>
      <c r="U15" s="715"/>
      <c r="V15" s="714"/>
      <c r="W15" s="715"/>
      <c r="X15" s="1489"/>
      <c r="Y15" s="3483"/>
      <c r="Z15" s="1490"/>
      <c r="AA15" s="1487">
        <v>1</v>
      </c>
      <c r="AB15" s="1487">
        <v>1</v>
      </c>
      <c r="AC15" s="1487">
        <v>1</v>
      </c>
    </row>
    <row r="16" spans="1:29" ht="15">
      <c r="A16" s="364"/>
      <c r="B16" s="587" t="s">
        <v>2266</v>
      </c>
      <c r="C16" s="2036">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83"/>
      <c r="Q16" s="1486" t="str">
        <f>B16</f>
        <v>公共配套设施</v>
      </c>
      <c r="R16" s="714" t="s">
        <v>17</v>
      </c>
      <c r="S16" s="715">
        <f>F16</f>
        <v>100</v>
      </c>
      <c r="T16" s="714" t="s">
        <v>17</v>
      </c>
      <c r="U16" s="715">
        <f>H16</f>
        <v>100</v>
      </c>
      <c r="V16" s="714" t="s">
        <v>17</v>
      </c>
      <c r="W16" s="715">
        <f>J16</f>
        <v>100</v>
      </c>
      <c r="X16" s="1489"/>
      <c r="Y16" s="3483"/>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899"/>
      <c r="M17" s="2893"/>
      <c r="N17" s="2893"/>
      <c r="O17" s="2893"/>
      <c r="P17" s="3483"/>
      <c r="Q17" s="1486"/>
      <c r="R17" s="714"/>
      <c r="S17" s="715"/>
      <c r="T17" s="714"/>
      <c r="U17" s="715"/>
      <c r="V17" s="714"/>
      <c r="W17" s="715"/>
      <c r="X17" s="1489"/>
      <c r="Y17" s="3483"/>
      <c r="Z17" s="1490"/>
      <c r="AA17" s="1487">
        <v>1</v>
      </c>
      <c r="AB17" s="1487">
        <v>1</v>
      </c>
      <c r="AC17" s="1487">
        <v>1</v>
      </c>
    </row>
    <row r="18" spans="1:29" ht="15">
      <c r="A18" s="364"/>
      <c r="B18" s="589" t="s">
        <v>2267</v>
      </c>
      <c r="C18" s="2036">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83"/>
      <c r="Q18" s="1486" t="str">
        <f>B18</f>
        <v>基础设施水平</v>
      </c>
      <c r="R18" s="714" t="s">
        <v>17</v>
      </c>
      <c r="S18" s="715">
        <f>F18</f>
        <v>100</v>
      </c>
      <c r="T18" s="714" t="s">
        <v>17</v>
      </c>
      <c r="U18" s="715">
        <f>H18</f>
        <v>100</v>
      </c>
      <c r="V18" s="714" t="s">
        <v>17</v>
      </c>
      <c r="W18" s="715">
        <f>J18</f>
        <v>100</v>
      </c>
      <c r="X18" s="1489"/>
      <c r="Y18" s="3483"/>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5"/>
      <c r="L19" s="2899"/>
      <c r="M19" s="2893"/>
      <c r="N19" s="2893"/>
      <c r="O19" s="2893"/>
      <c r="P19" s="3483"/>
      <c r="Q19" s="1486"/>
      <c r="R19" s="714"/>
      <c r="S19" s="715"/>
      <c r="T19" s="714"/>
      <c r="U19" s="715"/>
      <c r="V19" s="714"/>
      <c r="W19" s="715"/>
      <c r="X19" s="1489"/>
      <c r="Y19" s="3483"/>
      <c r="Z19" s="1490"/>
      <c r="AA19" s="1487">
        <v>1</v>
      </c>
      <c r="AB19" s="1487">
        <v>1</v>
      </c>
      <c r="AC19" s="1487">
        <v>1</v>
      </c>
    </row>
    <row r="20" spans="1:29" ht="15">
      <c r="A20" s="364"/>
      <c r="B20" s="587" t="s">
        <v>2288</v>
      </c>
      <c r="C20" s="2036">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83"/>
      <c r="Q20" s="1486" t="str">
        <f>B20</f>
        <v>自然及人文环境</v>
      </c>
      <c r="R20" s="714" t="s">
        <v>17</v>
      </c>
      <c r="S20" s="715">
        <f>F20</f>
        <v>100</v>
      </c>
      <c r="T20" s="714" t="s">
        <v>17</v>
      </c>
      <c r="U20" s="715">
        <f>H20</f>
        <v>100</v>
      </c>
      <c r="V20" s="714" t="s">
        <v>17</v>
      </c>
      <c r="W20" s="715">
        <f>J20</f>
        <v>100</v>
      </c>
      <c r="X20" s="1489"/>
      <c r="Y20" s="3483"/>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9"/>
      <c r="M21" s="2893"/>
      <c r="N21" s="2893"/>
      <c r="O21" s="2893"/>
      <c r="P21" s="3483"/>
      <c r="Q21" s="1486"/>
      <c r="R21" s="714"/>
      <c r="S21" s="715"/>
      <c r="T21" s="714"/>
      <c r="U21" s="715"/>
      <c r="V21" s="714"/>
      <c r="W21" s="715"/>
      <c r="X21" s="1489"/>
      <c r="Y21" s="3483"/>
      <c r="Z21" s="1490"/>
      <c r="AA21" s="1487">
        <v>1</v>
      </c>
      <c r="AB21" s="1487">
        <v>1</v>
      </c>
      <c r="AC21" s="1487">
        <v>1</v>
      </c>
    </row>
    <row r="22" spans="1:29" ht="15">
      <c r="A22" s="364"/>
      <c r="B22" s="587" t="s">
        <v>2289</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83"/>
      <c r="Q22" s="1486" t="str">
        <f>B22</f>
        <v>楼层</v>
      </c>
      <c r="R22" s="714" t="s">
        <v>17</v>
      </c>
      <c r="S22" s="715">
        <f>F22</f>
        <v>100</v>
      </c>
      <c r="T22" s="714" t="s">
        <v>17</v>
      </c>
      <c r="U22" s="715">
        <f>H22</f>
        <v>100</v>
      </c>
      <c r="V22" s="714" t="s">
        <v>17</v>
      </c>
      <c r="W22" s="715">
        <f>J22</f>
        <v>100</v>
      </c>
      <c r="X22" s="1489"/>
      <c r="Y22" s="3483"/>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83"/>
      <c r="Q23" s="1486">
        <f>B23</f>
        <v>111</v>
      </c>
      <c r="R23" s="714" t="s">
        <v>17</v>
      </c>
      <c r="S23" s="715">
        <f>F23</f>
        <v>100</v>
      </c>
      <c r="T23" s="714" t="s">
        <v>17</v>
      </c>
      <c r="U23" s="715">
        <f>H23</f>
        <v>100</v>
      </c>
      <c r="V23" s="714" t="s">
        <v>17</v>
      </c>
      <c r="W23" s="715">
        <f>J23</f>
        <v>100</v>
      </c>
      <c r="X23" s="1489"/>
      <c r="Y23" s="3483"/>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83"/>
      <c r="Q24" s="1486">
        <f t="shared" ref="Q24:Q36" si="11">B24</f>
        <v>111</v>
      </c>
      <c r="R24" s="714" t="s">
        <v>17</v>
      </c>
      <c r="S24" s="715">
        <f>F24</f>
        <v>100</v>
      </c>
      <c r="T24" s="714" t="s">
        <v>17</v>
      </c>
      <c r="U24" s="715">
        <f>H24</f>
        <v>100</v>
      </c>
      <c r="V24" s="714" t="s">
        <v>17</v>
      </c>
      <c r="W24" s="715">
        <f>J24</f>
        <v>100</v>
      </c>
      <c r="X24" s="1489"/>
      <c r="Y24" s="3483"/>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83"/>
      <c r="Q25" s="1477">
        <f t="shared" si="11"/>
        <v>111</v>
      </c>
      <c r="R25" s="710" t="s">
        <v>17</v>
      </c>
      <c r="S25" s="711">
        <f>F25</f>
        <v>100</v>
      </c>
      <c r="T25" s="710" t="s">
        <v>17</v>
      </c>
      <c r="U25" s="711">
        <f>H25</f>
        <v>100</v>
      </c>
      <c r="V25" s="710" t="s">
        <v>17</v>
      </c>
      <c r="W25" s="711">
        <f>J25</f>
        <v>100</v>
      </c>
      <c r="X25" s="712"/>
      <c r="Y25" s="3483"/>
      <c r="Z25" s="55">
        <f>Q25</f>
        <v>111</v>
      </c>
      <c r="AA25" s="1487">
        <f>D25/F25</f>
        <v>1</v>
      </c>
      <c r="AB25" s="1487">
        <f>D25/H25</f>
        <v>1</v>
      </c>
      <c r="AC25" s="1487">
        <f>D25/J25</f>
        <v>1</v>
      </c>
    </row>
    <row r="26" spans="1:29" ht="28.5">
      <c r="A26" s="608" t="s">
        <v>2141</v>
      </c>
      <c r="B26" s="66" t="s">
        <v>2290</v>
      </c>
      <c r="C26" s="2107">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484" t="s">
        <v>2143</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85" t="s">
        <v>2143</v>
      </c>
      <c r="Z26" s="1490" t="str">
        <f t="shared" ref="Z26:Z36" si="15">Q26</f>
        <v>配套类型</v>
      </c>
      <c r="AA26" s="1487">
        <f t="shared" si="3"/>
        <v>1</v>
      </c>
      <c r="AB26" s="1487">
        <f t="shared" si="4"/>
        <v>1</v>
      </c>
      <c r="AC26" s="1487">
        <f t="shared" si="5"/>
        <v>1</v>
      </c>
    </row>
    <row r="27" spans="1:29" s="430" customFormat="1" ht="15">
      <c r="A27" s="609"/>
      <c r="B27" s="610" t="s">
        <v>2291</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85"/>
      <c r="Q27" s="716" t="str">
        <f t="shared" si="11"/>
        <v>项目停车位配比</v>
      </c>
      <c r="R27" s="717" t="s">
        <v>17</v>
      </c>
      <c r="S27" s="718">
        <f t="shared" si="12"/>
        <v>100</v>
      </c>
      <c r="T27" s="717" t="s">
        <v>17</v>
      </c>
      <c r="U27" s="718">
        <f t="shared" si="13"/>
        <v>100</v>
      </c>
      <c r="V27" s="717" t="s">
        <v>17</v>
      </c>
      <c r="W27" s="718">
        <f t="shared" si="14"/>
        <v>100</v>
      </c>
      <c r="X27" s="719"/>
      <c r="Y27" s="3485"/>
      <c r="Z27" s="720" t="str">
        <f t="shared" si="15"/>
        <v>项目停车位配比</v>
      </c>
      <c r="AA27" s="1487">
        <f t="shared" si="3"/>
        <v>1</v>
      </c>
      <c r="AB27" s="1487">
        <f t="shared" si="4"/>
        <v>1</v>
      </c>
      <c r="AC27" s="1487">
        <f t="shared" si="5"/>
        <v>1</v>
      </c>
    </row>
    <row r="28" spans="1:29" ht="15">
      <c r="A28" s="612"/>
      <c r="B28" s="610" t="s">
        <v>2292</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85"/>
      <c r="Q28" s="1486" t="str">
        <f t="shared" si="11"/>
        <v>公共部分装修</v>
      </c>
      <c r="R28" s="714" t="s">
        <v>17</v>
      </c>
      <c r="S28" s="715">
        <f t="shared" si="12"/>
        <v>100</v>
      </c>
      <c r="T28" s="714" t="s">
        <v>17</v>
      </c>
      <c r="U28" s="715">
        <f t="shared" si="13"/>
        <v>100</v>
      </c>
      <c r="V28" s="714" t="s">
        <v>17</v>
      </c>
      <c r="W28" s="715">
        <f t="shared" si="14"/>
        <v>100</v>
      </c>
      <c r="X28" s="1489"/>
      <c r="Y28" s="3485"/>
      <c r="Z28" s="1490" t="str">
        <f t="shared" si="15"/>
        <v>公共部分装修</v>
      </c>
      <c r="AA28" s="1487">
        <f t="shared" si="3"/>
        <v>1</v>
      </c>
      <c r="AB28" s="1487">
        <f t="shared" si="4"/>
        <v>1</v>
      </c>
      <c r="AC28" s="1487">
        <f t="shared" si="5"/>
        <v>1</v>
      </c>
    </row>
    <row r="29" spans="1:29" ht="15">
      <c r="A29" s="612"/>
      <c r="B29" s="610" t="s">
        <v>2293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85"/>
      <c r="Q29" s="1486" t="str">
        <f t="shared" si="11"/>
        <v>成新率</v>
      </c>
      <c r="R29" s="714" t="s">
        <v>17</v>
      </c>
      <c r="S29" s="715" t="e">
        <f t="shared" si="12"/>
        <v>#N/A</v>
      </c>
      <c r="T29" s="714" t="s">
        <v>17</v>
      </c>
      <c r="U29" s="715" t="e">
        <f t="shared" si="13"/>
        <v>#N/A</v>
      </c>
      <c r="V29" s="714" t="s">
        <v>17</v>
      </c>
      <c r="W29" s="715" t="e">
        <f t="shared" si="14"/>
        <v>#N/A</v>
      </c>
      <c r="X29" s="1489"/>
      <c r="Y29" s="3485"/>
      <c r="Z29" s="1490" t="str">
        <f t="shared" si="15"/>
        <v>成新率</v>
      </c>
      <c r="AA29" s="1487" t="e">
        <f t="shared" si="3"/>
        <v>#N/A</v>
      </c>
      <c r="AB29" s="1487" t="e">
        <f t="shared" si="4"/>
        <v>#N/A</v>
      </c>
      <c r="AC29" s="1487" t="e">
        <f t="shared" si="5"/>
        <v>#N/A</v>
      </c>
    </row>
    <row r="30" spans="1:29" ht="15">
      <c r="A30" s="612"/>
      <c r="B30" s="610" t="s">
        <v>2294</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85"/>
      <c r="Q30" s="1486" t="str">
        <f t="shared" si="11"/>
        <v>物业等级</v>
      </c>
      <c r="R30" s="714" t="s">
        <v>17</v>
      </c>
      <c r="S30" s="715">
        <f t="shared" si="12"/>
        <v>100</v>
      </c>
      <c r="T30" s="714" t="s">
        <v>17</v>
      </c>
      <c r="U30" s="715">
        <f t="shared" si="13"/>
        <v>100</v>
      </c>
      <c r="V30" s="714" t="s">
        <v>17</v>
      </c>
      <c r="W30" s="715">
        <f t="shared" si="14"/>
        <v>100</v>
      </c>
      <c r="X30" s="1489"/>
      <c r="Y30" s="3485"/>
      <c r="Z30" s="1490" t="str">
        <f t="shared" si="15"/>
        <v>物业等级</v>
      </c>
      <c r="AA30" s="1487">
        <f t="shared" si="3"/>
        <v>1</v>
      </c>
      <c r="AB30" s="1487">
        <f t="shared" si="4"/>
        <v>1</v>
      </c>
      <c r="AC30" s="1487">
        <f t="shared" si="5"/>
        <v>1</v>
      </c>
    </row>
    <row r="31" spans="1:29" s="113" customFormat="1" ht="15">
      <c r="A31" s="614"/>
      <c r="B31" s="610" t="s">
        <v>2295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85"/>
      <c r="Q31" s="1477" t="str">
        <f t="shared" si="11"/>
        <v>停车位面积</v>
      </c>
      <c r="R31" s="710" t="s">
        <v>17</v>
      </c>
      <c r="S31" s="711" t="e">
        <f t="shared" si="12"/>
        <v>#N/A</v>
      </c>
      <c r="T31" s="710" t="s">
        <v>17</v>
      </c>
      <c r="U31" s="711" t="e">
        <f t="shared" si="13"/>
        <v>#N/A</v>
      </c>
      <c r="V31" s="710" t="s">
        <v>17</v>
      </c>
      <c r="W31" s="711" t="e">
        <f t="shared" si="14"/>
        <v>#N/A</v>
      </c>
      <c r="X31" s="712"/>
      <c r="Y31" s="3485"/>
      <c r="Z31" s="55" t="str">
        <f t="shared" si="15"/>
        <v>停车位面积</v>
      </c>
      <c r="AA31" s="713" t="e">
        <f t="shared" si="3"/>
        <v>#N/A</v>
      </c>
      <c r="AB31" s="713" t="e">
        <f t="shared" si="4"/>
        <v>#N/A</v>
      </c>
      <c r="AC31" s="713" t="e">
        <f t="shared" si="5"/>
        <v>#N/A</v>
      </c>
    </row>
    <row r="32" spans="1:29" ht="15">
      <c r="A32" s="612"/>
      <c r="B32" s="610" t="s">
        <v>2296</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85" t="s">
        <v>2143</v>
      </c>
      <c r="Q32" s="1486" t="str">
        <f t="shared" si="11"/>
        <v>车位类型</v>
      </c>
      <c r="R32" s="714" t="s">
        <v>17</v>
      </c>
      <c r="S32" s="715">
        <f t="shared" si="12"/>
        <v>100</v>
      </c>
      <c r="T32" s="714" t="s">
        <v>17</v>
      </c>
      <c r="U32" s="715">
        <f t="shared" si="13"/>
        <v>100</v>
      </c>
      <c r="V32" s="714" t="s">
        <v>17</v>
      </c>
      <c r="W32" s="715">
        <f t="shared" si="14"/>
        <v>100</v>
      </c>
      <c r="X32" s="1489"/>
      <c r="Y32" s="3485" t="s">
        <v>2143</v>
      </c>
      <c r="Z32" s="1490" t="str">
        <f t="shared" si="15"/>
        <v>车位类型</v>
      </c>
      <c r="AA32" s="1487">
        <f t="shared" si="3"/>
        <v>1</v>
      </c>
      <c r="AB32" s="1487">
        <f t="shared" si="4"/>
        <v>1</v>
      </c>
      <c r="AC32" s="1487">
        <f t="shared" si="5"/>
        <v>1</v>
      </c>
    </row>
    <row r="33" spans="1:29" ht="15">
      <c r="A33" s="612"/>
      <c r="B33" s="610" t="s">
        <v>2297</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85"/>
      <c r="Q33" s="1486" t="str">
        <f t="shared" si="11"/>
        <v>是否直接入户</v>
      </c>
      <c r="R33" s="714" t="s">
        <v>17</v>
      </c>
      <c r="S33" s="715">
        <f t="shared" si="12"/>
        <v>100</v>
      </c>
      <c r="T33" s="714" t="s">
        <v>17</v>
      </c>
      <c r="U33" s="715">
        <f t="shared" si="13"/>
        <v>100</v>
      </c>
      <c r="V33" s="714" t="s">
        <v>17</v>
      </c>
      <c r="W33" s="715">
        <f t="shared" si="14"/>
        <v>100</v>
      </c>
      <c r="X33" s="1489"/>
      <c r="Y33" s="3485"/>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85"/>
      <c r="Q34" s="1486">
        <f t="shared" si="11"/>
        <v>111</v>
      </c>
      <c r="R34" s="714" t="s">
        <v>17</v>
      </c>
      <c r="S34" s="715">
        <f t="shared" si="12"/>
        <v>100</v>
      </c>
      <c r="T34" s="714" t="s">
        <v>17</v>
      </c>
      <c r="U34" s="715">
        <f t="shared" si="13"/>
        <v>100</v>
      </c>
      <c r="V34" s="714" t="s">
        <v>17</v>
      </c>
      <c r="W34" s="715">
        <f t="shared" si="14"/>
        <v>100</v>
      </c>
      <c r="X34" s="1489"/>
      <c r="Y34" s="3485"/>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85"/>
      <c r="Q35" s="716">
        <f t="shared" si="11"/>
        <v>111</v>
      </c>
      <c r="R35" s="717" t="s">
        <v>17</v>
      </c>
      <c r="S35" s="718">
        <f t="shared" si="12"/>
        <v>100</v>
      </c>
      <c r="T35" s="717" t="s">
        <v>17</v>
      </c>
      <c r="U35" s="718">
        <f t="shared" si="13"/>
        <v>100</v>
      </c>
      <c r="V35" s="717" t="s">
        <v>17</v>
      </c>
      <c r="W35" s="718">
        <f t="shared" si="14"/>
        <v>100</v>
      </c>
      <c r="X35" s="719"/>
      <c r="Y35" s="3485"/>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85"/>
      <c r="Q36" s="1486">
        <f t="shared" si="11"/>
        <v>111</v>
      </c>
      <c r="R36" s="714" t="s">
        <v>17</v>
      </c>
      <c r="S36" s="715">
        <f t="shared" si="12"/>
        <v>100</v>
      </c>
      <c r="T36" s="714" t="s">
        <v>17</v>
      </c>
      <c r="U36" s="715">
        <f t="shared" si="13"/>
        <v>100</v>
      </c>
      <c r="V36" s="714" t="s">
        <v>17</v>
      </c>
      <c r="W36" s="715">
        <f t="shared" si="14"/>
        <v>100</v>
      </c>
      <c r="X36" s="1489"/>
      <c r="Y36" s="3485"/>
      <c r="Z36" s="1490">
        <f t="shared" si="15"/>
        <v>111</v>
      </c>
      <c r="AA36" s="1487">
        <f t="shared" si="3"/>
        <v>1</v>
      </c>
      <c r="AB36" s="1487">
        <f t="shared" si="4"/>
        <v>1</v>
      </c>
      <c r="AC36" s="1487">
        <f t="shared" si="5"/>
        <v>1</v>
      </c>
    </row>
    <row r="37" spans="1:29" ht="15">
      <c r="A37" s="438" t="s">
        <v>2298</v>
      </c>
      <c r="B37" s="2108" t="s">
        <v>2299</v>
      </c>
      <c r="C37" s="1269" t="s">
        <v>1</v>
      </c>
      <c r="D37" s="1270"/>
      <c r="E37" s="1271"/>
      <c r="F37" s="1272"/>
      <c r="G37" s="1273"/>
      <c r="H37" s="1274"/>
      <c r="I37" s="1271"/>
      <c r="J37" s="1274"/>
      <c r="K37" s="576"/>
      <c r="L37" s="2901"/>
      <c r="M37" s="2902"/>
      <c r="N37" s="2893"/>
      <c r="O37" s="2902"/>
      <c r="P37" s="3467" t="str">
        <f>A37</f>
        <v>成交单价</v>
      </c>
      <c r="Q37" s="3467"/>
      <c r="R37" s="3521">
        <f>E37</f>
        <v>0</v>
      </c>
      <c r="S37" s="3521"/>
      <c r="T37" s="3521">
        <f>G37</f>
        <v>0</v>
      </c>
      <c r="U37" s="3521"/>
      <c r="V37" s="3521">
        <f>I37</f>
        <v>0</v>
      </c>
      <c r="W37" s="3521"/>
      <c r="X37" s="699"/>
      <c r="Y37" s="721"/>
      <c r="Z37" s="699"/>
      <c r="AA37" s="699"/>
      <c r="AB37" s="699"/>
      <c r="AC37" s="699"/>
    </row>
    <row r="38" spans="1:29" ht="15.75" thickBot="1">
      <c r="A38" s="445" t="s">
        <v>2300</v>
      </c>
      <c r="B38" s="446" t="str">
        <f>B37</f>
        <v>元/车位</v>
      </c>
      <c r="C38" s="1275" t="e">
        <f>R39</f>
        <v>#DIV/0!</v>
      </c>
      <c r="D38" s="2487" t="s">
        <v>2637</v>
      </c>
      <c r="E38" s="1276" t="e">
        <f>R38</f>
        <v>#DIV/0!</v>
      </c>
      <c r="F38" s="2488"/>
      <c r="G38" s="1275" t="e">
        <f>T38</f>
        <v>#DIV/0!</v>
      </c>
      <c r="H38" s="2488"/>
      <c r="I38" s="1276" t="e">
        <f>V38</f>
        <v>#DIV/0!</v>
      </c>
      <c r="J38" s="2488"/>
      <c r="K38" s="2490">
        <f>F38+H38+J38</f>
        <v>0</v>
      </c>
      <c r="L38" s="2901"/>
      <c r="M38" s="2902"/>
      <c r="N38" s="2902"/>
      <c r="O38" s="2902"/>
      <c r="P38" s="3467" t="str">
        <f>A38</f>
        <v>比较价值（元/平方米）</v>
      </c>
      <c r="Q38" s="3467"/>
      <c r="R38" s="3521" t="e">
        <f>IF(F1="售价",ROUND(PRODUCT(R37,AA7:AA36),0),ROUND(PRODUCT(R37,AA7:AA36),1))</f>
        <v>#DIV/0!</v>
      </c>
      <c r="S38" s="3521"/>
      <c r="T38" s="3521" t="e">
        <f>IF(F1="售价",ROUND(PRODUCT(T37,AB7:AB36),0),ROUND(PRODUCT(T37,AB7:AB36),1))</f>
        <v>#DIV/0!</v>
      </c>
      <c r="U38" s="3521"/>
      <c r="V38" s="3521" t="e">
        <f>IF(F1="售价",ROUND(PRODUCT(V37,AC7:AC36),0),ROUND(PRODUCT(V37,AC7:AC36),1))</f>
        <v>#DIV/0!</v>
      </c>
      <c r="W38" s="3521"/>
      <c r="X38" s="699"/>
      <c r="Y38" s="699"/>
      <c r="Z38" s="699"/>
      <c r="AA38" s="699"/>
      <c r="AB38" s="699"/>
      <c r="AC38" s="699"/>
    </row>
    <row r="39" spans="1:29" ht="15.75" thickBot="1">
      <c r="A39" s="449" t="s">
        <v>2301</v>
      </c>
      <c r="B39" s="450"/>
      <c r="C39" s="1278" t="e">
        <f>R39</f>
        <v>#DIV/0!</v>
      </c>
      <c r="D39" s="1278"/>
      <c r="E39" s="1278"/>
      <c r="F39" s="1278"/>
      <c r="G39" s="1278"/>
      <c r="H39" s="1278"/>
      <c r="I39" s="1278"/>
      <c r="J39" s="1278"/>
      <c r="K39" s="577"/>
      <c r="L39" s="2901"/>
      <c r="M39" s="2902"/>
      <c r="N39" s="2902"/>
      <c r="O39" s="2902"/>
      <c r="P39" s="3487" t="str">
        <f>A39</f>
        <v>估价对象XX用房的比较价值（楼面单价，元/平方米）</v>
      </c>
      <c r="Q39" s="3488"/>
      <c r="R39" s="3543" t="e">
        <f>IF(F1="售价",ROUND(IF(D38="简单平均",AVERAGE(R38:W38),R38*F38+T38*H38+V38*J38),0),ROUND(IF(D38="简单平均",AVERAGE(R38:V38),R38*F38+T38*H38+V38*J38),1))</f>
        <v>#DIV/0!</v>
      </c>
      <c r="S39" s="3543"/>
      <c r="T39" s="3543"/>
      <c r="U39" s="3543"/>
      <c r="V39" s="3543"/>
      <c r="W39" s="3543"/>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2305</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2306</v>
      </c>
      <c r="B48" s="463"/>
      <c r="C48" s="1298" t="str">
        <f>YEAR(C7)&amp;"-"&amp;MONTH(C7)</f>
        <v>2022-12</v>
      </c>
      <c r="D48" s="1299">
        <f>EDATE(C48,-1)</f>
        <v>44866</v>
      </c>
      <c r="E48" s="1299">
        <f t="shared" ref="E48:O48" si="16">EDATE(D48,-1)</f>
        <v>44835</v>
      </c>
      <c r="F48" s="1299">
        <f t="shared" si="16"/>
        <v>44805</v>
      </c>
      <c r="G48" s="1299">
        <f t="shared" si="16"/>
        <v>44774</v>
      </c>
      <c r="H48" s="1299">
        <f t="shared" si="16"/>
        <v>44743</v>
      </c>
      <c r="I48" s="1299">
        <f t="shared" si="16"/>
        <v>44713</v>
      </c>
      <c r="J48" s="1299">
        <f t="shared" si="16"/>
        <v>44682</v>
      </c>
      <c r="K48" s="1299">
        <f t="shared" si="16"/>
        <v>44652</v>
      </c>
      <c r="L48" s="1299">
        <f t="shared" si="16"/>
        <v>44621</v>
      </c>
      <c r="M48" s="1299">
        <f t="shared" si="16"/>
        <v>44593</v>
      </c>
      <c r="N48" s="1299">
        <f t="shared" si="16"/>
        <v>44562</v>
      </c>
      <c r="O48" s="1299">
        <f t="shared" si="16"/>
        <v>44531</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2163</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2128</v>
      </c>
      <c r="B51" s="467"/>
      <c r="C51" s="479" t="s">
        <v>2230</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2166</v>
      </c>
      <c r="B53" s="485" t="s">
        <v>2132</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2135</v>
      </c>
      <c r="C55" s="496" t="s">
        <v>2167</v>
      </c>
      <c r="D55" s="496" t="s">
        <v>2168</v>
      </c>
      <c r="E55" s="496" t="s">
        <v>2169</v>
      </c>
      <c r="F55" s="496" t="s">
        <v>2170</v>
      </c>
      <c r="G55" s="496" t="s">
        <v>2171</v>
      </c>
      <c r="H55" s="496" t="s">
        <v>2172</v>
      </c>
      <c r="I55" s="496" t="s">
        <v>2173</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2137</v>
      </c>
      <c r="B63" s="485" t="s">
        <v>2180</v>
      </c>
      <c r="C63" s="530" t="s">
        <v>2175</v>
      </c>
      <c r="D63" s="530" t="s">
        <v>2176</v>
      </c>
      <c r="E63" s="530" t="s">
        <v>2177</v>
      </c>
      <c r="F63" s="530" t="s">
        <v>2178</v>
      </c>
      <c r="G63" s="530" t="s">
        <v>2179</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2181</v>
      </c>
      <c r="C65" s="535" t="s">
        <v>2175</v>
      </c>
      <c r="D65" s="535" t="s">
        <v>2176</v>
      </c>
      <c r="E65" s="535" t="s">
        <v>2177</v>
      </c>
      <c r="F65" s="535" t="s">
        <v>2178</v>
      </c>
      <c r="G65" s="535" t="s">
        <v>2179</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2267</v>
      </c>
      <c r="C67" s="616" t="s">
        <v>2253</v>
      </c>
      <c r="D67" s="616" t="s">
        <v>2254</v>
      </c>
      <c r="E67" s="616" t="s">
        <v>2255</v>
      </c>
      <c r="F67" s="616" t="s">
        <v>2256</v>
      </c>
      <c r="G67" s="616" t="s">
        <v>2257</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2187</v>
      </c>
      <c r="C69" s="535" t="s">
        <v>2175</v>
      </c>
      <c r="D69" s="535" t="s">
        <v>2176</v>
      </c>
      <c r="E69" s="535" t="s">
        <v>2177</v>
      </c>
      <c r="F69" s="535" t="s">
        <v>2178</v>
      </c>
      <c r="G69" s="535" t="s">
        <v>2179</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2307</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2141</v>
      </c>
      <c r="B79" s="485" t="s">
        <v>2308</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2309</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2194</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2311</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2313</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2314</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2285</v>
      </c>
      <c r="B1" s="1343"/>
      <c r="C1" s="1344" t="s">
        <v>2108</v>
      </c>
      <c r="D1" s="1345"/>
      <c r="E1" s="1354"/>
      <c r="F1" s="2015"/>
      <c r="G1" s="1355" t="s">
        <v>2221</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1908</v>
      </c>
      <c r="B2" s="1279" t="e">
        <f ca="1">IF(C2="——",ROUND(C37*D3/10000,0),ROUND(C37*D3/10000,0)-D2)</f>
        <v>#DIV/0!</v>
      </c>
      <c r="C2" s="2017"/>
      <c r="D2" s="1019" t="e">
        <f ca="1">SUMIF(INDIRECT("'"&amp;F2&amp;"'"&amp;"!A:A"),"承租人权益价值",INDIRECT("'"&amp;F2&amp;"'"&amp;"!c:c"))</f>
        <v>#REF!</v>
      </c>
      <c r="E2" s="2018" t="s">
        <v>1909</v>
      </c>
      <c r="F2" s="2019"/>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1910</v>
      </c>
      <c r="B3" s="566" t="e">
        <f ca="1">IF(C2="——",C37,ROUND(B2*10000/D3,0))</f>
        <v>#DIV/0!</v>
      </c>
      <c r="C3" s="360" t="s">
        <v>2222</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2223</v>
      </c>
      <c r="B4" s="362"/>
      <c r="C4" s="3468" t="s">
        <v>2224</v>
      </c>
      <c r="D4" s="3469"/>
      <c r="E4" s="3470" t="s">
        <v>2225</v>
      </c>
      <c r="F4" s="3471"/>
      <c r="G4" s="3468" t="s">
        <v>2226</v>
      </c>
      <c r="H4" s="3469"/>
      <c r="I4" s="3468" t="s">
        <v>2227</v>
      </c>
      <c r="J4" s="3469"/>
      <c r="K4" s="567" t="s">
        <v>2228</v>
      </c>
      <c r="L4" s="2892"/>
      <c r="M4" s="2893"/>
      <c r="N4" s="2893"/>
      <c r="O4" s="2893"/>
      <c r="P4" s="3472" t="s">
        <v>2229</v>
      </c>
      <c r="Q4" s="3473"/>
      <c r="R4" s="3455" t="s">
        <v>2225</v>
      </c>
      <c r="S4" s="3456"/>
      <c r="T4" s="3455" t="s">
        <v>2226</v>
      </c>
      <c r="U4" s="3456"/>
      <c r="V4" s="3480" t="s">
        <v>2227</v>
      </c>
      <c r="W4" s="3480"/>
      <c r="X4" s="1489"/>
      <c r="Y4" s="3455" t="s">
        <v>2229</v>
      </c>
      <c r="Z4" s="3456"/>
      <c r="AA4" s="3450" t="s">
        <v>2225</v>
      </c>
      <c r="AB4" s="3451" t="s">
        <v>2226</v>
      </c>
      <c r="AC4" s="3450" t="s">
        <v>2227</v>
      </c>
    </row>
    <row r="5" spans="1:29" ht="15">
      <c r="A5" s="364"/>
      <c r="B5" s="365"/>
      <c r="C5" s="3461" t="s">
        <v>2120</v>
      </c>
      <c r="D5" s="3462"/>
      <c r="E5" s="3459" t="s">
        <v>2121</v>
      </c>
      <c r="F5" s="3460"/>
      <c r="G5" s="3461" t="s">
        <v>2122</v>
      </c>
      <c r="H5" s="3462"/>
      <c r="I5" s="3461" t="s">
        <v>2123</v>
      </c>
      <c r="J5" s="3462"/>
      <c r="K5" s="567"/>
      <c r="L5" s="2892"/>
      <c r="M5" s="2893"/>
      <c r="N5" s="2893"/>
      <c r="O5" s="2893"/>
      <c r="P5" s="3474"/>
      <c r="Q5" s="3475"/>
      <c r="R5" s="3457"/>
      <c r="S5" s="3458"/>
      <c r="T5" s="3457"/>
      <c r="U5" s="3458"/>
      <c r="V5" s="3480"/>
      <c r="W5" s="3480"/>
      <c r="X5" s="1489"/>
      <c r="Y5" s="3457"/>
      <c r="Z5" s="3458"/>
      <c r="AA5" s="3451"/>
      <c r="AB5" s="3451"/>
      <c r="AC5" s="3451"/>
    </row>
    <row r="6" spans="1:29" ht="15.75" thickBot="1">
      <c r="A6" s="366"/>
      <c r="B6" s="367"/>
      <c r="C6" s="3463" t="s">
        <v>2124</v>
      </c>
      <c r="D6" s="3464"/>
      <c r="E6" s="3465" t="s">
        <v>2124</v>
      </c>
      <c r="F6" s="3466"/>
      <c r="G6" s="3463" t="s">
        <v>2124</v>
      </c>
      <c r="H6" s="3464"/>
      <c r="I6" s="3463" t="s">
        <v>2124</v>
      </c>
      <c r="J6" s="3464"/>
      <c r="K6" s="567" t="s">
        <v>2125</v>
      </c>
      <c r="L6" s="2892"/>
      <c r="M6" s="2893"/>
      <c r="N6" s="2893"/>
      <c r="O6" s="2893"/>
      <c r="P6" s="3476"/>
      <c r="Q6" s="3477"/>
      <c r="R6" s="3457"/>
      <c r="S6" s="3458"/>
      <c r="T6" s="3478"/>
      <c r="U6" s="3479"/>
      <c r="V6" s="3480"/>
      <c r="W6" s="3480"/>
      <c r="X6" s="1489"/>
      <c r="Y6" s="3478"/>
      <c r="Z6" s="3479"/>
      <c r="AA6" s="3452"/>
      <c r="AB6" s="3452"/>
      <c r="AC6" s="3452"/>
    </row>
    <row r="7" spans="1:29" s="113" customFormat="1" ht="15.75" thickBot="1">
      <c r="A7" s="368" t="s">
        <v>2126</v>
      </c>
      <c r="B7" s="369"/>
      <c r="C7" s="370">
        <f>'数据-取费表'!B2</f>
        <v>44915</v>
      </c>
      <c r="D7" s="371">
        <v>100</v>
      </c>
      <c r="E7" s="372"/>
      <c r="F7" s="373">
        <f>SUMIF(46:46,YEAR(E7)&amp;"-"&amp;MONTH(E7),47:47)</f>
        <v>0</v>
      </c>
      <c r="G7" s="2109"/>
      <c r="H7" s="371">
        <f>SUMIF(46:46,YEAR(G7)&amp;"-"&amp;MONTH(G7),47:47)</f>
        <v>0</v>
      </c>
      <c r="I7" s="372"/>
      <c r="J7" s="371">
        <f>SUMIF(46:46,YEAR(I7)&amp;"-"&amp;MONTH(I7),47:47)</f>
        <v>0</v>
      </c>
      <c r="K7" s="568"/>
      <c r="L7" s="2894"/>
      <c r="M7" s="2895"/>
      <c r="N7" s="2895"/>
      <c r="O7" s="2895"/>
      <c r="P7" s="3453" t="s">
        <v>2127</v>
      </c>
      <c r="Q7" s="3481"/>
      <c r="R7" s="710" t="s">
        <v>17</v>
      </c>
      <c r="S7" s="711">
        <f t="shared" ref="S7:S14" si="0">F7</f>
        <v>0</v>
      </c>
      <c r="T7" s="710" t="s">
        <v>17</v>
      </c>
      <c r="U7" s="711">
        <f t="shared" ref="U7:U14" si="1">H7</f>
        <v>0</v>
      </c>
      <c r="V7" s="710" t="s">
        <v>17</v>
      </c>
      <c r="W7" s="711">
        <f t="shared" ref="W7:W14" si="2">J7</f>
        <v>0</v>
      </c>
      <c r="X7" s="712"/>
      <c r="Y7" s="3453" t="s">
        <v>2127</v>
      </c>
      <c r="Z7" s="3454"/>
      <c r="AA7" s="713" t="e">
        <f>D7/F7</f>
        <v>#DIV/0!</v>
      </c>
      <c r="AB7" s="713" t="e">
        <f>D7/H7</f>
        <v>#DIV/0!</v>
      </c>
      <c r="AC7" s="713" t="e">
        <f>D7/J7</f>
        <v>#DIV/0!</v>
      </c>
    </row>
    <row r="8" spans="1:29" s="113" customFormat="1" ht="15.75" thickBot="1">
      <c r="A8" s="368" t="s">
        <v>2128</v>
      </c>
      <c r="B8" s="369"/>
      <c r="C8" s="374" t="s">
        <v>2230</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53" t="s">
        <v>2130</v>
      </c>
      <c r="Q8" s="3454"/>
      <c r="R8" s="710" t="s">
        <v>17</v>
      </c>
      <c r="S8" s="711">
        <f t="shared" si="0"/>
        <v>0</v>
      </c>
      <c r="T8" s="710" t="s">
        <v>17</v>
      </c>
      <c r="U8" s="711">
        <f t="shared" si="1"/>
        <v>0</v>
      </c>
      <c r="V8" s="710" t="s">
        <v>17</v>
      </c>
      <c r="W8" s="711">
        <f t="shared" si="2"/>
        <v>0</v>
      </c>
      <c r="X8" s="712"/>
      <c r="Y8" s="3453" t="s">
        <v>2130</v>
      </c>
      <c r="Z8" s="3454"/>
      <c r="AA8" s="713" t="e">
        <f t="shared" ref="AA8:AA34" si="3">D8/F8</f>
        <v>#DIV/0!</v>
      </c>
      <c r="AB8" s="713" t="e">
        <f t="shared" ref="AB8:AB34" si="4">D8/H8</f>
        <v>#DIV/0!</v>
      </c>
      <c r="AC8" s="713" t="e">
        <f t="shared" ref="AC8:AC34" si="5">D8/J8</f>
        <v>#DIV/0!</v>
      </c>
    </row>
    <row r="9" spans="1:29" s="113" customFormat="1">
      <c r="A9" s="375" t="s">
        <v>2131</v>
      </c>
      <c r="B9" s="67" t="s">
        <v>2132</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67" t="s">
        <v>2133</v>
      </c>
      <c r="Q9" s="1477" t="str">
        <f t="shared" ref="Q9:Q14" si="6">B9</f>
        <v>用途</v>
      </c>
      <c r="R9" s="710" t="s">
        <v>17</v>
      </c>
      <c r="S9" s="711">
        <f t="shared" si="0"/>
        <v>100</v>
      </c>
      <c r="T9" s="710" t="s">
        <v>17</v>
      </c>
      <c r="U9" s="711">
        <f t="shared" si="1"/>
        <v>100</v>
      </c>
      <c r="V9" s="710" t="s">
        <v>17</v>
      </c>
      <c r="W9" s="711">
        <f t="shared" si="2"/>
        <v>100</v>
      </c>
      <c r="X9" s="712"/>
      <c r="Y9" s="3423" t="s">
        <v>2134</v>
      </c>
      <c r="Z9" s="55" t="str">
        <f t="shared" ref="Z9:Z14" si="7">Q9</f>
        <v>用途</v>
      </c>
      <c r="AA9" s="713">
        <f t="shared" si="3"/>
        <v>1</v>
      </c>
      <c r="AB9" s="713">
        <f t="shared" si="4"/>
        <v>1</v>
      </c>
      <c r="AC9" s="713">
        <f t="shared" si="5"/>
        <v>1</v>
      </c>
    </row>
    <row r="10" spans="1:29" s="386" customFormat="1" ht="27">
      <c r="A10" s="380"/>
      <c r="B10" s="381" t="s">
        <v>2135</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67"/>
      <c r="Q10" s="1477" t="str">
        <f t="shared" si="6"/>
        <v>土地使用年限（年）</v>
      </c>
      <c r="R10" s="710" t="s">
        <v>17</v>
      </c>
      <c r="S10" s="711">
        <f t="shared" si="0"/>
        <v>100</v>
      </c>
      <c r="T10" s="710" t="s">
        <v>17</v>
      </c>
      <c r="U10" s="711">
        <f t="shared" si="1"/>
        <v>100</v>
      </c>
      <c r="V10" s="710" t="s">
        <v>17</v>
      </c>
      <c r="W10" s="711">
        <f t="shared" si="2"/>
        <v>100</v>
      </c>
      <c r="X10" s="712"/>
      <c r="Y10" s="3423"/>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67"/>
      <c r="Q11" s="1477">
        <f t="shared" si="6"/>
        <v>111</v>
      </c>
      <c r="R11" s="710" t="s">
        <v>17</v>
      </c>
      <c r="S11" s="711">
        <f t="shared" si="0"/>
        <v>100</v>
      </c>
      <c r="T11" s="710" t="s">
        <v>17</v>
      </c>
      <c r="U11" s="711">
        <f t="shared" si="1"/>
        <v>100</v>
      </c>
      <c r="V11" s="710" t="s">
        <v>17</v>
      </c>
      <c r="W11" s="711">
        <f t="shared" si="2"/>
        <v>100</v>
      </c>
      <c r="X11" s="712"/>
      <c r="Y11" s="3423"/>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67"/>
      <c r="Q12" s="147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0"/>
      <c r="H13" s="397">
        <f>SUMIF(59:59,G13,60:60)-SUMIF(59:59,C13,60:60)+100</f>
        <v>100</v>
      </c>
      <c r="I13" s="428"/>
      <c r="J13" s="394">
        <f>SUMIF(59:59,I13,60:60)-SUMIF(59:59,C13,60:60)+100</f>
        <v>100</v>
      </c>
      <c r="K13" s="570"/>
      <c r="L13" s="2899"/>
      <c r="M13" s="2893"/>
      <c r="N13" s="2893"/>
      <c r="O13" s="2951"/>
      <c r="P13" s="3467"/>
      <c r="Q13" s="147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
      <c r="A14" s="399" t="s">
        <v>2137</v>
      </c>
      <c r="B14" s="65" t="s">
        <v>2287</v>
      </c>
      <c r="C14" s="2106">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82" t="s">
        <v>2138</v>
      </c>
      <c r="Q14" s="1486" t="str">
        <f t="shared" si="6"/>
        <v>交通便捷度</v>
      </c>
      <c r="R14" s="714" t="s">
        <v>17</v>
      </c>
      <c r="S14" s="715">
        <f t="shared" si="0"/>
        <v>100</v>
      </c>
      <c r="T14" s="714" t="s">
        <v>17</v>
      </c>
      <c r="U14" s="715">
        <f t="shared" si="1"/>
        <v>100</v>
      </c>
      <c r="V14" s="714" t="s">
        <v>17</v>
      </c>
      <c r="W14" s="715">
        <f t="shared" si="2"/>
        <v>100</v>
      </c>
      <c r="X14" s="1489"/>
      <c r="Y14" s="3482" t="s">
        <v>2138</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9"/>
      <c r="M15" s="2893"/>
      <c r="N15" s="2893"/>
      <c r="O15" s="2951"/>
      <c r="P15" s="3483"/>
      <c r="Q15" s="1486"/>
      <c r="R15" s="714"/>
      <c r="S15" s="715"/>
      <c r="T15" s="714"/>
      <c r="U15" s="715"/>
      <c r="V15" s="714"/>
      <c r="W15" s="715"/>
      <c r="X15" s="1489"/>
      <c r="Y15" s="3483"/>
      <c r="Z15" s="1490"/>
      <c r="AA15" s="1487">
        <v>1</v>
      </c>
      <c r="AB15" s="1487">
        <v>1</v>
      </c>
      <c r="AC15" s="1487">
        <v>1</v>
      </c>
    </row>
    <row r="16" spans="1:29" ht="15">
      <c r="A16" s="387"/>
      <c r="B16" s="410" t="s">
        <v>2266</v>
      </c>
      <c r="C16" s="2036">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83"/>
      <c r="Q16" s="1486" t="str">
        <f>B16</f>
        <v>公共配套设施</v>
      </c>
      <c r="R16" s="714" t="s">
        <v>17</v>
      </c>
      <c r="S16" s="715">
        <f>F16</f>
        <v>100</v>
      </c>
      <c r="T16" s="714" t="s">
        <v>17</v>
      </c>
      <c r="U16" s="715">
        <f>H16</f>
        <v>100</v>
      </c>
      <c r="V16" s="714" t="s">
        <v>17</v>
      </c>
      <c r="W16" s="715">
        <f>J16</f>
        <v>100</v>
      </c>
      <c r="X16" s="1489"/>
      <c r="Y16" s="3483"/>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899"/>
      <c r="M17" s="2893"/>
      <c r="N17" s="2893"/>
      <c r="O17" s="2951"/>
      <c r="P17" s="3483"/>
      <c r="Q17" s="1486"/>
      <c r="R17" s="714"/>
      <c r="S17" s="715"/>
      <c r="T17" s="714"/>
      <c r="U17" s="715"/>
      <c r="V17" s="714"/>
      <c r="W17" s="715"/>
      <c r="X17" s="1489"/>
      <c r="Y17" s="3483"/>
      <c r="Z17" s="1490"/>
      <c r="AA17" s="1487">
        <v>1</v>
      </c>
      <c r="AB17" s="1487">
        <v>1</v>
      </c>
      <c r="AC17" s="1487">
        <v>1</v>
      </c>
    </row>
    <row r="18" spans="1:29" ht="15">
      <c r="A18" s="387"/>
      <c r="B18" s="1246" t="s">
        <v>2267</v>
      </c>
      <c r="C18" s="2036">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83"/>
      <c r="Q18" s="1486" t="str">
        <f>B18</f>
        <v>基础设施水平</v>
      </c>
      <c r="R18" s="714" t="s">
        <v>17</v>
      </c>
      <c r="S18" s="715">
        <f>F18</f>
        <v>100</v>
      </c>
      <c r="T18" s="714" t="s">
        <v>17</v>
      </c>
      <c r="U18" s="715">
        <f>H18</f>
        <v>100</v>
      </c>
      <c r="V18" s="714" t="s">
        <v>17</v>
      </c>
      <c r="W18" s="715">
        <f>J18</f>
        <v>100</v>
      </c>
      <c r="X18" s="1489"/>
      <c r="Y18" s="3483"/>
      <c r="Z18" s="1490" t="str">
        <f>Q18</f>
        <v>基础设施水平</v>
      </c>
      <c r="AA18" s="1487">
        <f t="shared" ref="AA18" si="8">D18/F18</f>
        <v>1</v>
      </c>
      <c r="AB18" s="1487">
        <f t="shared" ref="AB18" si="9">D18/H18</f>
        <v>1</v>
      </c>
      <c r="AC18" s="1487">
        <f t="shared" ref="AC18" si="10">D18/J18</f>
        <v>1</v>
      </c>
    </row>
    <row r="19" spans="1:29" ht="15">
      <c r="A19" s="387"/>
      <c r="B19" s="1246"/>
      <c r="C19" s="2037"/>
      <c r="D19" s="409"/>
      <c r="E19" s="2037"/>
      <c r="F19" s="412"/>
      <c r="G19" s="2037"/>
      <c r="H19" s="407"/>
      <c r="I19" s="406"/>
      <c r="J19" s="407"/>
      <c r="K19" s="1245"/>
      <c r="L19" s="2899"/>
      <c r="M19" s="2893"/>
      <c r="N19" s="2893"/>
      <c r="O19" s="2951"/>
      <c r="P19" s="3483"/>
      <c r="Q19" s="1486"/>
      <c r="R19" s="714"/>
      <c r="S19" s="715"/>
      <c r="T19" s="714"/>
      <c r="U19" s="715"/>
      <c r="V19" s="714"/>
      <c r="W19" s="715"/>
      <c r="X19" s="1489"/>
      <c r="Y19" s="3483"/>
      <c r="Z19" s="1490"/>
      <c r="AA19" s="1487">
        <v>1</v>
      </c>
      <c r="AB19" s="1487">
        <v>1</v>
      </c>
      <c r="AC19" s="1487">
        <v>1</v>
      </c>
    </row>
    <row r="20" spans="1:29" ht="15">
      <c r="A20" s="387"/>
      <c r="B20" s="410" t="s">
        <v>2288</v>
      </c>
      <c r="C20" s="2036">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83"/>
      <c r="Q20" s="1486" t="str">
        <f>B20</f>
        <v>自然及人文环境</v>
      </c>
      <c r="R20" s="714" t="s">
        <v>17</v>
      </c>
      <c r="S20" s="715">
        <f>F20</f>
        <v>100</v>
      </c>
      <c r="T20" s="714" t="s">
        <v>17</v>
      </c>
      <c r="U20" s="715">
        <f>H20</f>
        <v>100</v>
      </c>
      <c r="V20" s="714" t="s">
        <v>17</v>
      </c>
      <c r="W20" s="715">
        <f>J20</f>
        <v>100</v>
      </c>
      <c r="X20" s="1489"/>
      <c r="Y20" s="3483"/>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9"/>
      <c r="M21" s="2893"/>
      <c r="N21" s="2893"/>
      <c r="O21" s="2951"/>
      <c r="P21" s="3483"/>
      <c r="Q21" s="1486"/>
      <c r="R21" s="714"/>
      <c r="S21" s="715"/>
      <c r="T21" s="714"/>
      <c r="U21" s="715"/>
      <c r="V21" s="714"/>
      <c r="W21" s="715"/>
      <c r="X21" s="1489"/>
      <c r="Y21" s="3483"/>
      <c r="Z21" s="1490"/>
      <c r="AA21" s="1487">
        <v>1</v>
      </c>
      <c r="AB21" s="1487">
        <v>1</v>
      </c>
      <c r="AC21" s="1487">
        <v>1</v>
      </c>
    </row>
    <row r="22" spans="1:29" ht="15">
      <c r="A22" s="387"/>
      <c r="B22" s="410" t="s">
        <v>2289</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83"/>
      <c r="Q22" s="1486" t="str">
        <f>B22</f>
        <v>楼层</v>
      </c>
      <c r="R22" s="714" t="s">
        <v>17</v>
      </c>
      <c r="S22" s="715">
        <f>F22</f>
        <v>100</v>
      </c>
      <c r="T22" s="714" t="s">
        <v>17</v>
      </c>
      <c r="U22" s="715">
        <f>H22</f>
        <v>100</v>
      </c>
      <c r="V22" s="714" t="s">
        <v>17</v>
      </c>
      <c r="W22" s="715">
        <f>J22</f>
        <v>100</v>
      </c>
      <c r="X22" s="1489"/>
      <c r="Y22" s="3483"/>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83"/>
      <c r="Q23" s="1486">
        <f>B23</f>
        <v>111</v>
      </c>
      <c r="R23" s="714" t="s">
        <v>17</v>
      </c>
      <c r="S23" s="715">
        <f>F23</f>
        <v>100</v>
      </c>
      <c r="T23" s="714" t="s">
        <v>17</v>
      </c>
      <c r="U23" s="715">
        <f>H23</f>
        <v>100</v>
      </c>
      <c r="V23" s="714" t="s">
        <v>17</v>
      </c>
      <c r="W23" s="715">
        <f>J23</f>
        <v>100</v>
      </c>
      <c r="X23" s="1489"/>
      <c r="Y23" s="3483"/>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83"/>
      <c r="Q24" s="1486">
        <f t="shared" ref="Q24:Q34" si="11">B24</f>
        <v>111</v>
      </c>
      <c r="R24" s="714" t="s">
        <v>17</v>
      </c>
      <c r="S24" s="715">
        <f>F24</f>
        <v>100</v>
      </c>
      <c r="T24" s="714" t="s">
        <v>17</v>
      </c>
      <c r="U24" s="715">
        <f>H24</f>
        <v>100</v>
      </c>
      <c r="V24" s="714" t="s">
        <v>17</v>
      </c>
      <c r="W24" s="715">
        <f>J24</f>
        <v>100</v>
      </c>
      <c r="X24" s="1489"/>
      <c r="Y24" s="3483"/>
      <c r="Z24" s="1490">
        <f>Q24</f>
        <v>111</v>
      </c>
      <c r="AA24" s="1487">
        <f t="shared" si="3"/>
        <v>1</v>
      </c>
      <c r="AB24" s="1487">
        <f t="shared" si="4"/>
        <v>1</v>
      </c>
      <c r="AC24" s="1487">
        <f t="shared" si="5"/>
        <v>1</v>
      </c>
    </row>
    <row r="25" spans="1:29" s="113" customFormat="1" ht="15.75" thickBot="1">
      <c r="A25" s="390"/>
      <c r="B25" s="2029">
        <v>111</v>
      </c>
      <c r="C25" s="2111"/>
      <c r="D25" s="621">
        <v>100</v>
      </c>
      <c r="E25" s="2111"/>
      <c r="F25" s="622">
        <f>SUMIF(75:75,E25,76:76)-SUMIF(75:75,C25,76:76)+100</f>
        <v>100</v>
      </c>
      <c r="G25" s="2111"/>
      <c r="H25" s="621">
        <f>SUMIF(75:75,G25,76:76)-SUMIF(75:75,C25,76:76)+100</f>
        <v>100</v>
      </c>
      <c r="I25" s="2111"/>
      <c r="J25" s="621">
        <f>SUMIF(75:75,I25,76:76)-SUMIF(75:75,C25,76:76)+100</f>
        <v>100</v>
      </c>
      <c r="K25" s="570"/>
      <c r="L25" s="2894"/>
      <c r="M25" s="2895"/>
      <c r="N25" s="2895"/>
      <c r="O25" s="2949"/>
      <c r="P25" s="3483"/>
      <c r="Q25" s="1477">
        <f t="shared" si="11"/>
        <v>111</v>
      </c>
      <c r="R25" s="710" t="s">
        <v>17</v>
      </c>
      <c r="S25" s="711">
        <f>F25</f>
        <v>100</v>
      </c>
      <c r="T25" s="710" t="s">
        <v>17</v>
      </c>
      <c r="U25" s="711">
        <f>H25</f>
        <v>100</v>
      </c>
      <c r="V25" s="710" t="s">
        <v>17</v>
      </c>
      <c r="W25" s="711">
        <f>J25</f>
        <v>100</v>
      </c>
      <c r="X25" s="712"/>
      <c r="Y25" s="3483"/>
      <c r="Z25" s="55">
        <f>Q25</f>
        <v>111</v>
      </c>
      <c r="AA25" s="1487">
        <f>D25/F25</f>
        <v>1</v>
      </c>
      <c r="AB25" s="1487">
        <f>D25/H25</f>
        <v>1</v>
      </c>
      <c r="AC25" s="1487">
        <f>D25/J25</f>
        <v>1</v>
      </c>
    </row>
    <row r="26" spans="1:29" ht="28.5">
      <c r="A26" s="425" t="s">
        <v>2141</v>
      </c>
      <c r="B26" s="67" t="s">
        <v>2292</v>
      </c>
      <c r="C26" s="2102"/>
      <c r="D26" s="426">
        <v>100</v>
      </c>
      <c r="E26" s="2102"/>
      <c r="F26" s="623">
        <f>SUMIF(77:77,E26,78:78)-SUMIF(77:77,C26,78:78)+100</f>
        <v>100</v>
      </c>
      <c r="G26" s="2102"/>
      <c r="H26" s="426">
        <f>SUMIF(77:77,G26,78:78)-SUMIF(77:77,C26,78:78)+100</f>
        <v>100</v>
      </c>
      <c r="I26" s="2102"/>
      <c r="J26" s="426">
        <f>SUMIF(77:77,I26,78:78)-SUMIF(77:77,C26,78:78)+100</f>
        <v>100</v>
      </c>
      <c r="K26" s="569"/>
      <c r="L26" s="2899"/>
      <c r="M26" s="2893"/>
      <c r="N26" s="2893"/>
      <c r="O26" s="2951"/>
      <c r="P26" s="3484" t="s">
        <v>2143</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85" t="s">
        <v>2143</v>
      </c>
      <c r="Z26" s="1490" t="str">
        <f t="shared" ref="Z26:Z34" si="15">Q26</f>
        <v>公共部分装修</v>
      </c>
      <c r="AA26" s="1487">
        <f t="shared" si="3"/>
        <v>1</v>
      </c>
      <c r="AB26" s="1487">
        <f t="shared" si="4"/>
        <v>1</v>
      </c>
      <c r="AC26" s="1487">
        <f t="shared" si="5"/>
        <v>1</v>
      </c>
    </row>
    <row r="27" spans="1:29" s="430" customFormat="1" ht="15">
      <c r="A27" s="427"/>
      <c r="B27" s="381" t="s">
        <v>2293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85"/>
      <c r="Q27" s="716" t="str">
        <f t="shared" si="11"/>
        <v>成新率</v>
      </c>
      <c r="R27" s="717" t="s">
        <v>17</v>
      </c>
      <c r="S27" s="718" t="e">
        <f t="shared" si="12"/>
        <v>#N/A</v>
      </c>
      <c r="T27" s="717" t="s">
        <v>17</v>
      </c>
      <c r="U27" s="718" t="e">
        <f t="shared" si="13"/>
        <v>#N/A</v>
      </c>
      <c r="V27" s="717" t="s">
        <v>17</v>
      </c>
      <c r="W27" s="718" t="e">
        <f t="shared" si="14"/>
        <v>#N/A</v>
      </c>
      <c r="X27" s="719"/>
      <c r="Y27" s="3485"/>
      <c r="Z27" s="720" t="str">
        <f t="shared" si="15"/>
        <v>成新率</v>
      </c>
      <c r="AA27" s="1487" t="e">
        <f t="shared" si="3"/>
        <v>#N/A</v>
      </c>
      <c r="AB27" s="1487" t="e">
        <f t="shared" si="4"/>
        <v>#N/A</v>
      </c>
      <c r="AC27" s="1487" t="e">
        <f t="shared" si="5"/>
        <v>#N/A</v>
      </c>
    </row>
    <row r="28" spans="1:29" ht="15">
      <c r="A28" s="431"/>
      <c r="B28" s="381" t="s">
        <v>2294</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85"/>
      <c r="Q28" s="1486" t="str">
        <f t="shared" si="11"/>
        <v>物业等级</v>
      </c>
      <c r="R28" s="714" t="s">
        <v>17</v>
      </c>
      <c r="S28" s="715">
        <f t="shared" si="12"/>
        <v>100</v>
      </c>
      <c r="T28" s="714" t="s">
        <v>17</v>
      </c>
      <c r="U28" s="715">
        <f t="shared" si="13"/>
        <v>100</v>
      </c>
      <c r="V28" s="714" t="s">
        <v>17</v>
      </c>
      <c r="W28" s="715">
        <f t="shared" si="14"/>
        <v>100</v>
      </c>
      <c r="X28" s="1489"/>
      <c r="Y28" s="3485"/>
      <c r="Z28" s="1490" t="str">
        <f t="shared" si="15"/>
        <v>物业等级</v>
      </c>
      <c r="AA28" s="1487">
        <f t="shared" si="3"/>
        <v>1</v>
      </c>
      <c r="AB28" s="1487">
        <f t="shared" si="4"/>
        <v>1</v>
      </c>
      <c r="AC28" s="1487">
        <f t="shared" si="5"/>
        <v>1</v>
      </c>
    </row>
    <row r="29" spans="1:29" ht="15">
      <c r="A29" s="431"/>
      <c r="B29" s="381" t="s">
        <v>2315</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85"/>
      <c r="Q29" s="1486" t="str">
        <f t="shared" si="11"/>
        <v>有无电梯</v>
      </c>
      <c r="R29" s="714" t="s">
        <v>17</v>
      </c>
      <c r="S29" s="715">
        <f t="shared" si="12"/>
        <v>100</v>
      </c>
      <c r="T29" s="714" t="s">
        <v>17</v>
      </c>
      <c r="U29" s="715">
        <f t="shared" si="13"/>
        <v>100</v>
      </c>
      <c r="V29" s="714" t="s">
        <v>17</v>
      </c>
      <c r="W29" s="715">
        <f t="shared" si="14"/>
        <v>100</v>
      </c>
      <c r="X29" s="1489"/>
      <c r="Y29" s="3485"/>
      <c r="Z29" s="1490" t="str">
        <f t="shared" si="15"/>
        <v>有无电梯</v>
      </c>
      <c r="AA29" s="1487">
        <f t="shared" si="3"/>
        <v>1</v>
      </c>
      <c r="AB29" s="1487">
        <f t="shared" si="4"/>
        <v>1</v>
      </c>
      <c r="AC29" s="1487">
        <f t="shared" si="5"/>
        <v>1</v>
      </c>
    </row>
    <row r="30" spans="1:29" ht="15">
      <c r="A30" s="431"/>
      <c r="B30" s="381" t="s">
        <v>2316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85"/>
      <c r="Q30" s="1486" t="str">
        <f t="shared" si="11"/>
        <v>建筑面积</v>
      </c>
      <c r="R30" s="714" t="s">
        <v>17</v>
      </c>
      <c r="S30" s="715" t="e">
        <f t="shared" si="12"/>
        <v>#N/A</v>
      </c>
      <c r="T30" s="714" t="s">
        <v>17</v>
      </c>
      <c r="U30" s="715" t="e">
        <f t="shared" si="13"/>
        <v>#N/A</v>
      </c>
      <c r="V30" s="714" t="s">
        <v>17</v>
      </c>
      <c r="W30" s="715" t="e">
        <f t="shared" si="14"/>
        <v>#N/A</v>
      </c>
      <c r="X30" s="1489"/>
      <c r="Y30" s="3485"/>
      <c r="Z30" s="1490" t="str">
        <f t="shared" si="15"/>
        <v>建筑面积</v>
      </c>
      <c r="AA30" s="1487" t="e">
        <f t="shared" si="3"/>
        <v>#N/A</v>
      </c>
      <c r="AB30" s="1487" t="e">
        <f t="shared" si="4"/>
        <v>#N/A</v>
      </c>
      <c r="AC30" s="1487" t="e">
        <f t="shared" si="5"/>
        <v>#N/A</v>
      </c>
    </row>
    <row r="31" spans="1:29" s="113" customFormat="1" ht="15">
      <c r="A31" s="432"/>
      <c r="B31" s="381" t="s">
        <v>2317</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85"/>
      <c r="Q31" s="1477" t="str">
        <f t="shared" si="11"/>
        <v>是否封闭</v>
      </c>
      <c r="R31" s="710" t="s">
        <v>17</v>
      </c>
      <c r="S31" s="711">
        <f t="shared" si="12"/>
        <v>100</v>
      </c>
      <c r="T31" s="710" t="s">
        <v>17</v>
      </c>
      <c r="U31" s="711">
        <f t="shared" si="13"/>
        <v>100</v>
      </c>
      <c r="V31" s="710" t="s">
        <v>17</v>
      </c>
      <c r="W31" s="711">
        <f t="shared" si="14"/>
        <v>100</v>
      </c>
      <c r="X31" s="712"/>
      <c r="Y31" s="3485"/>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85" t="s">
        <v>2143</v>
      </c>
      <c r="Q32" s="1486">
        <f t="shared" si="11"/>
        <v>111</v>
      </c>
      <c r="R32" s="714" t="s">
        <v>17</v>
      </c>
      <c r="S32" s="715">
        <f t="shared" si="12"/>
        <v>100</v>
      </c>
      <c r="T32" s="714" t="s">
        <v>17</v>
      </c>
      <c r="U32" s="715">
        <f t="shared" si="13"/>
        <v>100</v>
      </c>
      <c r="V32" s="714" t="s">
        <v>17</v>
      </c>
      <c r="W32" s="715">
        <f t="shared" si="14"/>
        <v>100</v>
      </c>
      <c r="X32" s="1489"/>
      <c r="Y32" s="3485" t="s">
        <v>2143</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85"/>
      <c r="Q33" s="1486">
        <f t="shared" si="11"/>
        <v>111</v>
      </c>
      <c r="R33" s="714" t="s">
        <v>17</v>
      </c>
      <c r="S33" s="715">
        <f t="shared" si="12"/>
        <v>100</v>
      </c>
      <c r="T33" s="714" t="s">
        <v>17</v>
      </c>
      <c r="U33" s="715">
        <f t="shared" si="13"/>
        <v>100</v>
      </c>
      <c r="V33" s="714" t="s">
        <v>17</v>
      </c>
      <c r="W33" s="715">
        <f t="shared" si="14"/>
        <v>100</v>
      </c>
      <c r="X33" s="1489"/>
      <c r="Y33" s="3485"/>
      <c r="Z33" s="1490">
        <f t="shared" si="15"/>
        <v>111</v>
      </c>
      <c r="AA33" s="1487">
        <f t="shared" si="3"/>
        <v>1</v>
      </c>
      <c r="AB33" s="1487">
        <f t="shared" si="4"/>
        <v>1</v>
      </c>
      <c r="AC33" s="1487">
        <f t="shared" si="5"/>
        <v>1</v>
      </c>
    </row>
    <row r="34" spans="1:30" ht="15.75" thickBot="1">
      <c r="A34" s="437"/>
      <c r="B34" s="2031">
        <v>111</v>
      </c>
      <c r="C34" s="396"/>
      <c r="D34" s="397">
        <v>100</v>
      </c>
      <c r="E34" s="2110"/>
      <c r="F34" s="398">
        <f>SUMIF(95:95,E34,96:96)-SUMIF(95:95,C34,96:96)+100</f>
        <v>100</v>
      </c>
      <c r="G34" s="2110"/>
      <c r="H34" s="397">
        <f>SUMIF(95:95,G34,96:96)-SUMIF(95:95,C34,96:96)+100</f>
        <v>100</v>
      </c>
      <c r="I34" s="2110"/>
      <c r="J34" s="397">
        <f>SUMIF(95:95,I34,96:96)-SUMIF(95:95,C34,96:96)+100</f>
        <v>100</v>
      </c>
      <c r="K34" s="570"/>
      <c r="L34" s="2899"/>
      <c r="M34" s="2893"/>
      <c r="N34" s="2893"/>
      <c r="O34" s="2951"/>
      <c r="P34" s="3485"/>
      <c r="Q34" s="1486">
        <f t="shared" si="11"/>
        <v>111</v>
      </c>
      <c r="R34" s="714" t="s">
        <v>17</v>
      </c>
      <c r="S34" s="715">
        <f t="shared" si="12"/>
        <v>100</v>
      </c>
      <c r="T34" s="714" t="s">
        <v>17</v>
      </c>
      <c r="U34" s="715">
        <f t="shared" si="13"/>
        <v>100</v>
      </c>
      <c r="V34" s="714" t="s">
        <v>17</v>
      </c>
      <c r="W34" s="715">
        <f t="shared" si="14"/>
        <v>100</v>
      </c>
      <c r="X34" s="1489"/>
      <c r="Y34" s="3485"/>
      <c r="Z34" s="1490">
        <f t="shared" si="15"/>
        <v>111</v>
      </c>
      <c r="AA34" s="1487">
        <f t="shared" si="3"/>
        <v>1</v>
      </c>
      <c r="AB34" s="1487">
        <f t="shared" si="4"/>
        <v>1</v>
      </c>
      <c r="AC34" s="1487">
        <f t="shared" si="5"/>
        <v>1</v>
      </c>
    </row>
    <row r="35" spans="1:30" ht="15">
      <c r="A35" s="438" t="s">
        <v>2155</v>
      </c>
      <c r="B35" s="439"/>
      <c r="C35" s="1269" t="s">
        <v>1</v>
      </c>
      <c r="D35" s="1270"/>
      <c r="E35" s="1271"/>
      <c r="F35" s="1272"/>
      <c r="G35" s="1273"/>
      <c r="H35" s="1274"/>
      <c r="I35" s="1271"/>
      <c r="J35" s="1274"/>
      <c r="K35" s="723"/>
      <c r="L35" s="2901"/>
      <c r="M35" s="2902"/>
      <c r="N35" s="2893"/>
      <c r="O35" s="2902"/>
      <c r="P35" s="3467" t="str">
        <f>A35</f>
        <v>成交单价（元/平方米）</v>
      </c>
      <c r="Q35" s="3467"/>
      <c r="R35" s="3521">
        <f>E35</f>
        <v>0</v>
      </c>
      <c r="S35" s="3521"/>
      <c r="T35" s="3521">
        <f>G35</f>
        <v>0</v>
      </c>
      <c r="U35" s="3521"/>
      <c r="V35" s="3521">
        <f>I35</f>
        <v>0</v>
      </c>
      <c r="W35" s="3521"/>
      <c r="X35" s="699"/>
      <c r="Y35" s="721"/>
      <c r="Z35" s="699"/>
      <c r="AA35" s="699"/>
      <c r="AB35" s="699"/>
      <c r="AC35" s="699"/>
    </row>
    <row r="36" spans="1:30" ht="15.75" thickBot="1">
      <c r="A36" s="445" t="s">
        <v>2247</v>
      </c>
      <c r="B36" s="446"/>
      <c r="C36" s="1275" t="e">
        <f>R37</f>
        <v>#DIV/0!</v>
      </c>
      <c r="D36" s="2487" t="s">
        <v>2637</v>
      </c>
      <c r="E36" s="1276" t="e">
        <f>R36</f>
        <v>#DIV/0!</v>
      </c>
      <c r="F36" s="2488"/>
      <c r="G36" s="1275" t="e">
        <f>T36</f>
        <v>#DIV/0!</v>
      </c>
      <c r="H36" s="2488"/>
      <c r="I36" s="1276" t="e">
        <f>V36</f>
        <v>#DIV/0!</v>
      </c>
      <c r="J36" s="2488"/>
      <c r="K36" s="2490">
        <f>F36+H36+J36</f>
        <v>0</v>
      </c>
      <c r="L36" s="2901"/>
      <c r="M36" s="2902"/>
      <c r="N36" s="2893"/>
      <c r="O36" s="2902"/>
      <c r="P36" s="3467" t="str">
        <f>A36</f>
        <v>比较价值（元/平方米）</v>
      </c>
      <c r="Q36" s="3467"/>
      <c r="R36" s="3521" t="e">
        <f>IF(F1="售价",ROUND(PRODUCT(R35,AA7:AA34),0),ROUND(PRODUCT(R35,AA7:AA34),1))</f>
        <v>#DIV/0!</v>
      </c>
      <c r="S36" s="3521"/>
      <c r="T36" s="3521" t="e">
        <f>IF(F1="售价",ROUND(PRODUCT(T35,AB7:AB34),0),ROUND(PRODUCT(T35,AB7:AB34),1))</f>
        <v>#DIV/0!</v>
      </c>
      <c r="U36" s="3521"/>
      <c r="V36" s="3521" t="e">
        <f>IF(F1="售价",ROUND(PRODUCT(V35,AC7:AC34),0),ROUND(PRODUCT(V35,AC7:AC34),1))</f>
        <v>#DIV/0!</v>
      </c>
      <c r="W36" s="3521"/>
      <c r="X36" s="699"/>
      <c r="Y36" s="699"/>
      <c r="Z36" s="699"/>
      <c r="AA36" s="699"/>
      <c r="AB36" s="699"/>
      <c r="AC36" s="699"/>
    </row>
    <row r="37" spans="1:30" ht="15.75" thickBot="1">
      <c r="A37" s="449" t="s">
        <v>2248</v>
      </c>
      <c r="B37" s="450"/>
      <c r="C37" s="1278" t="e">
        <f>R37</f>
        <v>#DIV/0!</v>
      </c>
      <c r="D37" s="1278"/>
      <c r="E37" s="1278"/>
      <c r="F37" s="1278"/>
      <c r="G37" s="1278"/>
      <c r="H37" s="1278"/>
      <c r="I37" s="1278"/>
      <c r="J37" s="1278"/>
      <c r="K37" s="724"/>
      <c r="L37" s="2901"/>
      <c r="M37" s="2902"/>
      <c r="N37" s="2902"/>
      <c r="O37" s="2902"/>
      <c r="P37" s="3487" t="str">
        <f>A37</f>
        <v>估价对象XX用房的比较价值（楼面单价，元/平方米）</v>
      </c>
      <c r="Q37" s="3488"/>
      <c r="R37" s="3543" t="e">
        <f>IF(F1="售价",ROUND(IF(D36="简单平均",AVERAGE(R36:W36),R36*F36+T36*H36+V36*J36),0),ROUND(IF(D36="简单平均",AVERAGE(R36:V36),R36*F36+T36*H36+V36*J36),1))</f>
        <v>#DIV/0!</v>
      </c>
      <c r="S37" s="3543"/>
      <c r="T37" s="3543"/>
      <c r="U37" s="3543"/>
      <c r="V37" s="3543"/>
      <c r="W37" s="3543"/>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2249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2252</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2126</v>
      </c>
      <c r="B46" s="463"/>
      <c r="C46" s="1298" t="str">
        <f>YEAR(C7)&amp;"-"&amp;MONTH(C7)</f>
        <v>2022-12</v>
      </c>
      <c r="D46" s="1299">
        <f>EDATE(C46,-1)</f>
        <v>44866</v>
      </c>
      <c r="E46" s="1299">
        <f t="shared" ref="E46:O46" si="16">EDATE(D46,-1)</f>
        <v>44835</v>
      </c>
      <c r="F46" s="1299">
        <f t="shared" si="16"/>
        <v>44805</v>
      </c>
      <c r="G46" s="1299">
        <f t="shared" si="16"/>
        <v>44774</v>
      </c>
      <c r="H46" s="1299">
        <f t="shared" si="16"/>
        <v>44743</v>
      </c>
      <c r="I46" s="1299">
        <f t="shared" si="16"/>
        <v>44713</v>
      </c>
      <c r="J46" s="1299">
        <f t="shared" si="16"/>
        <v>44682</v>
      </c>
      <c r="K46" s="1299">
        <f t="shared" si="16"/>
        <v>44652</v>
      </c>
      <c r="L46" s="1299">
        <f t="shared" si="16"/>
        <v>44621</v>
      </c>
      <c r="M46" s="1299">
        <f t="shared" si="16"/>
        <v>44593</v>
      </c>
      <c r="N46" s="1299">
        <f t="shared" si="16"/>
        <v>44562</v>
      </c>
      <c r="O46" s="1299">
        <f t="shared" si="16"/>
        <v>44531</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2163</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2128</v>
      </c>
      <c r="B49" s="467"/>
      <c r="C49" s="479" t="s">
        <v>2230</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2166</v>
      </c>
      <c r="B51" s="485" t="s">
        <v>2132</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2135</v>
      </c>
      <c r="C53" s="496" t="s">
        <v>2167</v>
      </c>
      <c r="D53" s="496" t="s">
        <v>2168</v>
      </c>
      <c r="E53" s="496" t="s">
        <v>2169</v>
      </c>
      <c r="F53" s="496" t="s">
        <v>2170</v>
      </c>
      <c r="G53" s="496" t="s">
        <v>2171</v>
      </c>
      <c r="H53" s="496" t="s">
        <v>2172</v>
      </c>
      <c r="I53" s="496" t="s">
        <v>2173</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2137</v>
      </c>
      <c r="B61" s="485" t="s">
        <v>2180</v>
      </c>
      <c r="C61" s="530" t="s">
        <v>2175</v>
      </c>
      <c r="D61" s="530" t="s">
        <v>2176</v>
      </c>
      <c r="E61" s="530" t="s">
        <v>2177</v>
      </c>
      <c r="F61" s="530" t="s">
        <v>2178</v>
      </c>
      <c r="G61" s="530" t="s">
        <v>2179</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2318</v>
      </c>
      <c r="C63" s="535" t="s">
        <v>2175</v>
      </c>
      <c r="D63" s="535" t="s">
        <v>2176</v>
      </c>
      <c r="E63" s="535" t="s">
        <v>2177</v>
      </c>
      <c r="F63" s="535" t="s">
        <v>2178</v>
      </c>
      <c r="G63" s="535" t="s">
        <v>2179</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2267</v>
      </c>
      <c r="C65" s="616" t="s">
        <v>2253</v>
      </c>
      <c r="D65" s="616" t="s">
        <v>2254</v>
      </c>
      <c r="E65" s="616" t="s">
        <v>2255</v>
      </c>
      <c r="F65" s="616" t="s">
        <v>2256</v>
      </c>
      <c r="G65" s="616" t="s">
        <v>2257</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2187</v>
      </c>
      <c r="C67" s="535" t="s">
        <v>2175</v>
      </c>
      <c r="D67" s="535" t="s">
        <v>2176</v>
      </c>
      <c r="E67" s="535" t="s">
        <v>2177</v>
      </c>
      <c r="F67" s="535" t="s">
        <v>2178</v>
      </c>
      <c r="G67" s="535" t="s">
        <v>2179</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2307</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2141</v>
      </c>
      <c r="B77" s="485" t="s">
        <v>2194</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2311</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2319</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2321</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2322</v>
      </c>
      <c r="B1" s="355"/>
      <c r="C1" s="356" t="s">
        <v>2373</v>
      </c>
      <c r="D1" s="695"/>
      <c r="E1" s="695"/>
      <c r="F1" s="694" t="s">
        <v>2221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1908</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1910</v>
      </c>
      <c r="B3" s="566" t="e">
        <f>ROUND(IF(D3="",B2*10000/'数据-汇总表'!E3,B2*10000/D3),0)</f>
        <v>#DIV/0!</v>
      </c>
      <c r="C3" s="209" t="s">
        <v>2324</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2223</v>
      </c>
      <c r="B4" s="362"/>
      <c r="C4" s="3468" t="s">
        <v>2224</v>
      </c>
      <c r="D4" s="3469"/>
      <c r="E4" s="3470" t="s">
        <v>2225</v>
      </c>
      <c r="F4" s="3471"/>
      <c r="G4" s="3468" t="s">
        <v>2226</v>
      </c>
      <c r="H4" s="3469"/>
      <c r="I4" s="3468" t="s">
        <v>2227</v>
      </c>
      <c r="J4" s="3469"/>
      <c r="K4" s="567" t="s">
        <v>2228</v>
      </c>
      <c r="L4" s="2892"/>
      <c r="M4" s="2893"/>
      <c r="N4" s="2893"/>
      <c r="O4" s="2893"/>
      <c r="P4" s="3472" t="s">
        <v>2229</v>
      </c>
      <c r="Q4" s="3473"/>
      <c r="R4" s="3455" t="s">
        <v>2225</v>
      </c>
      <c r="S4" s="3456"/>
      <c r="T4" s="3455" t="s">
        <v>2226</v>
      </c>
      <c r="U4" s="3456"/>
      <c r="V4" s="3480" t="s">
        <v>2227</v>
      </c>
      <c r="W4" s="3480"/>
      <c r="X4" s="1489"/>
      <c r="Y4" s="3455" t="s">
        <v>2229</v>
      </c>
      <c r="Z4" s="3456"/>
      <c r="AA4" s="3450" t="s">
        <v>2225</v>
      </c>
      <c r="AB4" s="3451" t="s">
        <v>2226</v>
      </c>
      <c r="AC4" s="3450" t="s">
        <v>2227</v>
      </c>
    </row>
    <row r="5" spans="1:29" ht="15">
      <c r="A5" s="364"/>
      <c r="B5" s="365"/>
      <c r="C5" s="3461" t="s">
        <v>2120</v>
      </c>
      <c r="D5" s="3462"/>
      <c r="E5" s="3459" t="s">
        <v>2121</v>
      </c>
      <c r="F5" s="3460"/>
      <c r="G5" s="3461" t="s">
        <v>2122</v>
      </c>
      <c r="H5" s="3462"/>
      <c r="I5" s="3461" t="s">
        <v>2123</v>
      </c>
      <c r="J5" s="3462"/>
      <c r="K5" s="567"/>
      <c r="L5" s="2892"/>
      <c r="M5" s="2893"/>
      <c r="N5" s="2893"/>
      <c r="O5" s="2893"/>
      <c r="P5" s="3474"/>
      <c r="Q5" s="3475"/>
      <c r="R5" s="3457"/>
      <c r="S5" s="3458"/>
      <c r="T5" s="3457"/>
      <c r="U5" s="3458"/>
      <c r="V5" s="3480"/>
      <c r="W5" s="3480"/>
      <c r="X5" s="1489"/>
      <c r="Y5" s="3457"/>
      <c r="Z5" s="3458"/>
      <c r="AA5" s="3451"/>
      <c r="AB5" s="3451"/>
      <c r="AC5" s="3451"/>
    </row>
    <row r="6" spans="1:29" ht="15.75" thickBot="1">
      <c r="A6" s="366"/>
      <c r="B6" s="367"/>
      <c r="C6" s="3544" t="s">
        <v>2374</v>
      </c>
      <c r="D6" s="3545"/>
      <c r="E6" s="3546" t="s">
        <v>2374</v>
      </c>
      <c r="F6" s="3547"/>
      <c r="G6" s="3544" t="s">
        <v>2374</v>
      </c>
      <c r="H6" s="3545"/>
      <c r="I6" s="3544" t="s">
        <v>2374</v>
      </c>
      <c r="J6" s="3545"/>
      <c r="K6" s="567" t="s">
        <v>2125</v>
      </c>
      <c r="L6" s="2892"/>
      <c r="M6" s="2893"/>
      <c r="N6" s="2893"/>
      <c r="O6" s="2893"/>
      <c r="P6" s="3476"/>
      <c r="Q6" s="3477"/>
      <c r="R6" s="3457"/>
      <c r="S6" s="3458"/>
      <c r="T6" s="3478"/>
      <c r="U6" s="3479"/>
      <c r="V6" s="3480"/>
      <c r="W6" s="3480"/>
      <c r="X6" s="1489"/>
      <c r="Y6" s="3478"/>
      <c r="Z6" s="3479"/>
      <c r="AA6" s="3452"/>
      <c r="AB6" s="3452"/>
      <c r="AC6" s="3452"/>
    </row>
    <row r="7" spans="1:29" s="113" customFormat="1" ht="15.75" thickBot="1">
      <c r="A7" s="368" t="s">
        <v>2126</v>
      </c>
      <c r="B7" s="369"/>
      <c r="C7" s="370">
        <f>'数据-取费表'!B2</f>
        <v>44915</v>
      </c>
      <c r="D7" s="371">
        <v>100</v>
      </c>
      <c r="E7" s="372"/>
      <c r="F7" s="373">
        <f>SUMIF(65:65,YEAR(E7)&amp;"-"&amp;INT((MONTH(E7)+2)/3),66:66)</f>
        <v>0</v>
      </c>
      <c r="G7" s="2109"/>
      <c r="H7" s="371">
        <f>SUMIF(65:65,YEAR(G7)&amp;"-"&amp;INT((MONTH(G7)+2)/3),66:66)</f>
        <v>0</v>
      </c>
      <c r="I7" s="2109"/>
      <c r="J7" s="371">
        <f>SUMIF(65:65,YEAR(I7)&amp;"-"&amp;INT((MONTH(I7)+2)/3),66:66)</f>
        <v>0</v>
      </c>
      <c r="K7" s="568"/>
      <c r="L7" s="2894"/>
      <c r="M7" s="2895"/>
      <c r="N7" s="2895"/>
      <c r="O7" s="2895"/>
      <c r="P7" s="3453" t="s">
        <v>2127</v>
      </c>
      <c r="Q7" s="3481"/>
      <c r="R7" s="710" t="s">
        <v>17</v>
      </c>
      <c r="S7" s="711">
        <f t="shared" ref="S7:S15" si="0">F7</f>
        <v>0</v>
      </c>
      <c r="T7" s="710" t="s">
        <v>17</v>
      </c>
      <c r="U7" s="711">
        <f t="shared" ref="U7:U15" si="1">H7</f>
        <v>0</v>
      </c>
      <c r="V7" s="710" t="s">
        <v>17</v>
      </c>
      <c r="W7" s="711">
        <f t="shared" ref="W7:W15" si="2">J7</f>
        <v>0</v>
      </c>
      <c r="X7" s="712"/>
      <c r="Y7" s="3453" t="s">
        <v>2127</v>
      </c>
      <c r="Z7" s="3454"/>
      <c r="AA7" s="713" t="e">
        <f>D7/F7</f>
        <v>#DIV/0!</v>
      </c>
      <c r="AB7" s="713" t="e">
        <f>D7/H7</f>
        <v>#DIV/0!</v>
      </c>
      <c r="AC7" s="713" t="e">
        <f>D7/J7</f>
        <v>#DIV/0!</v>
      </c>
    </row>
    <row r="8" spans="1:29" s="113" customFormat="1" ht="15.75" thickBot="1">
      <c r="A8" s="368" t="s">
        <v>2128</v>
      </c>
      <c r="B8" s="369"/>
      <c r="C8" s="374" t="s">
        <v>2129</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53" t="s">
        <v>2130</v>
      </c>
      <c r="Q8" s="3454"/>
      <c r="R8" s="710" t="s">
        <v>17</v>
      </c>
      <c r="S8" s="711">
        <f t="shared" si="0"/>
        <v>0</v>
      </c>
      <c r="T8" s="710" t="s">
        <v>17</v>
      </c>
      <c r="U8" s="711">
        <f t="shared" si="1"/>
        <v>0</v>
      </c>
      <c r="V8" s="710" t="s">
        <v>17</v>
      </c>
      <c r="W8" s="711">
        <f t="shared" si="2"/>
        <v>0</v>
      </c>
      <c r="X8" s="712"/>
      <c r="Y8" s="3453" t="s">
        <v>2130</v>
      </c>
      <c r="Z8" s="3454"/>
      <c r="AA8" s="713" t="e">
        <f t="shared" ref="AA8:AA40" si="3">D8/F8</f>
        <v>#DIV/0!</v>
      </c>
      <c r="AB8" s="713" t="e">
        <f t="shared" ref="AB8:AB40" si="4">D8/H8</f>
        <v>#DIV/0!</v>
      </c>
      <c r="AC8" s="713" t="e">
        <f t="shared" ref="AC8:AC40" si="5">D8/J8</f>
        <v>#DIV/0!</v>
      </c>
    </row>
    <row r="9" spans="1:29" s="113" customFormat="1">
      <c r="A9" s="375" t="s">
        <v>2131</v>
      </c>
      <c r="B9" s="67" t="s">
        <v>2132</v>
      </c>
      <c r="C9" s="2112"/>
      <c r="D9" s="131">
        <v>100</v>
      </c>
      <c r="E9" s="2112"/>
      <c r="F9" s="131">
        <f>SUMIF(70:70,E9,71:71)-SUMIF(70:70,C9,71:71)+100</f>
        <v>100</v>
      </c>
      <c r="G9" s="2112"/>
      <c r="H9" s="131">
        <f>SUMIF(70:70,G9,71:71)-SUMIF(70:70,C9,71:71)+100</f>
        <v>100</v>
      </c>
      <c r="I9" s="2112"/>
      <c r="J9" s="131">
        <f>SUMIF(70:70,I9,71:71)-SUMIF(70:70,C9,71:71)+100</f>
        <v>100</v>
      </c>
      <c r="K9" s="568"/>
      <c r="L9" s="2894"/>
      <c r="M9" s="2895"/>
      <c r="N9" s="2895"/>
      <c r="O9" s="2949"/>
      <c r="P9" s="3467" t="s">
        <v>2133</v>
      </c>
      <c r="Q9" s="1477" t="str">
        <f t="shared" ref="Q9:Q15" si="6">B9</f>
        <v>用途</v>
      </c>
      <c r="R9" s="710" t="s">
        <v>17</v>
      </c>
      <c r="S9" s="711">
        <f t="shared" si="0"/>
        <v>100</v>
      </c>
      <c r="T9" s="710" t="s">
        <v>17</v>
      </c>
      <c r="U9" s="711">
        <f t="shared" si="1"/>
        <v>100</v>
      </c>
      <c r="V9" s="710" t="s">
        <v>17</v>
      </c>
      <c r="W9" s="711">
        <f t="shared" si="2"/>
        <v>100</v>
      </c>
      <c r="X9" s="712"/>
      <c r="Y9" s="3423" t="s">
        <v>2134</v>
      </c>
      <c r="Z9" s="55" t="str">
        <f t="shared" ref="Z9:Z15" si="7">Q9</f>
        <v>用途</v>
      </c>
      <c r="AA9" s="713">
        <f t="shared" si="3"/>
        <v>1</v>
      </c>
      <c r="AB9" s="713">
        <f t="shared" si="4"/>
        <v>1</v>
      </c>
      <c r="AC9" s="713">
        <f t="shared" si="5"/>
        <v>1</v>
      </c>
    </row>
    <row r="10" spans="1:29" s="386" customFormat="1" ht="27">
      <c r="A10" s="380"/>
      <c r="B10" s="381" t="s">
        <v>2135</v>
      </c>
      <c r="C10" s="391"/>
      <c r="D10" s="132">
        <v>100</v>
      </c>
      <c r="E10" s="391"/>
      <c r="F10" s="132">
        <f>ROUND(100/'数据-取费表'!G16,0)</f>
        <v>101</v>
      </c>
      <c r="G10" s="391"/>
      <c r="H10" s="132">
        <f>ROUND(100/'数据-取费表'!G16,0)</f>
        <v>101</v>
      </c>
      <c r="I10" s="391"/>
      <c r="J10" s="132">
        <f>ROUND(100/'数据-取费表'!G16,0)</f>
        <v>101</v>
      </c>
      <c r="K10" s="628"/>
      <c r="L10" s="2896"/>
      <c r="M10" s="2897"/>
      <c r="N10" s="2897"/>
      <c r="O10" s="2950"/>
      <c r="P10" s="3467"/>
      <c r="Q10" s="1477" t="str">
        <f t="shared" si="6"/>
        <v>土地使用年限（年）</v>
      </c>
      <c r="R10" s="710" t="s">
        <v>17</v>
      </c>
      <c r="S10" s="711">
        <f t="shared" si="0"/>
        <v>101</v>
      </c>
      <c r="T10" s="710" t="s">
        <v>17</v>
      </c>
      <c r="U10" s="711">
        <f t="shared" si="1"/>
        <v>101</v>
      </c>
      <c r="V10" s="710" t="s">
        <v>17</v>
      </c>
      <c r="W10" s="711">
        <f t="shared" si="2"/>
        <v>101</v>
      </c>
      <c r="X10" s="712"/>
      <c r="Y10" s="3423"/>
      <c r="Z10" s="55" t="str">
        <f t="shared" si="7"/>
        <v>土地使用年限（年）</v>
      </c>
      <c r="AA10" s="713">
        <f t="shared" si="3"/>
        <v>0.99009900990099009</v>
      </c>
      <c r="AB10" s="713">
        <f t="shared" si="4"/>
        <v>0.99009900990099009</v>
      </c>
      <c r="AC10" s="713">
        <f t="shared" si="5"/>
        <v>0.99009900990099009</v>
      </c>
    </row>
    <row r="11" spans="1:29" ht="15">
      <c r="A11" s="387"/>
      <c r="B11" s="381" t="s">
        <v>2136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67"/>
      <c r="Q11" s="1477" t="str">
        <f t="shared" si="6"/>
        <v>容积率</v>
      </c>
      <c r="R11" s="710" t="s">
        <v>17</v>
      </c>
      <c r="S11" s="711" t="e">
        <f t="shared" si="0"/>
        <v>#N/A</v>
      </c>
      <c r="T11" s="710" t="s">
        <v>17</v>
      </c>
      <c r="U11" s="711" t="e">
        <f t="shared" si="1"/>
        <v>#N/A</v>
      </c>
      <c r="V11" s="710" t="s">
        <v>17</v>
      </c>
      <c r="W11" s="711" t="e">
        <f t="shared" si="2"/>
        <v>#N/A</v>
      </c>
      <c r="X11" s="712"/>
      <c r="Y11" s="3423"/>
      <c r="Z11" s="55" t="str">
        <f t="shared" si="7"/>
        <v>容积率</v>
      </c>
      <c r="AA11" s="713" t="e">
        <f t="shared" si="3"/>
        <v>#N/A</v>
      </c>
      <c r="AB11" s="713" t="e">
        <f t="shared" si="4"/>
        <v>#N/A</v>
      </c>
      <c r="AC11" s="713"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67"/>
      <c r="Q12" s="1477">
        <f t="shared" si="6"/>
        <v>111</v>
      </c>
      <c r="R12" s="710" t="s">
        <v>17</v>
      </c>
      <c r="S12" s="711">
        <f t="shared" si="0"/>
        <v>100</v>
      </c>
      <c r="T12" s="710" t="s">
        <v>17</v>
      </c>
      <c r="U12" s="711">
        <f t="shared" si="1"/>
        <v>100</v>
      </c>
      <c r="V12" s="710" t="s">
        <v>17</v>
      </c>
      <c r="W12" s="711">
        <f t="shared" si="2"/>
        <v>100</v>
      </c>
      <c r="X12" s="712"/>
      <c r="Y12" s="3423"/>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67"/>
      <c r="Q13" s="1477">
        <f t="shared" si="6"/>
        <v>111</v>
      </c>
      <c r="R13" s="710" t="s">
        <v>17</v>
      </c>
      <c r="S13" s="711">
        <f t="shared" si="0"/>
        <v>100</v>
      </c>
      <c r="T13" s="710" t="s">
        <v>17</v>
      </c>
      <c r="U13" s="711">
        <f t="shared" si="1"/>
        <v>100</v>
      </c>
      <c r="V13" s="710" t="s">
        <v>17</v>
      </c>
      <c r="W13" s="711">
        <f t="shared" si="2"/>
        <v>100</v>
      </c>
      <c r="X13" s="712"/>
      <c r="Y13" s="3423"/>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67"/>
      <c r="Q14" s="1477">
        <f t="shared" si="6"/>
        <v>111</v>
      </c>
      <c r="R14" s="710" t="s">
        <v>17</v>
      </c>
      <c r="S14" s="711">
        <f t="shared" si="0"/>
        <v>100</v>
      </c>
      <c r="T14" s="710" t="s">
        <v>17</v>
      </c>
      <c r="U14" s="711">
        <f t="shared" si="1"/>
        <v>100</v>
      </c>
      <c r="V14" s="710" t="s">
        <v>17</v>
      </c>
      <c r="W14" s="711">
        <f t="shared" si="2"/>
        <v>100</v>
      </c>
      <c r="X14" s="712"/>
      <c r="Y14" s="3423"/>
      <c r="Z14" s="55">
        <f t="shared" si="7"/>
        <v>111</v>
      </c>
      <c r="AA14" s="713">
        <f t="shared" si="3"/>
        <v>1</v>
      </c>
      <c r="AB14" s="713">
        <f t="shared" si="4"/>
        <v>1</v>
      </c>
      <c r="AC14" s="713">
        <f t="shared" si="5"/>
        <v>1</v>
      </c>
    </row>
    <row r="15" spans="1:29" ht="15">
      <c r="A15" s="399" t="s">
        <v>2137</v>
      </c>
      <c r="B15" s="585" t="s">
        <v>2375</v>
      </c>
      <c r="C15" s="2106">
        <f>估价对象房地状况!G15</f>
        <v>0</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82" t="s">
        <v>2138</v>
      </c>
      <c r="Q15" s="1486" t="str">
        <f t="shared" si="6"/>
        <v>产业集聚程度</v>
      </c>
      <c r="R15" s="714" t="s">
        <v>17</v>
      </c>
      <c r="S15" s="715">
        <f t="shared" si="0"/>
        <v>100</v>
      </c>
      <c r="T15" s="714" t="s">
        <v>17</v>
      </c>
      <c r="U15" s="715">
        <f t="shared" si="1"/>
        <v>100</v>
      </c>
      <c r="V15" s="714" t="s">
        <v>17</v>
      </c>
      <c r="W15" s="715">
        <f t="shared" si="2"/>
        <v>100</v>
      </c>
      <c r="X15" s="1489"/>
      <c r="Y15" s="3482" t="s">
        <v>2138</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899"/>
      <c r="M16" s="2893"/>
      <c r="N16" s="2893"/>
      <c r="O16" s="2951"/>
      <c r="P16" s="3483"/>
      <c r="Q16" s="1486"/>
      <c r="R16" s="714"/>
      <c r="S16" s="715"/>
      <c r="T16" s="714"/>
      <c r="U16" s="715"/>
      <c r="V16" s="714"/>
      <c r="W16" s="715"/>
      <c r="X16" s="1489"/>
      <c r="Y16" s="3483"/>
      <c r="Z16" s="1490"/>
      <c r="AA16" s="1487">
        <v>1</v>
      </c>
      <c r="AB16" s="1487">
        <v>1</v>
      </c>
      <c r="AC16" s="1487">
        <v>1</v>
      </c>
    </row>
    <row r="17" spans="1:29" ht="15">
      <c r="A17" s="387"/>
      <c r="B17" s="587" t="s">
        <v>2287</v>
      </c>
      <c r="C17" s="2036">
        <f>估价对象房地状况!G16</f>
        <v>0</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83"/>
      <c r="Q17" s="1486" t="str">
        <f>B17</f>
        <v>交通便捷度</v>
      </c>
      <c r="R17" s="714" t="s">
        <v>17</v>
      </c>
      <c r="S17" s="715">
        <f>F17</f>
        <v>100</v>
      </c>
      <c r="T17" s="714" t="s">
        <v>17</v>
      </c>
      <c r="U17" s="715">
        <f>H17</f>
        <v>100</v>
      </c>
      <c r="V17" s="714" t="s">
        <v>17</v>
      </c>
      <c r="W17" s="715">
        <f>J17</f>
        <v>100</v>
      </c>
      <c r="X17" s="1489"/>
      <c r="Y17" s="3483"/>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899"/>
      <c r="M18" s="2893"/>
      <c r="N18" s="2893"/>
      <c r="O18" s="2951"/>
      <c r="P18" s="3483"/>
      <c r="Q18" s="1486"/>
      <c r="R18" s="714"/>
      <c r="S18" s="715"/>
      <c r="T18" s="714"/>
      <c r="U18" s="715"/>
      <c r="V18" s="714"/>
      <c r="W18" s="715"/>
      <c r="X18" s="1489"/>
      <c r="Y18" s="3483"/>
      <c r="Z18" s="1490"/>
      <c r="AA18" s="1487">
        <v>1</v>
      </c>
      <c r="AB18" s="1487">
        <v>1</v>
      </c>
      <c r="AC18" s="1487">
        <v>1</v>
      </c>
    </row>
    <row r="19" spans="1:29" ht="15">
      <c r="A19" s="387"/>
      <c r="B19" s="587" t="s">
        <v>2326</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83"/>
      <c r="Q19" s="1486" t="str">
        <f t="shared" ref="Q19:Q33" si="8">B19</f>
        <v>区域土地利用方向</v>
      </c>
      <c r="R19" s="714" t="s">
        <v>17</v>
      </c>
      <c r="S19" s="715">
        <f>F19</f>
        <v>100</v>
      </c>
      <c r="T19" s="714" t="s">
        <v>17</v>
      </c>
      <c r="U19" s="715">
        <f>H19</f>
        <v>100</v>
      </c>
      <c r="V19" s="714" t="s">
        <v>17</v>
      </c>
      <c r="W19" s="715">
        <f>J19</f>
        <v>100</v>
      </c>
      <c r="X19" s="1489"/>
      <c r="Y19" s="3483"/>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1"/>
      <c r="L20" s="2899"/>
      <c r="M20" s="2893"/>
      <c r="N20" s="2893"/>
      <c r="O20" s="2951"/>
      <c r="P20" s="3483"/>
      <c r="Q20" s="1486"/>
      <c r="R20" s="714"/>
      <c r="S20" s="715"/>
      <c r="T20" s="714"/>
      <c r="U20" s="715"/>
      <c r="V20" s="714"/>
      <c r="W20" s="715"/>
      <c r="X20" s="1489"/>
      <c r="Y20" s="3483"/>
      <c r="Z20" s="1490"/>
      <c r="AA20" s="1487"/>
      <c r="AB20" s="1487"/>
      <c r="AC20" s="1487"/>
    </row>
    <row r="21" spans="1:29" ht="15">
      <c r="A21" s="364"/>
      <c r="B21" s="587" t="s">
        <v>2376</v>
      </c>
      <c r="C21" s="2036">
        <f>估价对象房地状况!G18</f>
        <v>0</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83"/>
      <c r="Q21" s="1486" t="str">
        <f t="shared" si="8"/>
        <v>环境状况</v>
      </c>
      <c r="R21" s="714" t="s">
        <v>17</v>
      </c>
      <c r="S21" s="715">
        <f>F21</f>
        <v>100</v>
      </c>
      <c r="T21" s="714" t="s">
        <v>17</v>
      </c>
      <c r="U21" s="715">
        <f>H21</f>
        <v>100</v>
      </c>
      <c r="V21" s="714" t="s">
        <v>17</v>
      </c>
      <c r="W21" s="715">
        <f>J21</f>
        <v>100</v>
      </c>
      <c r="X21" s="1489"/>
      <c r="Y21" s="3483"/>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899"/>
      <c r="M22" s="2893"/>
      <c r="N22" s="2893"/>
      <c r="O22" s="2951"/>
      <c r="P22" s="3483"/>
      <c r="Q22" s="1486"/>
      <c r="R22" s="714"/>
      <c r="S22" s="715"/>
      <c r="T22" s="714"/>
      <c r="U22" s="715"/>
      <c r="V22" s="714"/>
      <c r="W22" s="715"/>
      <c r="X22" s="1489"/>
      <c r="Y22" s="3483"/>
      <c r="Z22" s="1490"/>
      <c r="AA22" s="1487">
        <v>1</v>
      </c>
      <c r="AB22" s="1487">
        <v>1</v>
      </c>
      <c r="AC22" s="1487">
        <v>1</v>
      </c>
    </row>
    <row r="23" spans="1:29" s="113" customFormat="1" ht="15">
      <c r="A23" s="605"/>
      <c r="B23" s="589" t="s">
        <v>2232</v>
      </c>
      <c r="C23" s="2036">
        <f>估价对象房地状况!G19</f>
        <v>0</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83"/>
      <c r="Q23" s="1477" t="str">
        <f t="shared" si="8"/>
        <v>公共配套设施</v>
      </c>
      <c r="R23" s="710" t="s">
        <v>17</v>
      </c>
      <c r="S23" s="711">
        <f>F23</f>
        <v>100</v>
      </c>
      <c r="T23" s="710" t="s">
        <v>17</v>
      </c>
      <c r="U23" s="711">
        <f>H23</f>
        <v>100</v>
      </c>
      <c r="V23" s="710" t="s">
        <v>17</v>
      </c>
      <c r="W23" s="711">
        <f>J23</f>
        <v>100</v>
      </c>
      <c r="X23" s="712"/>
      <c r="Y23" s="3483"/>
      <c r="Z23" s="55" t="str">
        <f>Q23</f>
        <v>公共配套设施</v>
      </c>
      <c r="AA23" s="1487">
        <f>D23/F23</f>
        <v>1</v>
      </c>
      <c r="AB23" s="1487">
        <f>D23/H23</f>
        <v>1</v>
      </c>
      <c r="AC23" s="1487">
        <f>D23/J23</f>
        <v>1</v>
      </c>
    </row>
    <row r="24" spans="1:29" s="113" customFormat="1" ht="15">
      <c r="A24" s="605"/>
      <c r="B24" s="588"/>
      <c r="C24" s="2113"/>
      <c r="D24" s="407"/>
      <c r="E24" s="2040"/>
      <c r="F24" s="407"/>
      <c r="G24" s="2040"/>
      <c r="H24" s="407"/>
      <c r="I24" s="406"/>
      <c r="J24" s="407"/>
      <c r="K24" s="628"/>
      <c r="L24" s="2894"/>
      <c r="M24" s="2895"/>
      <c r="N24" s="2895"/>
      <c r="O24" s="2949"/>
      <c r="P24" s="3483"/>
      <c r="Q24" s="1477"/>
      <c r="R24" s="710"/>
      <c r="S24" s="711"/>
      <c r="T24" s="710"/>
      <c r="U24" s="711"/>
      <c r="V24" s="710"/>
      <c r="W24" s="711"/>
      <c r="X24" s="712"/>
      <c r="Y24" s="3483"/>
      <c r="Z24" s="55"/>
      <c r="AA24" s="713">
        <v>1</v>
      </c>
      <c r="AB24" s="713">
        <v>1</v>
      </c>
      <c r="AC24" s="713">
        <v>1</v>
      </c>
    </row>
    <row r="25" spans="1:29" s="113" customFormat="1" ht="15">
      <c r="A25" s="605"/>
      <c r="B25" s="589" t="s">
        <v>2233</v>
      </c>
      <c r="C25" s="2036">
        <f>估价对象房地状况!G20</f>
        <v>0</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83"/>
      <c r="Q25" s="1477" t="str">
        <f t="shared" ref="Q25" si="9">B25</f>
        <v>基础设施水平</v>
      </c>
      <c r="R25" s="710" t="s">
        <v>17</v>
      </c>
      <c r="S25" s="711">
        <f>F25</f>
        <v>100</v>
      </c>
      <c r="T25" s="710" t="s">
        <v>17</v>
      </c>
      <c r="U25" s="711">
        <f>H25</f>
        <v>100</v>
      </c>
      <c r="V25" s="710" t="s">
        <v>17</v>
      </c>
      <c r="W25" s="711">
        <f>J25</f>
        <v>100</v>
      </c>
      <c r="X25" s="712"/>
      <c r="Y25" s="3483"/>
      <c r="Z25" s="55" t="str">
        <f>Q25</f>
        <v>基础设施水平</v>
      </c>
      <c r="AA25" s="1487">
        <f>D25/F25</f>
        <v>1</v>
      </c>
      <c r="AB25" s="1487">
        <f>D25/H25</f>
        <v>1</v>
      </c>
      <c r="AC25" s="1487">
        <f>D25/J25</f>
        <v>1</v>
      </c>
    </row>
    <row r="26" spans="1:29" s="113" customFormat="1" ht="15">
      <c r="A26" s="605"/>
      <c r="B26" s="588"/>
      <c r="C26" s="2113"/>
      <c r="D26" s="407"/>
      <c r="E26" s="2114"/>
      <c r="F26" s="407"/>
      <c r="G26" s="2114"/>
      <c r="H26" s="407"/>
      <c r="I26" s="2114"/>
      <c r="J26" s="407"/>
      <c r="K26" s="628"/>
      <c r="L26" s="2894"/>
      <c r="M26" s="2895"/>
      <c r="N26" s="2895"/>
      <c r="O26" s="2949"/>
      <c r="P26" s="3483"/>
      <c r="Q26" s="1477"/>
      <c r="R26" s="710"/>
      <c r="S26" s="711"/>
      <c r="T26" s="710"/>
      <c r="U26" s="711"/>
      <c r="V26" s="710"/>
      <c r="W26" s="711"/>
      <c r="X26" s="712"/>
      <c r="Y26" s="3483"/>
      <c r="Z26" s="55"/>
      <c r="AA26" s="713">
        <v>1</v>
      </c>
      <c r="AB26" s="713">
        <v>1</v>
      </c>
      <c r="AC26" s="713">
        <v>1</v>
      </c>
    </row>
    <row r="27" spans="1:29" ht="15">
      <c r="A27" s="387"/>
      <c r="B27" s="588" t="s">
        <v>2234</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83"/>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83"/>
      <c r="Z27" s="1490" t="str">
        <f t="shared" ref="Z27:Z40" si="13">Q27</f>
        <v>临街状况</v>
      </c>
      <c r="AA27" s="1487">
        <f t="shared" si="3"/>
        <v>1</v>
      </c>
      <c r="AB27" s="1487">
        <f t="shared" si="4"/>
        <v>1</v>
      </c>
      <c r="AC27" s="1487">
        <f t="shared" si="5"/>
        <v>1</v>
      </c>
    </row>
    <row r="28" spans="1:29" ht="27">
      <c r="A28" s="387"/>
      <c r="B28" s="589" t="s">
        <v>2269</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83"/>
      <c r="Q28" s="1486" t="str">
        <f t="shared" si="8"/>
        <v>毗邻道路的类型与等级</v>
      </c>
      <c r="R28" s="714" t="s">
        <v>17</v>
      </c>
      <c r="S28" s="715">
        <f t="shared" si="10"/>
        <v>100</v>
      </c>
      <c r="T28" s="714" t="s">
        <v>17</v>
      </c>
      <c r="U28" s="715">
        <f t="shared" si="11"/>
        <v>100</v>
      </c>
      <c r="V28" s="714" t="s">
        <v>17</v>
      </c>
      <c r="W28" s="715">
        <f t="shared" si="12"/>
        <v>100</v>
      </c>
      <c r="X28" s="1489"/>
      <c r="Y28" s="3483"/>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899"/>
      <c r="M29" s="2893"/>
      <c r="N29" s="2893"/>
      <c r="O29" s="2951"/>
      <c r="P29" s="3483"/>
      <c r="Q29" s="1486"/>
      <c r="R29" s="714"/>
      <c r="S29" s="715"/>
      <c r="T29" s="714"/>
      <c r="U29" s="715"/>
      <c r="V29" s="714"/>
      <c r="W29" s="715"/>
      <c r="X29" s="1489"/>
      <c r="Y29" s="3483"/>
      <c r="Z29" s="1490"/>
      <c r="AA29" s="1487">
        <v>1</v>
      </c>
      <c r="AB29" s="1487">
        <v>1</v>
      </c>
      <c r="AC29" s="1487">
        <v>1</v>
      </c>
    </row>
    <row r="30" spans="1:29" ht="15">
      <c r="A30" s="387"/>
      <c r="B30" s="610" t="s">
        <v>2328</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83"/>
      <c r="Q30" s="1486" t="str">
        <f t="shared" si="8"/>
        <v>土地级别</v>
      </c>
      <c r="R30" s="714" t="s">
        <v>17</v>
      </c>
      <c r="S30" s="715">
        <f t="shared" si="10"/>
        <v>100</v>
      </c>
      <c r="T30" s="714" t="s">
        <v>17</v>
      </c>
      <c r="U30" s="715">
        <f t="shared" si="11"/>
        <v>100</v>
      </c>
      <c r="V30" s="714" t="s">
        <v>17</v>
      </c>
      <c r="W30" s="715">
        <f t="shared" si="12"/>
        <v>100</v>
      </c>
      <c r="X30" s="1489"/>
      <c r="Y30" s="3483"/>
      <c r="Z30" s="1490" t="str">
        <f t="shared" si="13"/>
        <v>土地级别</v>
      </c>
      <c r="AA30" s="1487">
        <f t="shared" si="3"/>
        <v>1</v>
      </c>
      <c r="AB30" s="1487">
        <f t="shared" si="4"/>
        <v>1</v>
      </c>
      <c r="AC30" s="1487">
        <f t="shared" si="5"/>
        <v>1</v>
      </c>
    </row>
    <row r="31" spans="1:29" ht="15">
      <c r="A31" s="364"/>
      <c r="B31" s="210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83"/>
      <c r="Q31" s="1486">
        <f t="shared" si="8"/>
        <v>111</v>
      </c>
      <c r="R31" s="714" t="s">
        <v>17</v>
      </c>
      <c r="S31" s="715">
        <f t="shared" si="10"/>
        <v>100</v>
      </c>
      <c r="T31" s="714" t="s">
        <v>17</v>
      </c>
      <c r="U31" s="715">
        <f t="shared" si="11"/>
        <v>100</v>
      </c>
      <c r="V31" s="714" t="s">
        <v>17</v>
      </c>
      <c r="W31" s="715">
        <f t="shared" si="12"/>
        <v>100</v>
      </c>
      <c r="X31" s="1489"/>
      <c r="Y31" s="3483"/>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484" t="s">
        <v>2143</v>
      </c>
      <c r="Q32" s="1486">
        <f t="shared" si="8"/>
        <v>111</v>
      </c>
      <c r="R32" s="714" t="s">
        <v>17</v>
      </c>
      <c r="S32" s="715">
        <f t="shared" si="10"/>
        <v>100</v>
      </c>
      <c r="T32" s="714" t="s">
        <v>17</v>
      </c>
      <c r="U32" s="715">
        <f t="shared" si="11"/>
        <v>100</v>
      </c>
      <c r="V32" s="714" t="s">
        <v>17</v>
      </c>
      <c r="W32" s="715">
        <f t="shared" si="12"/>
        <v>100</v>
      </c>
      <c r="X32" s="1489"/>
      <c r="Y32" s="3485" t="s">
        <v>2143</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85"/>
      <c r="Q33" s="1486">
        <f t="shared" si="8"/>
        <v>111</v>
      </c>
      <c r="R33" s="717" t="s">
        <v>17</v>
      </c>
      <c r="S33" s="718">
        <f t="shared" si="10"/>
        <v>100</v>
      </c>
      <c r="T33" s="717" t="s">
        <v>17</v>
      </c>
      <c r="U33" s="718">
        <f t="shared" si="11"/>
        <v>100</v>
      </c>
      <c r="V33" s="717" t="s">
        <v>17</v>
      </c>
      <c r="W33" s="718">
        <f t="shared" si="12"/>
        <v>100</v>
      </c>
      <c r="X33" s="719"/>
      <c r="Y33" s="3485"/>
      <c r="Z33" s="720">
        <f t="shared" si="13"/>
        <v>111</v>
      </c>
      <c r="AA33" s="1487">
        <f t="shared" si="3"/>
        <v>1</v>
      </c>
      <c r="AB33" s="1487">
        <f t="shared" si="4"/>
        <v>1</v>
      </c>
      <c r="AC33" s="1487">
        <f t="shared" si="5"/>
        <v>1</v>
      </c>
    </row>
    <row r="34" spans="1:31" ht="15">
      <c r="A34" s="399" t="s">
        <v>2141</v>
      </c>
      <c r="B34" s="415" t="s">
        <v>2329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85"/>
      <c r="Q34" s="1486" t="str">
        <f>B34</f>
        <v>宗地面积</v>
      </c>
      <c r="R34" s="714" t="s">
        <v>17</v>
      </c>
      <c r="S34" s="715" t="e">
        <f t="shared" si="10"/>
        <v>#N/A</v>
      </c>
      <c r="T34" s="714" t="s">
        <v>17</v>
      </c>
      <c r="U34" s="715" t="e">
        <f t="shared" si="11"/>
        <v>#N/A</v>
      </c>
      <c r="V34" s="714" t="s">
        <v>17</v>
      </c>
      <c r="W34" s="715" t="e">
        <f t="shared" si="12"/>
        <v>#N/A</v>
      </c>
      <c r="X34" s="1489"/>
      <c r="Y34" s="3485"/>
      <c r="Z34" s="1490" t="str">
        <f t="shared" si="13"/>
        <v>宗地面积</v>
      </c>
      <c r="AA34" s="1487" t="e">
        <f t="shared" si="3"/>
        <v>#N/A</v>
      </c>
      <c r="AB34" s="1487" t="e">
        <f t="shared" si="4"/>
        <v>#N/A</v>
      </c>
      <c r="AC34" s="1487" t="e">
        <f t="shared" si="5"/>
        <v>#N/A</v>
      </c>
    </row>
    <row r="35" spans="1:31" ht="15">
      <c r="A35" s="431"/>
      <c r="B35" s="381" t="s">
        <v>2330</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9"/>
      <c r="M35" s="2893"/>
      <c r="N35" s="2893"/>
      <c r="O35" s="2951"/>
      <c r="P35" s="3485"/>
      <c r="Q35" s="1486" t="str">
        <f t="shared" ref="Q35:Q40" si="14">B35</f>
        <v>宗地形状</v>
      </c>
      <c r="R35" s="714" t="s">
        <v>17</v>
      </c>
      <c r="S35" s="715">
        <f t="shared" si="10"/>
        <v>100</v>
      </c>
      <c r="T35" s="714" t="s">
        <v>17</v>
      </c>
      <c r="U35" s="715">
        <f t="shared" si="11"/>
        <v>100</v>
      </c>
      <c r="V35" s="714" t="s">
        <v>17</v>
      </c>
      <c r="W35" s="715">
        <f t="shared" si="12"/>
        <v>100</v>
      </c>
      <c r="X35" s="1489"/>
      <c r="Y35" s="3485"/>
      <c r="Z35" s="1490" t="str">
        <f t="shared" si="13"/>
        <v>宗地形状</v>
      </c>
      <c r="AA35" s="1487">
        <f t="shared" si="3"/>
        <v>1</v>
      </c>
      <c r="AB35" s="1487">
        <f t="shared" si="4"/>
        <v>1</v>
      </c>
      <c r="AC35" s="1487">
        <f t="shared" si="5"/>
        <v>1</v>
      </c>
    </row>
    <row r="36" spans="1:31" s="113" customFormat="1" ht="15">
      <c r="A36" s="432"/>
      <c r="B36" s="381" t="s">
        <v>2332</v>
      </c>
      <c r="C36" s="2115"/>
      <c r="D36" s="132">
        <v>100</v>
      </c>
      <c r="E36" s="2115"/>
      <c r="F36" s="394">
        <f>SUMIF(112:112,E36,113:113)-SUMIF(112:112,C36,113:113)+100</f>
        <v>100</v>
      </c>
      <c r="G36" s="2115"/>
      <c r="H36" s="394">
        <f>SUMIF(112:112,G36,113:113)-SUMIF(112:112,C36,113:113)+100</f>
        <v>100</v>
      </c>
      <c r="I36" s="2115"/>
      <c r="J36" s="394">
        <f>SUMIF(112:112,I36,113:113)-SUMIF(112:112,C36,113:113)+100</f>
        <v>100</v>
      </c>
      <c r="K36" s="569"/>
      <c r="L36" s="2894"/>
      <c r="M36" s="2895"/>
      <c r="N36" s="2895"/>
      <c r="O36" s="2949"/>
      <c r="P36" s="3485"/>
      <c r="Q36" s="1486" t="str">
        <f t="shared" si="14"/>
        <v>宗地开发程度</v>
      </c>
      <c r="R36" s="710" t="s">
        <v>17</v>
      </c>
      <c r="S36" s="711">
        <f t="shared" si="10"/>
        <v>100</v>
      </c>
      <c r="T36" s="710" t="s">
        <v>17</v>
      </c>
      <c r="U36" s="711">
        <f t="shared" si="11"/>
        <v>100</v>
      </c>
      <c r="V36" s="710" t="s">
        <v>17</v>
      </c>
      <c r="W36" s="711">
        <f t="shared" si="12"/>
        <v>100</v>
      </c>
      <c r="X36" s="712"/>
      <c r="Y36" s="3485"/>
      <c r="Z36" s="55" t="str">
        <f t="shared" si="13"/>
        <v>宗地开发程度</v>
      </c>
      <c r="AA36" s="713">
        <f t="shared" si="3"/>
        <v>1</v>
      </c>
      <c r="AB36" s="713">
        <f t="shared" si="4"/>
        <v>1</v>
      </c>
      <c r="AC36" s="713">
        <f t="shared" si="5"/>
        <v>1</v>
      </c>
    </row>
    <row r="37" spans="1:31" ht="15">
      <c r="A37" s="431"/>
      <c r="B37" s="381" t="s">
        <v>2333</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9"/>
      <c r="M37" s="2893"/>
      <c r="N37" s="2893"/>
      <c r="O37" s="2951"/>
      <c r="P37" s="3485" t="s">
        <v>2143</v>
      </c>
      <c r="Q37" s="1486" t="str">
        <f t="shared" si="14"/>
        <v>工程地质条件</v>
      </c>
      <c r="R37" s="714" t="s">
        <v>17</v>
      </c>
      <c r="S37" s="715">
        <f t="shared" si="10"/>
        <v>100</v>
      </c>
      <c r="T37" s="714" t="s">
        <v>17</v>
      </c>
      <c r="U37" s="715">
        <f t="shared" si="11"/>
        <v>100</v>
      </c>
      <c r="V37" s="714" t="s">
        <v>17</v>
      </c>
      <c r="W37" s="715">
        <f t="shared" si="12"/>
        <v>100</v>
      </c>
      <c r="X37" s="1489"/>
      <c r="Y37" s="3485" t="s">
        <v>2143</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85"/>
      <c r="Q38" s="1486">
        <f t="shared" si="14"/>
        <v>111</v>
      </c>
      <c r="R38" s="714" t="s">
        <v>17</v>
      </c>
      <c r="S38" s="715">
        <f t="shared" si="10"/>
        <v>100</v>
      </c>
      <c r="T38" s="714" t="s">
        <v>17</v>
      </c>
      <c r="U38" s="715">
        <f t="shared" si="11"/>
        <v>100</v>
      </c>
      <c r="V38" s="714" t="s">
        <v>17</v>
      </c>
      <c r="W38" s="715">
        <f t="shared" si="12"/>
        <v>100</v>
      </c>
      <c r="X38" s="1489"/>
      <c r="Y38" s="3485"/>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85"/>
      <c r="Q39" s="1486">
        <f t="shared" si="14"/>
        <v>111</v>
      </c>
      <c r="R39" s="714" t="s">
        <v>17</v>
      </c>
      <c r="S39" s="715">
        <f t="shared" si="10"/>
        <v>100</v>
      </c>
      <c r="T39" s="714" t="s">
        <v>17</v>
      </c>
      <c r="U39" s="715">
        <f t="shared" si="11"/>
        <v>100</v>
      </c>
      <c r="V39" s="714" t="s">
        <v>17</v>
      </c>
      <c r="W39" s="715">
        <f t="shared" si="12"/>
        <v>100</v>
      </c>
      <c r="X39" s="1489"/>
      <c r="Y39" s="3485"/>
      <c r="Z39" s="1490">
        <f t="shared" si="13"/>
        <v>111</v>
      </c>
      <c r="AA39" s="1487">
        <f t="shared" si="3"/>
        <v>1</v>
      </c>
      <c r="AB39" s="1487">
        <f t="shared" si="4"/>
        <v>1</v>
      </c>
      <c r="AC39" s="1487">
        <f t="shared" si="5"/>
        <v>1</v>
      </c>
    </row>
    <row r="40" spans="1:31" s="430" customFormat="1" ht="15.75" thickBot="1">
      <c r="A40" s="427"/>
      <c r="B40" s="1249">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85"/>
      <c r="Q40" s="1486">
        <f t="shared" si="14"/>
        <v>111</v>
      </c>
      <c r="R40" s="717" t="s">
        <v>17</v>
      </c>
      <c r="S40" s="718">
        <f t="shared" si="10"/>
        <v>100</v>
      </c>
      <c r="T40" s="717" t="s">
        <v>17</v>
      </c>
      <c r="U40" s="718">
        <f t="shared" si="11"/>
        <v>100</v>
      </c>
      <c r="V40" s="717" t="s">
        <v>17</v>
      </c>
      <c r="W40" s="718">
        <f t="shared" si="12"/>
        <v>100</v>
      </c>
      <c r="X40" s="719"/>
      <c r="Y40" s="3485"/>
      <c r="Z40" s="720">
        <f t="shared" si="13"/>
        <v>111</v>
      </c>
      <c r="AA40" s="1487">
        <f t="shared" si="3"/>
        <v>1</v>
      </c>
      <c r="AB40" s="1487">
        <f t="shared" si="4"/>
        <v>1</v>
      </c>
      <c r="AC40" s="1487">
        <f t="shared" si="5"/>
        <v>1</v>
      </c>
    </row>
    <row r="41" spans="1:31" ht="15">
      <c r="A41" s="438" t="s">
        <v>2298</v>
      </c>
      <c r="B41" s="2117" t="s">
        <v>2377</v>
      </c>
      <c r="C41" s="638" t="s">
        <v>1</v>
      </c>
      <c r="D41" s="440"/>
      <c r="E41" s="441"/>
      <c r="F41" s="442"/>
      <c r="G41" s="443"/>
      <c r="H41" s="444"/>
      <c r="I41" s="441"/>
      <c r="J41" s="444"/>
      <c r="K41" s="723"/>
      <c r="L41" s="2901"/>
      <c r="M41" s="2893"/>
      <c r="N41" s="2893"/>
      <c r="O41" s="2902"/>
      <c r="P41" s="3467" t="str">
        <f>A41</f>
        <v>成交单价</v>
      </c>
      <c r="Q41" s="3467"/>
      <c r="R41" s="3480">
        <f>E41</f>
        <v>0</v>
      </c>
      <c r="S41" s="3480"/>
      <c r="T41" s="3480">
        <f>G41</f>
        <v>0</v>
      </c>
      <c r="U41" s="3480"/>
      <c r="V41" s="3480">
        <f>I41</f>
        <v>0</v>
      </c>
      <c r="W41" s="3480"/>
      <c r="X41" s="699"/>
      <c r="Y41" s="721"/>
      <c r="Z41" s="699"/>
      <c r="AA41" s="699"/>
      <c r="AB41" s="699"/>
      <c r="AC41" s="699"/>
    </row>
    <row r="42" spans="1:31" ht="15.75" thickBot="1">
      <c r="A42" s="445" t="s">
        <v>2247</v>
      </c>
      <c r="B42" s="639"/>
      <c r="C42" s="448" t="e">
        <f>R43</f>
        <v>#DIV/0!</v>
      </c>
      <c r="D42" s="2487" t="s">
        <v>2637</v>
      </c>
      <c r="E42" s="448" t="e">
        <f>R42</f>
        <v>#DIV/0!</v>
      </c>
      <c r="F42" s="2488"/>
      <c r="G42" s="447" t="e">
        <f>T42</f>
        <v>#DIV/0!</v>
      </c>
      <c r="H42" s="2488"/>
      <c r="I42" s="448" t="e">
        <f>V42</f>
        <v>#DIV/0!</v>
      </c>
      <c r="J42" s="2488"/>
      <c r="K42" s="2490">
        <f>F42+H42+J42</f>
        <v>0</v>
      </c>
      <c r="L42" s="2901"/>
      <c r="M42" s="2893"/>
      <c r="N42" s="2893"/>
      <c r="O42" s="2902"/>
      <c r="P42" s="3467" t="str">
        <f>A42</f>
        <v>比较价值（元/平方米）</v>
      </c>
      <c r="Q42" s="3467"/>
      <c r="R42" s="3486" t="e">
        <f>ROUND(PRODUCT(R41,AA7:AA40),0)</f>
        <v>#DIV/0!</v>
      </c>
      <c r="S42" s="3486"/>
      <c r="T42" s="3486" t="e">
        <f>ROUND(PRODUCT(T41,AB7:AB40),0)</f>
        <v>#DIV/0!</v>
      </c>
      <c r="U42" s="3486"/>
      <c r="V42" s="3486" t="e">
        <f>ROUND(PRODUCT(V41,AC7:AC40),0)</f>
        <v>#DIV/0!</v>
      </c>
      <c r="W42" s="3486"/>
      <c r="X42" s="699"/>
      <c r="Y42" s="699"/>
      <c r="Z42" s="699"/>
      <c r="AA42" s="699"/>
      <c r="AB42" s="699"/>
      <c r="AC42" s="699"/>
    </row>
    <row r="43" spans="1:31" ht="15.75" thickBot="1">
      <c r="A43" s="449" t="s">
        <v>2248</v>
      </c>
      <c r="B43" s="450"/>
      <c r="C43" s="451" t="e">
        <f>R43</f>
        <v>#DIV/0!</v>
      </c>
      <c r="D43" s="451"/>
      <c r="E43" s="451"/>
      <c r="F43" s="451"/>
      <c r="G43" s="451"/>
      <c r="H43" s="451"/>
      <c r="I43" s="451"/>
      <c r="J43" s="451"/>
      <c r="K43" s="724"/>
      <c r="L43" s="2901"/>
      <c r="M43" s="2893"/>
      <c r="N43" s="2893"/>
      <c r="O43" s="2902"/>
      <c r="P43" s="3487" t="str">
        <f>A43</f>
        <v>估价对象XX用房的比较价值（楼面单价，元/平方米）</v>
      </c>
      <c r="Q43" s="3488"/>
      <c r="R43" s="3489" t="e">
        <f>ROUND(IF(D42="简单平均",AVERAGE(R42:W42),R42*F42+T42*H42+V42*J42),0)</f>
        <v>#DIV/0!</v>
      </c>
      <c r="S43" s="3489"/>
      <c r="T43" s="3489"/>
      <c r="U43" s="3489"/>
      <c r="V43" s="3489"/>
      <c r="W43" s="3489"/>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2249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2336</v>
      </c>
      <c r="B50" s="641" t="s">
        <v>2337</v>
      </c>
      <c r="C50" s="2118" t="s">
        <v>2338</v>
      </c>
      <c r="D50" s="2119" t="s">
        <v>2339</v>
      </c>
      <c r="E50" s="642" t="s">
        <v>2340</v>
      </c>
      <c r="F50" s="643" t="s">
        <v>2341</v>
      </c>
      <c r="G50" s="3468" t="s">
        <v>2342</v>
      </c>
      <c r="H50" s="3490"/>
      <c r="I50" s="1490" t="s">
        <v>2378</v>
      </c>
      <c r="J50" s="1490">
        <f>项目基本情况!F35</f>
        <v>0</v>
      </c>
      <c r="K50" s="2121" t="s">
        <v>2344</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2345</v>
      </c>
      <c r="B51" s="645" t="e">
        <f>C43</f>
        <v>#DIV/0!</v>
      </c>
      <c r="C51" s="646">
        <v>1</v>
      </c>
      <c r="D51" s="1056">
        <v>1</v>
      </c>
      <c r="E51" s="646">
        <f>'数据-汇总表'!E8+'数据-汇总表'!E9</f>
        <v>6199.09</v>
      </c>
      <c r="F51" s="647" t="e">
        <f t="shared" ref="F51:F60" si="15">ROUND(B51*E51/10000,0)</f>
        <v>#DIV/0!</v>
      </c>
      <c r="G51" s="3491"/>
      <c r="H51" s="3467"/>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2346</v>
      </c>
      <c r="B52" s="224" t="e">
        <f>ROUND($C$43*C52*D52,0)</f>
        <v>#DIV/0!</v>
      </c>
      <c r="C52" s="176">
        <f t="shared" ref="C52:C60" si="16">IF($C$50="北京市系数",I52,J52)</f>
        <v>0</v>
      </c>
      <c r="D52" s="1057">
        <v>0.25</v>
      </c>
      <c r="E52" s="650"/>
      <c r="F52" s="647" t="e">
        <f t="shared" si="15"/>
        <v>#DIV/0!</v>
      </c>
      <c r="G52" s="3226" t="s">
        <v>2347</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2348</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2349</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2350</v>
      </c>
      <c r="B56" s="224" t="e">
        <f t="shared" si="17"/>
        <v>#DIV/0!</v>
      </c>
      <c r="C56" s="176">
        <f t="shared" si="16"/>
        <v>0</v>
      </c>
      <c r="D56" s="1057">
        <v>0.25</v>
      </c>
      <c r="E56" s="223">
        <f>'数据-汇总表'!E11</f>
        <v>0</v>
      </c>
      <c r="F56" s="647" t="e">
        <f t="shared" si="15"/>
        <v>#DIV/0!</v>
      </c>
      <c r="G56" s="2122" t="s">
        <v>2351</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2352</v>
      </c>
      <c r="B57" s="224" t="e">
        <f t="shared" si="17"/>
        <v>#DIV/0!</v>
      </c>
      <c r="C57" s="176">
        <f t="shared" si="16"/>
        <v>0</v>
      </c>
      <c r="D57" s="1057">
        <v>0.25</v>
      </c>
      <c r="E57" s="223">
        <f>'数据-汇总表'!E12</f>
        <v>0</v>
      </c>
      <c r="F57" s="647" t="e">
        <f t="shared" si="15"/>
        <v>#DIV/0!</v>
      </c>
      <c r="G57" s="1004" t="s">
        <v>2353</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2354</v>
      </c>
      <c r="B58" s="224" t="e">
        <f t="shared" si="17"/>
        <v>#DIV/0!</v>
      </c>
      <c r="C58" s="176">
        <f t="shared" si="16"/>
        <v>0</v>
      </c>
      <c r="D58" s="1057">
        <v>0.25</v>
      </c>
      <c r="E58" s="223">
        <f>'数据-汇总表'!E13</f>
        <v>0</v>
      </c>
      <c r="F58" s="647" t="e">
        <f t="shared" si="15"/>
        <v>#DIV/0!</v>
      </c>
      <c r="G58" s="1004" t="s">
        <v>2355</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2356</v>
      </c>
      <c r="B59" s="224" t="e">
        <f t="shared" si="17"/>
        <v>#DIV/0!</v>
      </c>
      <c r="C59" s="176">
        <f t="shared" si="16"/>
        <v>0</v>
      </c>
      <c r="D59" s="1057">
        <v>0.25</v>
      </c>
      <c r="E59" s="223">
        <f>'数据-汇总表'!E14</f>
        <v>0</v>
      </c>
      <c r="F59" s="647" t="e">
        <f t="shared" si="15"/>
        <v>#DIV/0!</v>
      </c>
      <c r="G59" s="2122" t="s">
        <v>2347</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2357</v>
      </c>
      <c r="B60" s="224" t="e">
        <f t="shared" si="17"/>
        <v>#DIV/0!</v>
      </c>
      <c r="C60" s="176">
        <f t="shared" si="16"/>
        <v>0</v>
      </c>
      <c r="D60" s="1057">
        <v>0.25</v>
      </c>
      <c r="E60" s="223">
        <f>'数据-汇总表'!E15</f>
        <v>0</v>
      </c>
      <c r="F60" s="647" t="e">
        <f t="shared" si="15"/>
        <v>#DIV/0!</v>
      </c>
      <c r="G60" s="2123" t="s">
        <v>2351</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2358</v>
      </c>
      <c r="B61" s="652" t="s">
        <v>28</v>
      </c>
      <c r="C61" s="652" t="s">
        <v>29</v>
      </c>
      <c r="D61" s="652" t="s">
        <v>816</v>
      </c>
      <c r="E61" s="652">
        <f>IF(B41="楼面地价",SUM(E51:E60),'数据-汇总表'!D3)</f>
        <v>4132.7299999999996</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2022-12-1</v>
      </c>
      <c r="D63" s="701">
        <f>EDATE(C63,-3)</f>
        <v>44805</v>
      </c>
      <c r="E63" s="701">
        <f>EDATE(D63,-3)</f>
        <v>44713</v>
      </c>
      <c r="F63" s="701">
        <f t="shared" ref="F63:O63" si="18">EDATE(E63,-3)</f>
        <v>44621</v>
      </c>
      <c r="G63" s="701">
        <f t="shared" si="18"/>
        <v>44531</v>
      </c>
      <c r="H63" s="701">
        <f t="shared" si="18"/>
        <v>44440</v>
      </c>
      <c r="I63" s="701">
        <f t="shared" si="18"/>
        <v>44348</v>
      </c>
      <c r="J63" s="701">
        <f t="shared" si="18"/>
        <v>44256</v>
      </c>
      <c r="K63" s="701">
        <f t="shared" si="18"/>
        <v>44166</v>
      </c>
      <c r="L63" s="701">
        <f t="shared" si="18"/>
        <v>44075</v>
      </c>
      <c r="M63" s="701">
        <f t="shared" si="18"/>
        <v>43983</v>
      </c>
      <c r="N63" s="701">
        <f t="shared" si="18"/>
        <v>43891</v>
      </c>
      <c r="O63" s="701">
        <f t="shared" si="18"/>
        <v>43800</v>
      </c>
      <c r="P63" s="2902"/>
      <c r="Q63" s="2902"/>
      <c r="R63" s="2902"/>
      <c r="S63" s="2902"/>
      <c r="T63" s="2902"/>
      <c r="U63" s="2902"/>
      <c r="V63" s="2902"/>
      <c r="W63" s="2902"/>
      <c r="X63" s="2902"/>
      <c r="Y63" s="2902"/>
      <c r="Z63" s="2902"/>
      <c r="AA63" s="2902"/>
      <c r="AB63" s="2902"/>
      <c r="AC63" s="2902"/>
      <c r="AD63" s="2902"/>
      <c r="AE63" s="2902"/>
    </row>
    <row r="64" spans="1:31" ht="21.75" thickBot="1">
      <c r="A64" s="703" t="s">
        <v>2252</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4" t="s">
        <v>2359</v>
      </c>
      <c r="B65" s="1222"/>
      <c r="C65" s="1296" t="str">
        <f>YEAR(C63)&amp;"-"&amp;ROUNDUP(MONTH(C63)/3,0)</f>
        <v>2022-4</v>
      </c>
      <c r="D65" s="1296" t="str">
        <f t="shared" ref="D65:O65" si="19">YEAR(D63)&amp;"-"&amp;ROUNDUP(MONTH(D63)/3,0)</f>
        <v>2022-3</v>
      </c>
      <c r="E65" s="1296" t="str">
        <f t="shared" si="19"/>
        <v>2022-2</v>
      </c>
      <c r="F65" s="1296" t="str">
        <f t="shared" si="19"/>
        <v>2022-1</v>
      </c>
      <c r="G65" s="1296" t="str">
        <f t="shared" si="19"/>
        <v>2021-4</v>
      </c>
      <c r="H65" s="1296" t="str">
        <f t="shared" si="19"/>
        <v>2021-3</v>
      </c>
      <c r="I65" s="1296" t="str">
        <f t="shared" si="19"/>
        <v>2021-2</v>
      </c>
      <c r="J65" s="1296" t="str">
        <f t="shared" si="19"/>
        <v>2021-1</v>
      </c>
      <c r="K65" s="1296" t="str">
        <f t="shared" si="19"/>
        <v>2020-4</v>
      </c>
      <c r="L65" s="1296" t="str">
        <f t="shared" si="19"/>
        <v>2020-3</v>
      </c>
      <c r="M65" s="1296" t="str">
        <f t="shared" si="19"/>
        <v>2020-2</v>
      </c>
      <c r="N65" s="1296" t="str">
        <f t="shared" si="19"/>
        <v>2020-1</v>
      </c>
      <c r="O65" s="1296" t="str">
        <f t="shared" si="19"/>
        <v>2019-4</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2379</v>
      </c>
      <c r="B66" s="294" t="str">
        <f>"北京市平均增长率"&amp;TEXT(基准地价修正!P24,"0.00%")</f>
        <v>北京市平均增长率0.00%</v>
      </c>
      <c r="C66" s="560">
        <v>100</v>
      </c>
      <c r="D66" s="552"/>
      <c r="E66" s="552"/>
      <c r="F66" s="552"/>
      <c r="G66" s="552"/>
      <c r="H66" s="552"/>
      <c r="I66" s="552"/>
      <c r="J66" s="552"/>
      <c r="K66" s="552"/>
      <c r="L66" s="552"/>
      <c r="M66" s="1293"/>
      <c r="N66" s="1293"/>
      <c r="O66" s="1294"/>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2163</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2128</v>
      </c>
      <c r="B68" s="467"/>
      <c r="C68" s="479" t="s">
        <v>2230</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2166</v>
      </c>
      <c r="B70" s="485" t="s">
        <v>2132</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2135</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2137</v>
      </c>
      <c r="B83" s="485" t="s">
        <v>2283</v>
      </c>
      <c r="C83" s="530" t="s">
        <v>2175</v>
      </c>
      <c r="D83" s="530" t="s">
        <v>2176</v>
      </c>
      <c r="E83" s="530" t="s">
        <v>2177</v>
      </c>
      <c r="F83" s="530" t="s">
        <v>2178</v>
      </c>
      <c r="G83" s="530" t="s">
        <v>2179</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2180</v>
      </c>
      <c r="C85" s="535" t="s">
        <v>2175</v>
      </c>
      <c r="D85" s="535" t="s">
        <v>2176</v>
      </c>
      <c r="E85" s="535" t="s">
        <v>2177</v>
      </c>
      <c r="F85" s="535" t="s">
        <v>2178</v>
      </c>
      <c r="G85" s="535" t="s">
        <v>2179</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2362</v>
      </c>
      <c r="C87" s="530" t="s">
        <v>2175</v>
      </c>
      <c r="D87" s="530" t="s">
        <v>2176</v>
      </c>
      <c r="E87" s="530" t="s">
        <v>2177</v>
      </c>
      <c r="F87" s="530" t="s">
        <v>2178</v>
      </c>
      <c r="G87" s="530" t="s">
        <v>2179</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2363</v>
      </c>
      <c r="C89" s="530" t="s">
        <v>2175</v>
      </c>
      <c r="D89" s="530" t="s">
        <v>2176</v>
      </c>
      <c r="E89" s="530" t="s">
        <v>2177</v>
      </c>
      <c r="F89" s="530" t="s">
        <v>2178</v>
      </c>
      <c r="G89" s="530" t="s">
        <v>2179</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2232</v>
      </c>
      <c r="C91" s="530" t="s">
        <v>2175</v>
      </c>
      <c r="D91" s="530" t="s">
        <v>2176</v>
      </c>
      <c r="E91" s="530" t="s">
        <v>2177</v>
      </c>
      <c r="F91" s="530" t="s">
        <v>2178</v>
      </c>
      <c r="G91" s="530" t="s">
        <v>2179</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2380</v>
      </c>
      <c r="C93" s="616" t="s">
        <v>2253</v>
      </c>
      <c r="D93" s="616" t="s">
        <v>2254</v>
      </c>
      <c r="E93" s="616" t="s">
        <v>2255</v>
      </c>
      <c r="F93" s="616" t="s">
        <v>2256</v>
      </c>
      <c r="G93" s="616" t="s">
        <v>2257</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2364</v>
      </c>
      <c r="D95" s="496" t="s">
        <v>2365</v>
      </c>
      <c r="E95" s="496" t="s">
        <v>2366</v>
      </c>
      <c r="F95" s="496" t="s">
        <v>2367</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2269</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2328</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2141</v>
      </c>
      <c r="B107" s="485" t="s">
        <v>2368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2369</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2371</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2372</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1" priority="18" stopIfTrue="1" operator="containsText" text="超过">
      <formula>NOT(ISERROR(SEARCH("超过",F46)))</formula>
    </cfRule>
  </conditionalFormatting>
  <conditionalFormatting sqref="J48">
    <cfRule type="containsText" dxfId="40" priority="17" stopIfTrue="1" operator="containsText" text="超过">
      <formula>NOT(ISERROR(SEARCH("超过",J48)))</formula>
    </cfRule>
  </conditionalFormatting>
  <conditionalFormatting sqref="H48">
    <cfRule type="containsText" dxfId="39" priority="16" stopIfTrue="1" operator="containsText" text="超过">
      <formula>NOT(ISERROR(SEARCH("超过",H48)))</formula>
    </cfRule>
  </conditionalFormatting>
  <conditionalFormatting sqref="F48">
    <cfRule type="containsText" dxfId="38" priority="15" stopIfTrue="1" operator="containsText" text="超过">
      <formula>NOT(ISERROR(SEARCH("超过",F48)))</formula>
    </cfRule>
  </conditionalFormatting>
  <conditionalFormatting sqref="F47 H47 J47">
    <cfRule type="containsText" dxfId="37" priority="14" stopIfTrue="1" operator="containsText" text="超过">
      <formula>NOT(ISERROR(SEARCH("超过",F47)))</formula>
    </cfRule>
  </conditionalFormatting>
  <conditionalFormatting sqref="E46">
    <cfRule type="expression" dxfId="36" priority="13" stopIfTrue="1">
      <formula>$F$46="超过30%"</formula>
    </cfRule>
  </conditionalFormatting>
  <conditionalFormatting sqref="G48">
    <cfRule type="expression" dxfId="35" priority="12" stopIfTrue="1">
      <formula>$H$48="超过30%"</formula>
    </cfRule>
  </conditionalFormatting>
  <conditionalFormatting sqref="E48">
    <cfRule type="expression" dxfId="34" priority="10" stopIfTrue="1">
      <formula>$F$48="超过30%"</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I46">
    <cfRule type="expression" dxfId="31" priority="7" stopIfTrue="1">
      <formula>$J$46="超过30%"</formula>
    </cfRule>
  </conditionalFormatting>
  <conditionalFormatting sqref="I47">
    <cfRule type="expression" dxfId="30" priority="6" stopIfTrue="1">
      <formula>$J$47="超过20%"</formula>
    </cfRule>
  </conditionalFormatting>
  <conditionalFormatting sqref="I48">
    <cfRule type="expression" dxfId="29" priority="5" stopIfTrue="1">
      <formula>$J$48="超过30%"</formula>
    </cfRule>
  </conditionalFormatting>
  <conditionalFormatting sqref="E47">
    <cfRule type="expression" dxfId="28" priority="53" stopIfTrue="1">
      <formula>#REF!+$F$47="超过20%"</formula>
    </cfRule>
  </conditionalFormatting>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F7:F40 H7:H40 J7:J40">
    <cfRule type="cellIs" dxfId="2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5" customWidth="1"/>
    <col min="33" max="36" width="9.375" style="2199" customWidth="1"/>
    <col min="37" max="38" width="9.375" style="2133" customWidth="1"/>
    <col min="39" max="16384" width="12" style="2133"/>
  </cols>
  <sheetData>
    <row r="1" spans="1:36" ht="28.5">
      <c r="A1" s="202" t="s">
        <v>2381</v>
      </c>
      <c r="B1" s="203"/>
      <c r="C1" s="207" t="s">
        <v>2382</v>
      </c>
      <c r="D1" s="348">
        <f>SUM(D29:D30,D33:D39)</f>
        <v>0</v>
      </c>
      <c r="E1" s="2130"/>
      <c r="F1" s="2130"/>
      <c r="G1" s="2130"/>
      <c r="H1" s="2130"/>
      <c r="I1" s="2130"/>
      <c r="J1" s="2130"/>
      <c r="K1" s="1233"/>
      <c r="L1" s="2131" t="s">
        <v>2383</v>
      </c>
      <c r="M1" s="975">
        <f>SUMPRODUCT((区片价!B5:B9=I2)*(区片价!C3:F3=E2)*(区片价!C5:F9))</f>
        <v>0</v>
      </c>
      <c r="N1" s="978">
        <f>SUMPRODUCT((因素修正幅度!B5:B9=I2)*(因素修正幅度!C3:F3=E2)*(因素修正幅度!C5:F9))</f>
        <v>0</v>
      </c>
      <c r="O1" s="2132"/>
      <c r="P1" s="2132"/>
      <c r="Q1" s="1233"/>
      <c r="R1" s="1326" t="s">
        <v>2384</v>
      </c>
      <c r="S1" s="1326" t="s">
        <v>2385</v>
      </c>
      <c r="T1" s="1326" t="s">
        <v>2386</v>
      </c>
      <c r="U1" s="1326" t="s">
        <v>2387</v>
      </c>
      <c r="V1" s="1326" t="s">
        <v>2388</v>
      </c>
      <c r="W1" s="1330"/>
      <c r="X1" s="1330"/>
      <c r="Y1" s="1330"/>
      <c r="Z1" s="1330"/>
      <c r="AA1" s="1330"/>
      <c r="AB1" s="1330"/>
      <c r="AC1" s="1331"/>
      <c r="AD1" s="1332"/>
      <c r="AE1" s="1332"/>
      <c r="AF1" s="1332"/>
      <c r="AG1" s="1332"/>
      <c r="AH1" s="1332"/>
      <c r="AI1" s="1332"/>
      <c r="AJ1" s="1333"/>
    </row>
    <row r="2" spans="1:36" ht="15.75">
      <c r="A2" s="207" t="s">
        <v>2389</v>
      </c>
      <c r="B2" s="210" t="e">
        <f>C26</f>
        <v>#DIV/0!</v>
      </c>
      <c r="C2" s="2134" t="s">
        <v>2390</v>
      </c>
      <c r="D2" s="2135" t="s">
        <v>2391</v>
      </c>
      <c r="E2" s="2136"/>
      <c r="F2" s="2135" t="s">
        <v>2392</v>
      </c>
      <c r="G2" s="2137">
        <f>IF(E2="商业",项目基本情况!B37,IF(E2="办公",项目基本情况!C37,IF(E2="住宅",项目基本情况!D37,项目基本情况!E37)))</f>
        <v>0</v>
      </c>
      <c r="H2" s="2135" t="s">
        <v>2393</v>
      </c>
      <c r="I2" s="2137">
        <f>IF(E2="商业",项目基本情况!B38,IF(E2="办公",项目基本情况!C38,IF(E2="住宅",项目基本情况!D38,项目基本情况!E38)))</f>
        <v>0</v>
      </c>
      <c r="J2" s="2138"/>
      <c r="K2" s="1233"/>
      <c r="L2" s="2139" t="s">
        <v>2394</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2395</v>
      </c>
      <c r="B3" s="210" t="e">
        <f>ROUND(B2*10000/D1,0)</f>
        <v>#DIV/0!</v>
      </c>
      <c r="C3" s="2134" t="s">
        <v>2396</v>
      </c>
      <c r="D3" s="2135" t="s">
        <v>2397</v>
      </c>
      <c r="E3" s="2140"/>
      <c r="F3" s="2141" t="s">
        <v>2398</v>
      </c>
      <c r="G3" s="837">
        <f>IF(F3="宗地容积率",'数据-汇总表'!I4,IF(F3="估价对象容积率",'数据-汇总表'!I6,'数据-汇总表'!I7))</f>
        <v>1.5</v>
      </c>
      <c r="H3" s="175" t="s">
        <v>2399</v>
      </c>
      <c r="I3" s="862"/>
      <c r="J3" s="2138" t="s">
        <v>2400</v>
      </c>
      <c r="K3" s="1233"/>
      <c r="L3" s="2139" t="s">
        <v>2401</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67"/>
      <c r="B4" s="3568"/>
      <c r="C4" s="3568"/>
      <c r="D4" s="3569"/>
      <c r="E4" s="3569"/>
      <c r="F4" s="3569"/>
      <c r="G4" s="3569"/>
      <c r="H4" s="3569"/>
      <c r="I4" s="3569"/>
      <c r="J4" s="3570"/>
      <c r="K4" s="1233"/>
      <c r="L4" s="2139" t="s">
        <v>2402</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2403</v>
      </c>
      <c r="C5" s="838" t="e">
        <f>ROUND(IF(E2="商业",C6*C7+C16,(IF(E2="住宅",C6*C12+C16,C6+C16))),0)</f>
        <v>#DIV/0!</v>
      </c>
      <c r="D5" s="1473" t="e">
        <f>ROUND(C6+C16,0)</f>
        <v>#DIV/0!</v>
      </c>
      <c r="E5" s="1473"/>
      <c r="F5" s="2144"/>
      <c r="G5" s="2145"/>
      <c r="H5" s="2145"/>
      <c r="I5" s="2145"/>
      <c r="J5" s="2146"/>
      <c r="K5" s="2147"/>
      <c r="L5" s="2139" t="s">
        <v>2404</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2405</v>
      </c>
      <c r="B6" s="2153" t="s">
        <v>2406</v>
      </c>
      <c r="C6" s="839">
        <f>SUMIF(L1:L12,G2,M1:M12)</f>
        <v>0</v>
      </c>
      <c r="D6" s="2154" t="s">
        <v>2407</v>
      </c>
      <c r="E6" s="2155"/>
      <c r="F6" s="2155"/>
      <c r="G6" s="2156"/>
      <c r="H6" s="2156"/>
      <c r="I6" s="2156"/>
      <c r="J6" s="2157"/>
      <c r="K6" s="1518"/>
      <c r="L6" s="2139" t="s">
        <v>2408</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48" t="str">
        <f>IF(E2="商业",IF(C8="不临58条商业街","",2),"")</f>
        <v/>
      </c>
      <c r="B7" s="2158" t="s">
        <v>2409</v>
      </c>
      <c r="C7" s="840" t="e">
        <f>IF(C8="不临58条商业街",1,ROUND(1+(1.6*E8+1.2*E9+0.8*E10+0.4*E11)*C9,4))</f>
        <v>#DIV/0!</v>
      </c>
      <c r="D7" s="2159" t="s">
        <v>2410</v>
      </c>
      <c r="E7" s="863"/>
      <c r="F7" s="2160"/>
      <c r="G7" s="2161"/>
      <c r="H7" s="2161"/>
      <c r="I7" s="2161"/>
      <c r="J7" s="2162"/>
      <c r="K7" s="1518"/>
      <c r="L7" s="2139" t="s">
        <v>2411</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2412</v>
      </c>
      <c r="X7" s="1328">
        <f>G2</f>
        <v>0</v>
      </c>
      <c r="Y7" s="1328" t="s">
        <v>2413</v>
      </c>
      <c r="Z7" s="1329">
        <f>G3</f>
        <v>1.5</v>
      </c>
      <c r="AA7" s="1330"/>
      <c r="AB7" s="1330"/>
      <c r="AC7" s="1331"/>
      <c r="AD7" s="1332"/>
      <c r="AE7" s="1332"/>
      <c r="AF7" s="1332"/>
      <c r="AG7" s="1332"/>
      <c r="AH7" s="1332"/>
      <c r="AI7" s="1332"/>
      <c r="AJ7" s="1333"/>
    </row>
    <row r="8" spans="1:36" ht="15">
      <c r="A8" s="3571"/>
      <c r="B8" s="175" t="s">
        <v>2414</v>
      </c>
      <c r="C8" s="2163"/>
      <c r="D8" s="841" t="s">
        <v>139</v>
      </c>
      <c r="E8" s="842" t="e">
        <f>ROUND(C11/E7,4)</f>
        <v>#DIV/0!</v>
      </c>
      <c r="F8" s="2164" t="s">
        <v>2415</v>
      </c>
      <c r="G8" s="2165"/>
      <c r="H8" s="2165"/>
      <c r="I8" s="2165"/>
      <c r="J8" s="2166"/>
      <c r="K8" s="1233"/>
      <c r="L8" s="2139" t="s">
        <v>2416</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64" t="s">
        <v>2417</v>
      </c>
      <c r="X8" s="3565"/>
      <c r="Y8" s="1334" t="s">
        <v>2418</v>
      </c>
      <c r="Z8" s="1334" t="s">
        <v>2419</v>
      </c>
      <c r="AA8" s="1334" t="s">
        <v>2420</v>
      </c>
      <c r="AB8" s="1334" t="s">
        <v>2421</v>
      </c>
      <c r="AC8" s="1334" t="s">
        <v>2422</v>
      </c>
      <c r="AD8" s="1334" t="s">
        <v>2423</v>
      </c>
      <c r="AE8" s="1334" t="s">
        <v>2424</v>
      </c>
      <c r="AF8" s="1334" t="s">
        <v>2425</v>
      </c>
      <c r="AG8" s="1334" t="s">
        <v>2426</v>
      </c>
      <c r="AH8" s="1334" t="s">
        <v>2427</v>
      </c>
      <c r="AI8" s="1334" t="s">
        <v>2428</v>
      </c>
      <c r="AJ8" s="1334" t="s">
        <v>2429</v>
      </c>
    </row>
    <row r="9" spans="1:36" ht="15">
      <c r="A9" s="3571"/>
      <c r="B9" s="175" t="s">
        <v>2430</v>
      </c>
      <c r="C9" s="843">
        <f>SUMIF(修正!C71:C138,C8,修正!E71:E138)</f>
        <v>0</v>
      </c>
      <c r="D9" s="176" t="s">
        <v>140</v>
      </c>
      <c r="E9" s="176" t="e">
        <f>ROUND(C11/E7,4)</f>
        <v>#DIV/0!</v>
      </c>
      <c r="F9" s="2164" t="s">
        <v>2431</v>
      </c>
      <c r="G9" s="2165"/>
      <c r="H9" s="2165"/>
      <c r="I9" s="2165"/>
      <c r="J9" s="2166"/>
      <c r="K9" s="1233"/>
      <c r="L9" s="2139" t="s">
        <v>2432</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66" t="s">
        <v>2433</v>
      </c>
      <c r="X9" s="1335" t="s">
        <v>2434</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71"/>
      <c r="B10" s="175" t="s">
        <v>2435</v>
      </c>
      <c r="C10" s="176">
        <f>SUMIF(修正!C71:C138,C8,修正!F71:F138)</f>
        <v>0</v>
      </c>
      <c r="D10" s="176" t="s">
        <v>141</v>
      </c>
      <c r="E10" s="176" t="e">
        <f>ROUND(C11/E7,4)</f>
        <v>#DIV/0!</v>
      </c>
      <c r="F10" s="2164" t="s">
        <v>2436</v>
      </c>
      <c r="G10" s="2165"/>
      <c r="H10" s="2165"/>
      <c r="I10" s="2165"/>
      <c r="J10" s="2166"/>
      <c r="K10" s="1233"/>
      <c r="L10" s="2139" t="s">
        <v>2437</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66"/>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71"/>
      <c r="B11" s="2167" t="s">
        <v>2438</v>
      </c>
      <c r="C11" s="844">
        <f>C10/4</f>
        <v>0</v>
      </c>
      <c r="D11" s="844" t="s">
        <v>142</v>
      </c>
      <c r="E11" s="844" t="e">
        <f>ROUND(C11/E7,4)</f>
        <v>#DIV/0!</v>
      </c>
      <c r="F11" s="2168" t="s">
        <v>2439</v>
      </c>
      <c r="G11" s="2169"/>
      <c r="H11" s="2169"/>
      <c r="I11" s="2169"/>
      <c r="J11" s="2170"/>
      <c r="K11" s="1233"/>
      <c r="L11" s="2139" t="s">
        <v>2440</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66" t="s">
        <v>2441</v>
      </c>
      <c r="X11" s="1338" t="s">
        <v>2442</v>
      </c>
      <c r="Y11" s="1339">
        <f>$G$3</f>
        <v>1.5</v>
      </c>
      <c r="Z11" s="1339">
        <f t="shared" ref="Z11:AJ11" si="3">$G$3</f>
        <v>1.5</v>
      </c>
      <c r="AA11" s="1339">
        <f t="shared" si="3"/>
        <v>1.5</v>
      </c>
      <c r="AB11" s="1339">
        <f t="shared" si="3"/>
        <v>1.5</v>
      </c>
      <c r="AC11" s="1339">
        <f t="shared" si="3"/>
        <v>1.5</v>
      </c>
      <c r="AD11" s="1339">
        <f t="shared" si="3"/>
        <v>1.5</v>
      </c>
      <c r="AE11" s="1339">
        <f t="shared" si="3"/>
        <v>1.5</v>
      </c>
      <c r="AF11" s="1339">
        <f t="shared" si="3"/>
        <v>1.5</v>
      </c>
      <c r="AG11" s="1339">
        <f t="shared" si="3"/>
        <v>1.5</v>
      </c>
      <c r="AH11" s="1339">
        <f t="shared" si="3"/>
        <v>1.5</v>
      </c>
      <c r="AI11" s="1339">
        <f t="shared" si="3"/>
        <v>1.5</v>
      </c>
      <c r="AJ11" s="1339">
        <f t="shared" si="3"/>
        <v>1.5</v>
      </c>
    </row>
    <row r="12" spans="1:36" ht="25.5" thickBot="1">
      <c r="A12" s="3548" t="s">
        <v>2443</v>
      </c>
      <c r="B12" s="2171" t="s">
        <v>2444</v>
      </c>
      <c r="C12" s="840">
        <f>ROUND(C15*D15*E15*F15*G15*H15*I15*J15,4)</f>
        <v>1</v>
      </c>
      <c r="D12" s="2172" t="s">
        <v>2445</v>
      </c>
      <c r="E12" s="2173"/>
      <c r="F12" s="2173"/>
      <c r="G12" s="2174"/>
      <c r="H12" s="2174"/>
      <c r="I12" s="2174"/>
      <c r="J12" s="2175"/>
      <c r="K12" s="1233"/>
      <c r="L12" s="2176" t="s">
        <v>2446</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66"/>
      <c r="X12" s="1340" t="s">
        <v>2447</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72"/>
      <c r="B13" s="2177" t="s">
        <v>2448</v>
      </c>
      <c r="C13" s="2178" t="s">
        <v>2449</v>
      </c>
      <c r="D13" s="1484" t="s">
        <v>2450</v>
      </c>
      <c r="E13" s="1484" t="s">
        <v>2451</v>
      </c>
      <c r="F13" s="30" t="s">
        <v>2452</v>
      </c>
      <c r="G13" s="2179" t="s">
        <v>2453</v>
      </c>
      <c r="H13" s="2179" t="s">
        <v>2453</v>
      </c>
      <c r="I13" s="2179" t="s">
        <v>2453</v>
      </c>
      <c r="J13" s="2180" t="s">
        <v>2453</v>
      </c>
      <c r="K13" s="1233"/>
      <c r="L13" s="1233"/>
      <c r="M13" s="1233"/>
      <c r="N13" s="1233"/>
      <c r="O13" s="1233"/>
      <c r="P13" s="1233"/>
      <c r="Q13" s="1233"/>
      <c r="R13" s="1326">
        <v>12</v>
      </c>
      <c r="S13" s="1327"/>
      <c r="T13" s="1326" t="e">
        <f t="shared" si="0"/>
        <v>#DIV/0!</v>
      </c>
      <c r="U13" s="1327"/>
      <c r="V13" s="1326" t="e">
        <f t="shared" si="1"/>
        <v>#DIV/0!</v>
      </c>
      <c r="W13" s="3566"/>
      <c r="X13" s="1340"/>
      <c r="Y13" s="1337">
        <f>(-0.163*(Y12^2)-0.59*Y12+7617)*(10^(-4))/Y11</f>
        <v>0.50780000000000003</v>
      </c>
      <c r="Z13" s="1337">
        <f t="shared" ref="Z13:AJ13" si="5">(-0.163*(Z12^2)-0.59*Z12+7617)*(10^(-4))/Z11</f>
        <v>0.50780000000000003</v>
      </c>
      <c r="AA13" s="1337">
        <f t="shared" si="5"/>
        <v>0.50780000000000003</v>
      </c>
      <c r="AB13" s="1337">
        <f t="shared" si="5"/>
        <v>0.50780000000000003</v>
      </c>
      <c r="AC13" s="1337">
        <f t="shared" si="5"/>
        <v>0.50780000000000003</v>
      </c>
      <c r="AD13" s="1337">
        <f t="shared" si="5"/>
        <v>0.50780000000000003</v>
      </c>
      <c r="AE13" s="1337">
        <f t="shared" si="5"/>
        <v>0.50780000000000003</v>
      </c>
      <c r="AF13" s="1337">
        <f t="shared" si="5"/>
        <v>0.50780000000000003</v>
      </c>
      <c r="AG13" s="1337">
        <f t="shared" si="5"/>
        <v>0.50780000000000003</v>
      </c>
      <c r="AH13" s="1337">
        <f t="shared" si="5"/>
        <v>0.50780000000000003</v>
      </c>
      <c r="AI13" s="1337">
        <f t="shared" si="5"/>
        <v>0.50780000000000003</v>
      </c>
      <c r="AJ13" s="1337">
        <f t="shared" si="5"/>
        <v>0.50780000000000003</v>
      </c>
    </row>
    <row r="14" spans="1:36" ht="15">
      <c r="A14" s="3572"/>
      <c r="B14" s="2181"/>
      <c r="C14" s="2182"/>
      <c r="D14" s="2183"/>
      <c r="E14" s="2183"/>
      <c r="F14" s="2184"/>
      <c r="G14" s="2185" t="s">
        <v>2454</v>
      </c>
      <c r="H14" s="2186"/>
      <c r="I14" s="2187"/>
      <c r="J14" s="2188"/>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573"/>
      <c r="B15" s="2189" t="s">
        <v>2455</v>
      </c>
      <c r="C15" s="193">
        <f>IF(C14="有",1.1,1)</f>
        <v>1</v>
      </c>
      <c r="D15" s="193">
        <f>IF(D14="有",1.1,1)</f>
        <v>1</v>
      </c>
      <c r="E15" s="193">
        <f>IF(E14="有",1.1,1)</f>
        <v>1</v>
      </c>
      <c r="F15" s="193">
        <f>IF(F14="500米范围内",1.2,IF(F14="500-1000米",1.1,1))</f>
        <v>1</v>
      </c>
      <c r="G15" s="864">
        <v>1</v>
      </c>
      <c r="H15" s="864">
        <v>1</v>
      </c>
      <c r="I15" s="864">
        <v>1</v>
      </c>
      <c r="J15" s="865">
        <v>1</v>
      </c>
      <c r="K15" s="1233"/>
      <c r="L15" s="2132"/>
      <c r="M15" s="2132"/>
      <c r="N15" s="2132"/>
      <c r="O15" s="2132"/>
      <c r="P15" s="2132"/>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548" t="s">
        <v>2460</v>
      </c>
      <c r="B16" s="2158" t="s">
        <v>2461</v>
      </c>
      <c r="C16" s="2320" t="e">
        <f>ROUND(IF(F17="与级别开发程度一致",0,(G17-E17)/C17),0)</f>
        <v>#DIV/0!</v>
      </c>
      <c r="D16" s="3561" t="s">
        <v>2465</v>
      </c>
      <c r="E16" s="3562"/>
      <c r="F16" s="3561" t="s">
        <v>2462</v>
      </c>
      <c r="G16" s="3562"/>
      <c r="H16" s="2190"/>
      <c r="I16" s="2190"/>
      <c r="J16" s="2324"/>
      <c r="K16" s="2190"/>
      <c r="L16" s="2190"/>
      <c r="M16" s="2190"/>
      <c r="N16" s="2190"/>
      <c r="O16" s="2191"/>
      <c r="P16" s="2132"/>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549"/>
      <c r="B17" s="2331" t="s">
        <v>2464</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3"/>
      <c r="R17" s="1233"/>
      <c r="S17" s="1233"/>
      <c r="T17" s="1233"/>
      <c r="U17" s="1233"/>
      <c r="V17" s="1233"/>
      <c r="W17" s="1233"/>
      <c r="X17" s="1233"/>
      <c r="Y17" s="1233"/>
      <c r="Z17" s="1234"/>
      <c r="AA17" s="1234"/>
      <c r="AB17" s="1234"/>
      <c r="AC17" s="1234"/>
      <c r="AD17" s="1234"/>
      <c r="AE17" s="1233"/>
      <c r="AF17" s="1233"/>
      <c r="AG17" s="2132"/>
      <c r="AH17" s="2132"/>
      <c r="AI17" s="2132"/>
      <c r="AJ17" s="2132"/>
    </row>
    <row r="18" spans="1:37" s="2151" customFormat="1" ht="15.75" thickBot="1">
      <c r="A18" s="2325" t="s">
        <v>627</v>
      </c>
      <c r="B18" s="2326" t="s">
        <v>2467</v>
      </c>
      <c r="C18" s="2327">
        <f>SUMIF(修正!C20:C51,E3,修正!E20:E51)</f>
        <v>0</v>
      </c>
      <c r="D18" s="2328"/>
      <c r="E18" s="2329"/>
      <c r="F18" s="2329"/>
      <c r="G18" s="2329"/>
      <c r="H18" s="2329"/>
      <c r="I18" s="2329"/>
      <c r="J18" s="2330"/>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89"/>
      <c r="AH18" s="2289"/>
      <c r="AI18" s="2289"/>
      <c r="AJ18" s="2967"/>
    </row>
    <row r="19" spans="1:37" s="2151" customFormat="1" ht="27.75" thickBot="1">
      <c r="A19" s="2195" t="s">
        <v>628</v>
      </c>
      <c r="B19" s="2196" t="s">
        <v>2468</v>
      </c>
      <c r="C19" s="845" t="e">
        <f>ROUND(IF(H19="按公示增长率计算",SUMPRODUCT((地价!A3:A37=YEAR(G19)&amp;"-"&amp;ROUNDUP(MONTH(G19)/3,0))*(地价!X2:AB2=E2)*(地价!X3:AB37)),IF(H19="地价指数",M20/M19,(1+I19)^O19)),4)</f>
        <v>#VALUE!</v>
      </c>
      <c r="D19" s="2200" t="s">
        <v>2469</v>
      </c>
      <c r="E19" s="846">
        <v>41640</v>
      </c>
      <c r="F19" s="2200" t="s">
        <v>2470</v>
      </c>
      <c r="G19" s="847">
        <f>'数据-取费表'!B2</f>
        <v>44915</v>
      </c>
      <c r="H19" s="2201"/>
      <c r="I19" s="848" t="str">
        <f>IF(H19="季度增幅（自定义）",SUMIF(N21:N24,E2,O21:O24),"")</f>
        <v/>
      </c>
      <c r="J19" s="2198"/>
      <c r="K19" s="1240"/>
      <c r="L19" s="2202" t="s">
        <v>2471</v>
      </c>
      <c r="M19" s="1448">
        <f>ROUND(SUMIF(地价!B2:F2,E2,地价!B37:F37),0)</f>
        <v>0</v>
      </c>
      <c r="N19" s="2203" t="s">
        <v>2472</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0"/>
      <c r="AH19" s="2289"/>
      <c r="AI19" s="2971"/>
      <c r="AJ19" s="2971"/>
      <c r="AK19" s="2204"/>
    </row>
    <row r="20" spans="1:37" s="2151" customFormat="1" ht="27.75" thickBot="1">
      <c r="A20" s="2205" t="s">
        <v>629</v>
      </c>
      <c r="B20" s="2206" t="s">
        <v>2473</v>
      </c>
      <c r="C20" s="850" t="e">
        <f>ROUND(POWER(1+G20,J20-I20)*(POWER(1+G20,I20)-1)/(POWER(1+G20,J20)-1),4)</f>
        <v>#DIV/0!</v>
      </c>
      <c r="D20" s="2207" t="s">
        <v>2474</v>
      </c>
      <c r="E20" s="1455">
        <f>存贷款利率!E22/100</f>
        <v>4.3499999999999997E-2</v>
      </c>
      <c r="F20" s="2207" t="s">
        <v>2466</v>
      </c>
      <c r="G20" s="854">
        <f>SUMIF(M26:P26,E2,M28:P28)</f>
        <v>0</v>
      </c>
      <c r="H20" s="2207" t="s">
        <v>2475</v>
      </c>
      <c r="I20" s="855" t="e">
        <f>SUMIF('数据-取费表'!C6:C15,E2,'数据-取费表'!F6:F15)/COUNTIF('数据-取费表'!C6:C15,E2)</f>
        <v>#DIV/0!</v>
      </c>
      <c r="J20" s="856">
        <f>IF(E2="住宅",70,IF(E2="商业",40,50))</f>
        <v>50</v>
      </c>
      <c r="K20" s="1240"/>
      <c r="L20" s="2208" t="s">
        <v>2476</v>
      </c>
      <c r="M20" s="1449">
        <f>ROUND(SUMPRODUCT((地价!A4:A37=YEAR(G19)&amp;"-"&amp;ROUNDUP(MONTH(G19)/3,0))*(地价!B2:F2=E2)*(地价!B4:F37)),0)</f>
        <v>0</v>
      </c>
      <c r="N20" s="2209" t="s">
        <v>2477</v>
      </c>
      <c r="O20" s="2210" t="s">
        <v>2478</v>
      </c>
      <c r="P20" s="2211" t="s">
        <v>2479</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1" customFormat="1" ht="15">
      <c r="A21" s="2212" t="s">
        <v>630</v>
      </c>
      <c r="B21" s="2213" t="s">
        <v>2480</v>
      </c>
      <c r="C21" s="857">
        <f>IF(B21="容积率修正",IF(G3&lt;=10,D22,J22),C23)</f>
        <v>0</v>
      </c>
      <c r="D21" s="2214"/>
      <c r="E21" s="2214"/>
      <c r="F21" s="2214"/>
      <c r="G21" s="2214"/>
      <c r="H21" s="2214"/>
      <c r="I21" s="2214"/>
      <c r="J21" s="2215"/>
      <c r="K21" s="1240"/>
      <c r="L21" s="2967"/>
      <c r="M21" s="2967"/>
      <c r="N21" s="2216" t="s">
        <v>2481</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1" customFormat="1" ht="14.25">
      <c r="A22" s="2090" t="s">
        <v>2482</v>
      </c>
      <c r="B22" s="2217" t="s">
        <v>2483</v>
      </c>
      <c r="C22" s="1486" t="s">
        <v>2484</v>
      </c>
      <c r="D22" s="1486" t="b">
        <f>IF(E22=G22,F22,IF(G3&lt;=10,ROUND(F22+(H22-F22)*(G3-E22)/(G22-E22),4),"——"))</f>
        <v>0</v>
      </c>
      <c r="E22" s="837">
        <f>ROUNDDOWN(G3,1)</f>
        <v>1.5</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7"/>
      <c r="M22" s="2967"/>
      <c r="N22" s="2216" t="s">
        <v>2485</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0" t="s">
        <v>2486</v>
      </c>
      <c r="B23" s="2218" t="s">
        <v>2487</v>
      </c>
      <c r="C23" s="931">
        <f>ROUND(IF(G3&gt;1,IF(I3&lt;7,SUMPRODUCT((B93:B98=I3)*(C92:N92=G2)*(C93:N98)),SUMIF(C92:N92,G2,C100:N100)),IF(I3&lt;7,SUMPRODUCT((B102:B107=I3)*(C92:N92=G2)*(C102:N107)),SUMIF(C92:N92,G2,C109:N109))),4)</f>
        <v>0</v>
      </c>
      <c r="D23" s="2186"/>
      <c r="E23" s="2186"/>
      <c r="F23" s="2219"/>
      <c r="G23" s="2220"/>
      <c r="H23" s="2221"/>
      <c r="I23" s="2222"/>
      <c r="J23" s="2223"/>
      <c r="K23" s="1233"/>
      <c r="L23" s="2132"/>
      <c r="M23" s="2132"/>
      <c r="N23" s="2216" t="s">
        <v>2488</v>
      </c>
      <c r="O23" s="1288"/>
      <c r="P23" s="1289">
        <f>SUMPRODUCT((地价!A3:A37=YEAR(G19)&amp;"-"&amp;ROUNDUP(MONTH(G19)/3,0))*(地价!AD2:AH2=N23)*(地价!AD3:AH37))</f>
        <v>0</v>
      </c>
      <c r="Q23" s="2132"/>
      <c r="R23" s="1239"/>
      <c r="S23" s="1239"/>
      <c r="T23" s="1234"/>
      <c r="U23" s="1234"/>
      <c r="V23" s="1234"/>
      <c r="W23" s="1233"/>
      <c r="X23" s="1233"/>
      <c r="Y23" s="1233"/>
      <c r="Z23" s="1240"/>
      <c r="AA23" s="1240"/>
      <c r="AB23" s="1240"/>
      <c r="AC23" s="1240"/>
      <c r="AD23" s="1240"/>
      <c r="AE23" s="1234"/>
      <c r="AF23" s="1234"/>
      <c r="AG23" s="2289"/>
      <c r="AH23" s="2289"/>
      <c r="AI23" s="2289"/>
      <c r="AJ23" s="2289"/>
      <c r="AK23" s="2199"/>
    </row>
    <row r="24" spans="1:37" s="2151" customFormat="1" ht="15.75" thickBot="1">
      <c r="A24" s="2205" t="s">
        <v>631</v>
      </c>
      <c r="B24" s="2196" t="s">
        <v>2489</v>
      </c>
      <c r="C24" s="845">
        <f>SUMIF(A45:A88,E2,B45:B88)</f>
        <v>0</v>
      </c>
      <c r="D24" s="2197"/>
      <c r="E24" s="2224"/>
      <c r="F24" s="2224"/>
      <c r="G24" s="2224"/>
      <c r="H24" s="2224"/>
      <c r="I24" s="2224"/>
      <c r="J24" s="2225"/>
      <c r="K24" s="1240"/>
      <c r="L24" s="2967"/>
      <c r="M24" s="2967"/>
      <c r="N24" s="2226" t="s">
        <v>2490</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5" t="s">
        <v>632</v>
      </c>
      <c r="B25" s="2227" t="s">
        <v>2491</v>
      </c>
      <c r="C25" s="851"/>
      <c r="D25" s="2161"/>
      <c r="E25" s="2161"/>
      <c r="F25" s="2228"/>
      <c r="G25" s="2161"/>
      <c r="H25" s="2161"/>
      <c r="I25" s="2161"/>
      <c r="J25" s="2162"/>
      <c r="K25" s="1233"/>
      <c r="L25" s="2132"/>
      <c r="M25" s="2132"/>
      <c r="N25" s="2962" t="s">
        <v>2492</v>
      </c>
      <c r="O25" s="2963"/>
      <c r="P25" s="2964">
        <f>SUMPRODUCT((地价!A3:A37=YEAR(G19)&amp;"-"&amp;ROUNDUP(MONTH(G19)/3,0))*(地价!AD2:AH2=N25)*(地价!AD3:AH37))</f>
        <v>0</v>
      </c>
      <c r="Q25" s="2132"/>
      <c r="R25" s="1239"/>
      <c r="S25" s="1239"/>
      <c r="T25" s="1234"/>
      <c r="U25" s="1234"/>
      <c r="V25" s="1234"/>
      <c r="W25" s="1233"/>
      <c r="X25" s="1233"/>
      <c r="Y25" s="1233"/>
      <c r="Z25" s="1240"/>
      <c r="AA25" s="1240"/>
      <c r="AB25" s="1240"/>
      <c r="AC25" s="1240"/>
      <c r="AD25" s="1240"/>
      <c r="AE25" s="1234"/>
      <c r="AF25" s="1234"/>
      <c r="AG25" s="2289"/>
      <c r="AH25" s="2289"/>
      <c r="AI25" s="2289"/>
      <c r="AJ25" s="2289"/>
    </row>
    <row r="26" spans="1:37" ht="15">
      <c r="A26" s="2229"/>
      <c r="B26" s="2217" t="s">
        <v>2493</v>
      </c>
      <c r="C26" s="2491" t="e">
        <f>IF(B21="容积率修正",E29+SUM(E33:E39),SUM(V2:V16)+SUM(E33:E39))</f>
        <v>#DIV/0!</v>
      </c>
      <c r="D26" s="2230"/>
      <c r="E26" s="2186"/>
      <c r="F26" s="2231"/>
      <c r="G26" s="2186"/>
      <c r="H26" s="2186"/>
      <c r="I26" s="2186"/>
      <c r="J26" s="2232"/>
      <c r="K26" s="1233"/>
      <c r="L26" s="2965" t="s">
        <v>2391</v>
      </c>
      <c r="M26" s="2159" t="s">
        <v>2456</v>
      </c>
      <c r="N26" s="2159" t="s">
        <v>2457</v>
      </c>
      <c r="O26" s="2159" t="s">
        <v>2458</v>
      </c>
      <c r="P26" s="2966" t="s">
        <v>2459</v>
      </c>
      <c r="Q26" s="2132"/>
      <c r="R26" s="1239"/>
      <c r="S26" s="1239"/>
      <c r="T26" s="1234"/>
      <c r="U26" s="1234"/>
      <c r="V26" s="1234"/>
      <c r="W26" s="1233"/>
      <c r="X26" s="1233"/>
      <c r="Y26" s="1233"/>
      <c r="Z26" s="1240"/>
      <c r="AA26" s="1240"/>
      <c r="AB26" s="1240"/>
      <c r="AC26" s="1240"/>
      <c r="AD26" s="1240"/>
      <c r="AE26" s="1234"/>
      <c r="AF26" s="1234"/>
      <c r="AG26" s="2289"/>
      <c r="AH26" s="2289"/>
      <c r="AI26" s="2289"/>
      <c r="AJ26" s="2289"/>
    </row>
    <row r="27" spans="1:37" ht="15.75" thickBot="1">
      <c r="A27" s="2229"/>
      <c r="B27" s="2233" t="s">
        <v>2494</v>
      </c>
      <c r="C27" s="852" t="e">
        <f>E30+SUM(I33:I39)</f>
        <v>#DIV/0!</v>
      </c>
      <c r="D27" s="2234"/>
      <c r="E27" s="2235"/>
      <c r="F27" s="2236"/>
      <c r="G27" s="2235"/>
      <c r="H27" s="2235"/>
      <c r="I27" s="2235"/>
      <c r="J27" s="2237"/>
      <c r="K27" s="1233"/>
      <c r="L27" s="2192" t="s">
        <v>2463</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89"/>
      <c r="AH27" s="2289"/>
      <c r="AI27" s="2289"/>
      <c r="AJ27" s="2289"/>
    </row>
    <row r="28" spans="1:37" ht="15.75" thickBot="1">
      <c r="A28" s="2238"/>
      <c r="B28" s="2239" t="s">
        <v>2495</v>
      </c>
      <c r="C28" s="2240" t="s">
        <v>2496</v>
      </c>
      <c r="D28" s="2240" t="s">
        <v>2497</v>
      </c>
      <c r="E28" s="2241" t="s">
        <v>2498</v>
      </c>
      <c r="F28" s="2242"/>
      <c r="G28" s="2174"/>
      <c r="H28" s="2174"/>
      <c r="I28" s="2174"/>
      <c r="J28" s="2175"/>
      <c r="K28" s="1233"/>
      <c r="L28" s="2193" t="s">
        <v>2466</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89"/>
      <c r="AH28" s="2289"/>
      <c r="AI28" s="2289"/>
      <c r="AJ28" s="2289"/>
    </row>
    <row r="29" spans="1:37" ht="22.5" customHeight="1">
      <c r="A29" s="2243"/>
      <c r="B29" s="2244" t="s">
        <v>2499</v>
      </c>
      <c r="C29" s="180" t="e">
        <f>ROUND(C5*C18*C19*C20*C21*C24,0)</f>
        <v>#DIV/0!</v>
      </c>
      <c r="D29" s="2245"/>
      <c r="E29" s="860" t="e">
        <f>ROUND(C29*D29/10000,0)</f>
        <v>#DIV/0!</v>
      </c>
      <c r="F29" s="2246" t="s">
        <v>2500</v>
      </c>
      <c r="G29" s="2247"/>
      <c r="H29" s="2247"/>
      <c r="I29" s="2247"/>
      <c r="J29" s="2248"/>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2"/>
      <c r="AH29" s="2132"/>
      <c r="AI29" s="2132"/>
      <c r="AJ29" s="2132"/>
    </row>
    <row r="30" spans="1:37" ht="25.5" thickBot="1">
      <c r="A30" s="2249"/>
      <c r="B30" s="2250" t="s">
        <v>2501</v>
      </c>
      <c r="C30" s="193" t="e">
        <f>ROUND(IF(E2="工业",C29*M39,C29*M38),0)</f>
        <v>#DIV/0!</v>
      </c>
      <c r="D30" s="2251"/>
      <c r="E30" s="860" t="e">
        <f>ROUND(C30*D30/10000,0)</f>
        <v>#DIV/0!</v>
      </c>
      <c r="F30" s="2252" t="s">
        <v>2502</v>
      </c>
      <c r="G30" s="2253"/>
      <c r="H30" s="2253"/>
      <c r="I30" s="2253"/>
      <c r="J30" s="2254"/>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2"/>
      <c r="AH30" s="2132"/>
      <c r="AI30" s="2132"/>
      <c r="AJ30" s="2132"/>
    </row>
    <row r="31" spans="1:37" ht="14.25">
      <c r="A31" s="2255"/>
      <c r="B31" s="2256" t="s">
        <v>2503</v>
      </c>
      <c r="C31" s="2257" t="s">
        <v>2504</v>
      </c>
      <c r="D31" s="2174"/>
      <c r="E31" s="2257"/>
      <c r="F31" s="2257"/>
      <c r="G31" s="2172" t="s">
        <v>2505</v>
      </c>
      <c r="H31" s="2174"/>
      <c r="I31" s="2258"/>
      <c r="J31" s="2175"/>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2"/>
      <c r="AH31" s="2132"/>
      <c r="AI31" s="2132"/>
      <c r="AJ31" s="2132"/>
    </row>
    <row r="32" spans="1:37" ht="24">
      <c r="A32" s="2243"/>
      <c r="B32" s="2259"/>
      <c r="C32" s="458" t="s">
        <v>2496</v>
      </c>
      <c r="D32" s="455" t="s">
        <v>2497</v>
      </c>
      <c r="E32" s="455" t="s">
        <v>2498</v>
      </c>
      <c r="F32" s="348" t="s">
        <v>2506</v>
      </c>
      <c r="G32" s="2260" t="s">
        <v>2496</v>
      </c>
      <c r="H32" s="2260" t="s">
        <v>2497</v>
      </c>
      <c r="I32" s="2260" t="s">
        <v>2498</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2"/>
      <c r="AH32" s="2132"/>
      <c r="AI32" s="2132"/>
      <c r="AJ32" s="2132"/>
    </row>
    <row r="33" spans="1:37" ht="36" customHeight="1">
      <c r="A33" s="3558"/>
      <c r="B33" s="2261" t="s">
        <v>2507</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63" t="s">
        <v>2800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89"/>
      <c r="AH33" s="2289"/>
      <c r="AI33" s="2289"/>
      <c r="AJ33" s="2289"/>
    </row>
    <row r="34" spans="1:37" ht="14.25">
      <c r="A34" s="3559"/>
      <c r="B34" s="2178" t="s">
        <v>2508</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9"/>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89"/>
      <c r="AH34" s="2289"/>
      <c r="AI34" s="2289"/>
      <c r="AJ34" s="2289"/>
    </row>
    <row r="35" spans="1:37">
      <c r="A35" s="3559"/>
      <c r="B35" s="2178" t="s">
        <v>2509</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59"/>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89"/>
      <c r="AH35" s="2289"/>
      <c r="AI35" s="2289"/>
      <c r="AJ35" s="2289"/>
    </row>
    <row r="36" spans="1:37" ht="13.5" thickBot="1">
      <c r="A36" s="3560"/>
      <c r="B36" s="2178" t="s">
        <v>2510</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60"/>
      <c r="K36" s="1233"/>
      <c r="L36" s="2132"/>
      <c r="M36" s="2132"/>
      <c r="N36" s="1233"/>
      <c r="O36" s="1233"/>
      <c r="P36" s="1233"/>
      <c r="Q36" s="1233"/>
      <c r="R36" s="1233"/>
      <c r="S36" s="1233"/>
      <c r="T36" s="1233"/>
      <c r="U36" s="1233"/>
      <c r="V36" s="1233"/>
      <c r="W36" s="1233"/>
      <c r="X36" s="1233"/>
      <c r="Y36" s="1233"/>
      <c r="Z36" s="1234"/>
      <c r="AA36" s="1234"/>
      <c r="AB36" s="1234"/>
      <c r="AC36" s="1234"/>
      <c r="AD36" s="1234"/>
      <c r="AE36" s="1234"/>
      <c r="AF36" s="1234"/>
      <c r="AG36" s="2289"/>
      <c r="AH36" s="2289"/>
      <c r="AI36" s="2289"/>
      <c r="AJ36" s="2289"/>
    </row>
    <row r="37" spans="1:37">
      <c r="A37" s="2263"/>
      <c r="B37" s="2178" t="s">
        <v>2511</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3"/>
      <c r="L37" s="2264" t="s">
        <v>2512</v>
      </c>
      <c r="M37" s="2265"/>
      <c r="N37" s="1233"/>
      <c r="O37" s="1233"/>
      <c r="P37" s="1233"/>
      <c r="Q37" s="1233"/>
      <c r="R37" s="1233"/>
      <c r="S37" s="1233"/>
      <c r="T37" s="1233"/>
      <c r="U37" s="1233"/>
      <c r="V37" s="1233"/>
      <c r="W37" s="1233"/>
      <c r="X37" s="1233"/>
      <c r="Y37" s="1233"/>
      <c r="Z37" s="1234"/>
      <c r="AA37" s="1234"/>
      <c r="AB37" s="1234"/>
      <c r="AC37" s="1234"/>
      <c r="AD37" s="1234"/>
      <c r="AE37" s="1234"/>
      <c r="AF37" s="1234"/>
      <c r="AG37" s="2289"/>
      <c r="AH37" s="2289"/>
      <c r="AI37" s="2289"/>
      <c r="AJ37" s="2289"/>
    </row>
    <row r="38" spans="1:37">
      <c r="A38" s="2263"/>
      <c r="B38" s="2178" t="s">
        <v>2513</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3"/>
      <c r="L38" s="1555" t="s">
        <v>2514</v>
      </c>
      <c r="M38" s="2266">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49"/>
      <c r="B39" s="2267" t="s">
        <v>2515</v>
      </c>
      <c r="C39" s="193" t="e">
        <f>ROUND(D5*C19*C41*C24*F39,0)</f>
        <v>#DIV/0!</v>
      </c>
      <c r="D39" s="2251"/>
      <c r="E39" s="193" t="e">
        <f t="shared" si="7"/>
        <v>#DIV/0!</v>
      </c>
      <c r="F39" s="853">
        <f>SUMIF(修正!A57:A68,G2,修正!G57:G68)</f>
        <v>0</v>
      </c>
      <c r="G39" s="193" t="e">
        <f>ROUND(IF(E2="工业",C39*$M$39,C39*$M$38),0)</f>
        <v>#DIV/0!</v>
      </c>
      <c r="H39" s="193">
        <f t="shared" si="8"/>
        <v>0</v>
      </c>
      <c r="I39" s="193" t="e">
        <f t="shared" si="9"/>
        <v>#DIV/0!</v>
      </c>
      <c r="J39" s="2268"/>
      <c r="K39" s="1233"/>
      <c r="L39" s="2269" t="s">
        <v>2459</v>
      </c>
      <c r="M39" s="2270">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19" t="s">
        <v>2620</v>
      </c>
      <c r="C41" s="348" t="e">
        <f>ROUND(POWER(1+E41,H41-G41)*(POWER(1+E41,G41)-1)/(POWER(1+E41,H41)-1),4)</f>
        <v>#DIV/0!</v>
      </c>
      <c r="D41" s="176" t="s">
        <v>2466</v>
      </c>
      <c r="E41" s="2318">
        <f>G20</f>
        <v>0</v>
      </c>
      <c r="F41" s="176" t="s">
        <v>2475</v>
      </c>
      <c r="G41" s="189"/>
      <c r="H41" s="176">
        <v>50</v>
      </c>
      <c r="Z41" s="1234"/>
      <c r="AA41" s="1234"/>
      <c r="AB41" s="1234"/>
      <c r="AC41" s="1234"/>
      <c r="AD41" s="1234"/>
      <c r="AE41" s="1234"/>
      <c r="AF41" s="1234"/>
      <c r="AG41" s="1234"/>
      <c r="AH41" s="1234"/>
      <c r="AI41" s="1234"/>
      <c r="AJ41" s="1234"/>
    </row>
    <row r="42" spans="1:37" s="1233" customFormat="1">
      <c r="A42" s="1234"/>
      <c r="B42" s="2271"/>
      <c r="Z42" s="1234"/>
      <c r="AA42" s="1234"/>
      <c r="AB42" s="1234"/>
      <c r="AC42" s="1234"/>
      <c r="AD42" s="1234"/>
      <c r="AE42" s="1234"/>
      <c r="AF42" s="1234"/>
      <c r="AG42" s="1234"/>
      <c r="AH42" s="1234"/>
      <c r="AI42" s="1234"/>
      <c r="AJ42" s="1234"/>
    </row>
    <row r="43" spans="1:37" s="1233" customFormat="1">
      <c r="A43" s="1234"/>
      <c r="B43" s="2271"/>
      <c r="Z43" s="1234"/>
      <c r="AA43" s="1234"/>
      <c r="AB43" s="1234"/>
      <c r="AC43" s="1234"/>
      <c r="AD43" s="1234"/>
      <c r="AE43" s="1234"/>
      <c r="AF43" s="1234"/>
      <c r="AG43" s="1234"/>
      <c r="AH43" s="1234"/>
      <c r="AI43" s="1234"/>
      <c r="AJ43" s="1234"/>
    </row>
    <row r="44" spans="1:37" s="1233" customFormat="1">
      <c r="A44" s="1234"/>
      <c r="B44" s="2271"/>
      <c r="Z44" s="1234"/>
      <c r="AA44" s="1234"/>
      <c r="AB44" s="1234"/>
      <c r="AC44" s="1234"/>
      <c r="AD44" s="1234"/>
      <c r="AE44" s="1234"/>
      <c r="AF44" s="1234"/>
      <c r="AG44" s="1234"/>
      <c r="AH44" s="1234"/>
      <c r="AI44" s="1234"/>
      <c r="AJ44" s="1234"/>
    </row>
    <row r="45" spans="1:37" s="1233" customFormat="1" ht="15.75" thickBot="1">
      <c r="A45" s="2272" t="s">
        <v>2516</v>
      </c>
      <c r="B45" s="2273"/>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4" t="s">
        <v>2517</v>
      </c>
      <c r="B46" s="2275">
        <f>1+E48</f>
        <v>1</v>
      </c>
      <c r="C46" s="2276"/>
      <c r="D46" s="753"/>
      <c r="E46" s="754"/>
      <c r="F46" s="2277"/>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8" t="s">
        <v>2518</v>
      </c>
      <c r="B47" s="1485" t="s">
        <v>2519</v>
      </c>
      <c r="C47" s="1485" t="s">
        <v>2520</v>
      </c>
      <c r="D47" s="1485" t="s">
        <v>2521</v>
      </c>
      <c r="E47" s="758" t="s">
        <v>2522</v>
      </c>
      <c r="F47" s="2279" t="s">
        <v>2523</v>
      </c>
      <c r="G47" s="1485" t="s">
        <v>574</v>
      </c>
      <c r="H47" s="2280" t="s">
        <v>2524</v>
      </c>
      <c r="I47" s="1485" t="s">
        <v>2525</v>
      </c>
      <c r="J47" s="560" t="s">
        <v>2175</v>
      </c>
      <c r="K47" s="560" t="s">
        <v>2176</v>
      </c>
      <c r="L47" s="560" t="s">
        <v>2177</v>
      </c>
      <c r="M47" s="560" t="s">
        <v>2178</v>
      </c>
      <c r="N47" s="560" t="s">
        <v>2179</v>
      </c>
      <c r="AA47" s="1234"/>
      <c r="AB47" s="1234"/>
      <c r="AC47" s="1234"/>
      <c r="AD47" s="1234"/>
      <c r="AE47" s="1234"/>
      <c r="AF47" s="1234"/>
      <c r="AG47" s="1234"/>
      <c r="AH47" s="1234"/>
      <c r="AI47" s="1234"/>
      <c r="AJ47" s="1234"/>
      <c r="AK47" s="1234"/>
    </row>
    <row r="48" spans="1:37" s="1233" customFormat="1" ht="24.75">
      <c r="A48" s="2278" t="s">
        <v>2526</v>
      </c>
      <c r="B48" s="2281">
        <f>估价对象房地状况!C4</f>
        <v>0</v>
      </c>
      <c r="C48" s="2183"/>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78" t="s">
        <v>2527</v>
      </c>
      <c r="B49" s="2282">
        <f>估价对象房地状况!C18</f>
        <v>0</v>
      </c>
      <c r="C49" s="2183"/>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8" t="s">
        <v>2528</v>
      </c>
      <c r="B50" s="2282">
        <f>估价对象房地状况!C19</f>
        <v>0</v>
      </c>
      <c r="C50" s="2183"/>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8" t="s">
        <v>2529</v>
      </c>
      <c r="B51" s="2283" t="s">
        <v>2530</v>
      </c>
      <c r="C51" s="2183"/>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8" t="s">
        <v>2531</v>
      </c>
      <c r="B52" s="2282">
        <f>估价对象房地状况!C24</f>
        <v>0</v>
      </c>
      <c r="C52" s="2183"/>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8" t="s">
        <v>2532</v>
      </c>
      <c r="B53" s="2284" t="s">
        <v>2533</v>
      </c>
      <c r="C53" s="2183"/>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5" t="s">
        <v>2534</v>
      </c>
      <c r="B54" s="1446">
        <f>估价对象房地状况!C21</f>
        <v>0</v>
      </c>
      <c r="C54" s="2183"/>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5" t="s">
        <v>2535</v>
      </c>
      <c r="B55" s="2282">
        <f>估价对象房地状况!C22</f>
        <v>0</v>
      </c>
      <c r="C55" s="2183"/>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6" t="s">
        <v>2536</v>
      </c>
      <c r="B56" s="2287">
        <f>估价对象房地状况!C20</f>
        <v>0</v>
      </c>
      <c r="C56" s="2183"/>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4" t="s">
        <v>2537</v>
      </c>
      <c r="B57" s="2275">
        <f>1+E59</f>
        <v>1</v>
      </c>
      <c r="C57" s="753"/>
      <c r="D57" s="753"/>
      <c r="E57" s="754"/>
      <c r="F57" s="2277"/>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8" t="s">
        <v>2518</v>
      </c>
      <c r="B58" s="1485"/>
      <c r="C58" s="1485" t="s">
        <v>2520</v>
      </c>
      <c r="D58" s="1485" t="s">
        <v>2521</v>
      </c>
      <c r="E58" s="758" t="s">
        <v>2522</v>
      </c>
      <c r="F58" s="2279" t="s">
        <v>2538</v>
      </c>
      <c r="G58" s="1485" t="s">
        <v>574</v>
      </c>
      <c r="H58" s="2280" t="s">
        <v>2524</v>
      </c>
      <c r="I58" s="1485" t="s">
        <v>2525</v>
      </c>
      <c r="J58" s="560" t="s">
        <v>2175</v>
      </c>
      <c r="K58" s="560" t="s">
        <v>2176</v>
      </c>
      <c r="L58" s="560" t="s">
        <v>2177</v>
      </c>
      <c r="M58" s="560" t="s">
        <v>2178</v>
      </c>
      <c r="N58" s="560" t="s">
        <v>2179</v>
      </c>
      <c r="AA58" s="1234"/>
      <c r="AB58" s="1234"/>
      <c r="AC58" s="1234"/>
      <c r="AD58" s="1234"/>
      <c r="AE58" s="1234"/>
      <c r="AF58" s="1234"/>
      <c r="AG58" s="1234"/>
      <c r="AH58" s="1234"/>
      <c r="AI58" s="1234"/>
      <c r="AJ58" s="1234"/>
      <c r="AK58" s="1234"/>
    </row>
    <row r="59" spans="1:37" s="1233" customFormat="1" ht="24">
      <c r="A59" s="2278" t="s">
        <v>2539</v>
      </c>
      <c r="B59" s="2281">
        <f>估价对象房地状况!C17</f>
        <v>0</v>
      </c>
      <c r="C59" s="2183"/>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78" t="s">
        <v>2527</v>
      </c>
      <c r="B60" s="2282">
        <f>估价对象房地状况!C18</f>
        <v>0</v>
      </c>
      <c r="C60" s="2183"/>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8" t="s">
        <v>2528</v>
      </c>
      <c r="B61" s="2282">
        <f>估价对象房地状况!C19</f>
        <v>0</v>
      </c>
      <c r="C61" s="2183"/>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8" t="s">
        <v>2529</v>
      </c>
      <c r="B62" s="2283" t="s">
        <v>2530</v>
      </c>
      <c r="C62" s="2183"/>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8" t="s">
        <v>2531</v>
      </c>
      <c r="B63" s="2282">
        <f>估价对象房地状况!C24</f>
        <v>0</v>
      </c>
      <c r="C63" s="2183"/>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8" t="s">
        <v>2532</v>
      </c>
      <c r="B64" s="2284" t="s">
        <v>2533</v>
      </c>
      <c r="C64" s="2183"/>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78" t="s">
        <v>2534</v>
      </c>
      <c r="B65" s="1446">
        <f>估价对象房地状况!C21</f>
        <v>0</v>
      </c>
      <c r="C65" s="2183"/>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78" t="s">
        <v>2535</v>
      </c>
      <c r="B66" s="1446">
        <f>估价对象房地状况!C22</f>
        <v>0</v>
      </c>
      <c r="C66" s="2183"/>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6" t="s">
        <v>2536</v>
      </c>
      <c r="B67" s="2288">
        <f>估价对象房地状况!C20</f>
        <v>0</v>
      </c>
      <c r="C67" s="2183"/>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4" t="s">
        <v>2540</v>
      </c>
      <c r="B68" s="2275">
        <f>1+E70</f>
        <v>1</v>
      </c>
      <c r="C68" s="753"/>
      <c r="D68" s="753"/>
      <c r="E68" s="754"/>
      <c r="F68" s="2277"/>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8" t="s">
        <v>2518</v>
      </c>
      <c r="B69" s="1485"/>
      <c r="C69" s="1485" t="s">
        <v>2520</v>
      </c>
      <c r="D69" s="1485" t="s">
        <v>2521</v>
      </c>
      <c r="E69" s="758" t="s">
        <v>2522</v>
      </c>
      <c r="F69" s="2279" t="s">
        <v>2538</v>
      </c>
      <c r="G69" s="1485" t="s">
        <v>574</v>
      </c>
      <c r="H69" s="2280" t="s">
        <v>2524</v>
      </c>
      <c r="I69" s="1485" t="s">
        <v>2525</v>
      </c>
      <c r="J69" s="560" t="s">
        <v>2175</v>
      </c>
      <c r="K69" s="560" t="s">
        <v>2176</v>
      </c>
      <c r="L69" s="560" t="s">
        <v>2177</v>
      </c>
      <c r="M69" s="560" t="s">
        <v>2178</v>
      </c>
      <c r="N69" s="560" t="s">
        <v>2179</v>
      </c>
      <c r="AA69" s="1234"/>
      <c r="AB69" s="1234"/>
      <c r="AC69" s="1234"/>
      <c r="AD69" s="1234"/>
      <c r="AE69" s="1234"/>
      <c r="AF69" s="1234"/>
      <c r="AG69" s="1234"/>
      <c r="AH69" s="1234"/>
      <c r="AI69" s="1234"/>
      <c r="AJ69" s="1234"/>
      <c r="AK69" s="1234"/>
    </row>
    <row r="70" spans="1:37" s="1233" customFormat="1" ht="24">
      <c r="A70" s="2278" t="s">
        <v>2541</v>
      </c>
      <c r="B70" s="2281">
        <f>估价对象房地状况!C15</f>
        <v>0</v>
      </c>
      <c r="C70" s="2183"/>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78" t="s">
        <v>2527</v>
      </c>
      <c r="B71" s="2282">
        <f>估价对象房地状况!C18</f>
        <v>0</v>
      </c>
      <c r="C71" s="2183"/>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8" t="s">
        <v>2528</v>
      </c>
      <c r="B72" s="2282">
        <f>估价对象房地状况!C19</f>
        <v>0</v>
      </c>
      <c r="C72" s="2183"/>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8" t="s">
        <v>2542</v>
      </c>
      <c r="B73" s="2282">
        <f>估价对象房地状况!C24</f>
        <v>0</v>
      </c>
      <c r="C73" s="2183"/>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78" t="s">
        <v>2534</v>
      </c>
      <c r="B74" s="1446">
        <f>估价对象房地状况!C21</f>
        <v>0</v>
      </c>
      <c r="C74" s="2183"/>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78" t="s">
        <v>2535</v>
      </c>
      <c r="B75" s="1446">
        <f>估价对象房地状况!C22</f>
        <v>0</v>
      </c>
      <c r="C75" s="2183"/>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2" customFormat="1" ht="24">
      <c r="A76" s="2278" t="s">
        <v>2532</v>
      </c>
      <c r="B76" s="2284" t="s">
        <v>2533</v>
      </c>
      <c r="C76" s="2183"/>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89"/>
      <c r="AB76" s="1234"/>
      <c r="AC76" s="1234"/>
      <c r="AD76" s="1234"/>
      <c r="AE76" s="1234"/>
      <c r="AF76" s="1234"/>
      <c r="AG76" s="1234"/>
      <c r="AH76" s="2289"/>
      <c r="AI76" s="2289"/>
      <c r="AJ76" s="2289"/>
      <c r="AK76" s="2289"/>
    </row>
    <row r="77" spans="1:37" ht="24">
      <c r="A77" s="2278" t="s">
        <v>2536</v>
      </c>
      <c r="B77" s="2281">
        <f>估价对象房地状况!C20</f>
        <v>0</v>
      </c>
      <c r="C77" s="2183"/>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3"/>
      <c r="AA77" s="2199"/>
      <c r="AG77" s="1235"/>
      <c r="AK77" s="2199"/>
    </row>
    <row r="78" spans="1:37" ht="24.75" thickBot="1">
      <c r="A78" s="2286" t="s">
        <v>2543</v>
      </c>
      <c r="B78" s="2290"/>
      <c r="C78" s="2183"/>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3"/>
      <c r="AA78" s="2199"/>
      <c r="AG78" s="1235"/>
      <c r="AK78" s="2199"/>
    </row>
    <row r="79" spans="1:37" ht="15">
      <c r="A79" s="2274" t="s">
        <v>2544</v>
      </c>
      <c r="B79" s="2275">
        <f>1+E81</f>
        <v>1</v>
      </c>
      <c r="C79" s="753"/>
      <c r="D79" s="753"/>
      <c r="E79" s="754"/>
      <c r="F79" s="2277"/>
      <c r="G79" s="6"/>
      <c r="H79" s="6"/>
      <c r="I79" s="6"/>
      <c r="J79" s="7"/>
      <c r="K79" s="7"/>
      <c r="L79" s="7"/>
      <c r="M79" s="7"/>
      <c r="N79" s="7"/>
      <c r="Z79" s="2133"/>
      <c r="AA79" s="2199"/>
      <c r="AG79" s="1235"/>
      <c r="AK79" s="2199"/>
    </row>
    <row r="80" spans="1:37" ht="24.75">
      <c r="A80" s="2278" t="s">
        <v>2518</v>
      </c>
      <c r="B80" s="1485"/>
      <c r="C80" s="1485" t="s">
        <v>2520</v>
      </c>
      <c r="D80" s="1485" t="s">
        <v>2521</v>
      </c>
      <c r="E80" s="758" t="s">
        <v>2522</v>
      </c>
      <c r="F80" s="2279" t="s">
        <v>2538</v>
      </c>
      <c r="G80" s="1485" t="s">
        <v>574</v>
      </c>
      <c r="H80" s="2280" t="s">
        <v>2524</v>
      </c>
      <c r="I80" s="1485" t="s">
        <v>2525</v>
      </c>
      <c r="J80" s="560" t="s">
        <v>2175</v>
      </c>
      <c r="K80" s="560" t="s">
        <v>2176</v>
      </c>
      <c r="L80" s="560" t="s">
        <v>2177</v>
      </c>
      <c r="M80" s="560" t="s">
        <v>2178</v>
      </c>
      <c r="N80" s="560" t="s">
        <v>2179</v>
      </c>
      <c r="Z80" s="2133"/>
      <c r="AA80" s="2199"/>
      <c r="AG80" s="1235"/>
      <c r="AK80" s="2199"/>
    </row>
    <row r="81" spans="1:37" ht="24">
      <c r="A81" s="2278" t="s">
        <v>2545</v>
      </c>
      <c r="B81" s="2282">
        <f>估价对象房地状况!G15</f>
        <v>0</v>
      </c>
      <c r="C81" s="2183"/>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3"/>
      <c r="AA81" s="2199"/>
      <c r="AG81" s="1235"/>
      <c r="AK81" s="2199"/>
    </row>
    <row r="82" spans="1:37" ht="14.25">
      <c r="A82" s="2278" t="s">
        <v>2527</v>
      </c>
      <c r="B82" s="2282">
        <f>估价对象房地状况!G16</f>
        <v>0</v>
      </c>
      <c r="C82" s="2183"/>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3"/>
      <c r="AA82" s="2199"/>
      <c r="AG82" s="1235"/>
      <c r="AK82" s="2199"/>
    </row>
    <row r="83" spans="1:37" ht="24">
      <c r="A83" s="2278" t="s">
        <v>2528</v>
      </c>
      <c r="B83" s="2282">
        <f>估价对象房地状况!G17</f>
        <v>0</v>
      </c>
      <c r="C83" s="2183"/>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3"/>
      <c r="AA83" s="2199"/>
      <c r="AG83" s="1235"/>
      <c r="AK83" s="2199"/>
    </row>
    <row r="84" spans="1:37" ht="14.25">
      <c r="A84" s="2278" t="s">
        <v>2542</v>
      </c>
      <c r="B84" s="2282">
        <f>估价对象房地状况!G22</f>
        <v>0</v>
      </c>
      <c r="C84" s="2183"/>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3"/>
      <c r="AA84" s="2199"/>
      <c r="AG84" s="1235"/>
      <c r="AK84" s="2199"/>
    </row>
    <row r="85" spans="1:37" ht="24">
      <c r="A85" s="2278" t="s">
        <v>2534</v>
      </c>
      <c r="B85" s="1446">
        <f>估价对象房地状况!G19</f>
        <v>0</v>
      </c>
      <c r="C85" s="2183"/>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3"/>
      <c r="AA85" s="2199"/>
      <c r="AG85" s="1235"/>
      <c r="AK85" s="2199"/>
    </row>
    <row r="86" spans="1:37" ht="24">
      <c r="A86" s="2278" t="s">
        <v>2535</v>
      </c>
      <c r="B86" s="1446">
        <f>估价对象房地状况!G20</f>
        <v>0</v>
      </c>
      <c r="C86" s="2183"/>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3"/>
      <c r="AA86" s="2199"/>
      <c r="AG86" s="1235"/>
      <c r="AK86" s="2199"/>
    </row>
    <row r="87" spans="1:37" ht="24">
      <c r="A87" s="2278" t="s">
        <v>2532</v>
      </c>
      <c r="B87" s="2284" t="s">
        <v>2546</v>
      </c>
      <c r="C87" s="2183"/>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3"/>
      <c r="AA87" s="2199"/>
      <c r="AG87" s="1235"/>
      <c r="AK87" s="2199"/>
    </row>
    <row r="88" spans="1:37" ht="15" thickBot="1">
      <c r="A88" s="2286" t="s">
        <v>2547</v>
      </c>
      <c r="B88" s="2291">
        <f>估价对象房地状况!G18</f>
        <v>0</v>
      </c>
      <c r="C88" s="2183"/>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3"/>
      <c r="AA88" s="2199"/>
      <c r="AG88" s="1235"/>
      <c r="AK88" s="2199"/>
    </row>
    <row r="90" spans="1:37">
      <c r="A90" s="3550" t="s">
        <v>2548</v>
      </c>
      <c r="B90" s="3550"/>
      <c r="C90" s="3550"/>
      <c r="D90" s="3550"/>
      <c r="E90" s="3550"/>
      <c r="F90" s="3550"/>
      <c r="G90" s="3550"/>
      <c r="H90" s="3550"/>
      <c r="I90" s="3550"/>
      <c r="J90" s="3550"/>
      <c r="K90" s="2292"/>
      <c r="L90" s="2292"/>
      <c r="M90" s="2292"/>
      <c r="N90" s="2292"/>
    </row>
    <row r="91" spans="1:37">
      <c r="A91" s="3552" t="s">
        <v>2549</v>
      </c>
      <c r="B91" s="3552" t="s">
        <v>2550</v>
      </c>
      <c r="C91" s="2246" t="s">
        <v>2551</v>
      </c>
      <c r="D91" s="2247"/>
      <c r="E91" s="2247"/>
      <c r="F91" s="2247"/>
      <c r="G91" s="2247"/>
      <c r="H91" s="2247"/>
      <c r="I91" s="2247"/>
      <c r="J91" s="2293"/>
      <c r="K91" s="2294"/>
      <c r="L91" s="2294"/>
      <c r="M91" s="2294"/>
      <c r="N91" s="2294"/>
    </row>
    <row r="92" spans="1:37">
      <c r="A92" s="3552"/>
      <c r="B92" s="3552"/>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53" t="s">
        <v>2552</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54"/>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54"/>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54"/>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54"/>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54"/>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54"/>
      <c r="B99" s="2295" t="s">
        <v>2434</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55"/>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53" t="s">
        <v>2553</v>
      </c>
      <c r="B101" s="2299" t="s">
        <v>2554</v>
      </c>
      <c r="C101" s="2300">
        <f>$G$3</f>
        <v>1.5</v>
      </c>
      <c r="D101" s="2300">
        <f t="shared" ref="D101:N101" si="31">$G$3</f>
        <v>1.5</v>
      </c>
      <c r="E101" s="2300">
        <f t="shared" si="31"/>
        <v>1.5</v>
      </c>
      <c r="F101" s="2300">
        <f t="shared" si="31"/>
        <v>1.5</v>
      </c>
      <c r="G101" s="2300">
        <f t="shared" si="31"/>
        <v>1.5</v>
      </c>
      <c r="H101" s="2300">
        <f t="shared" si="31"/>
        <v>1.5</v>
      </c>
      <c r="I101" s="2300">
        <f t="shared" si="31"/>
        <v>1.5</v>
      </c>
      <c r="J101" s="2300">
        <f t="shared" si="31"/>
        <v>1.5</v>
      </c>
      <c r="K101" s="2300">
        <f t="shared" si="31"/>
        <v>1.5</v>
      </c>
      <c r="L101" s="2300">
        <f t="shared" si="31"/>
        <v>1.5</v>
      </c>
      <c r="M101" s="2300">
        <f t="shared" si="31"/>
        <v>1.5</v>
      </c>
      <c r="N101" s="2300">
        <f t="shared" si="31"/>
        <v>1.5</v>
      </c>
    </row>
    <row r="102" spans="1:14">
      <c r="A102" s="3554"/>
      <c r="B102" s="2295">
        <v>1</v>
      </c>
      <c r="C102" s="2296">
        <f>1.9362/C101</f>
        <v>1.2907999999999999</v>
      </c>
      <c r="D102" s="2296">
        <f>1.9362/D101</f>
        <v>1.2907999999999999</v>
      </c>
      <c r="E102" s="2296">
        <f>1.8629/E101</f>
        <v>1.2419333333333333</v>
      </c>
      <c r="F102" s="2296">
        <f>1.8629/F101</f>
        <v>1.2419333333333333</v>
      </c>
      <c r="G102" s="2296">
        <f>1.8629/G101</f>
        <v>1.2419333333333333</v>
      </c>
      <c r="H102" s="2296">
        <f>1.8629/H101</f>
        <v>1.2419333333333333</v>
      </c>
      <c r="I102" s="2296">
        <f>1.8629/I101</f>
        <v>1.2419333333333333</v>
      </c>
      <c r="J102" s="2296">
        <f>1.942/J101</f>
        <v>1.2946666666666666</v>
      </c>
      <c r="K102" s="2296">
        <f>1.942/K101</f>
        <v>1.2946666666666666</v>
      </c>
      <c r="L102" s="2296">
        <f>1.942/L101</f>
        <v>1.2946666666666666</v>
      </c>
      <c r="M102" s="2296">
        <f>1.942/M101</f>
        <v>1.2946666666666666</v>
      </c>
      <c r="N102" s="2296">
        <f>1.942/N101</f>
        <v>1.2946666666666666</v>
      </c>
    </row>
    <row r="103" spans="1:14">
      <c r="A103" s="3554"/>
      <c r="B103" s="2295">
        <v>2</v>
      </c>
      <c r="C103" s="2296">
        <f>1.4198/C101</f>
        <v>0.94653333333333334</v>
      </c>
      <c r="D103" s="2296">
        <f>1.4198/D101</f>
        <v>0.94653333333333334</v>
      </c>
      <c r="E103" s="2296">
        <f>1.3372/E101</f>
        <v>0.89146666666666663</v>
      </c>
      <c r="F103" s="2296">
        <f>1.3372/F101</f>
        <v>0.89146666666666663</v>
      </c>
      <c r="G103" s="2296">
        <f>1.3372/G101</f>
        <v>0.89146666666666663</v>
      </c>
      <c r="H103" s="2296">
        <f>1.3372/H101</f>
        <v>0.89146666666666663</v>
      </c>
      <c r="I103" s="2296">
        <f>1.3372/I101</f>
        <v>0.89146666666666663</v>
      </c>
      <c r="J103" s="2296">
        <f>1.2799/J101</f>
        <v>0.85326666666666673</v>
      </c>
      <c r="K103" s="2296">
        <f>1.2799/K101</f>
        <v>0.85326666666666673</v>
      </c>
      <c r="L103" s="2296">
        <f>1.2799/L101</f>
        <v>0.85326666666666673</v>
      </c>
      <c r="M103" s="2296">
        <f>1.2799/M101</f>
        <v>0.85326666666666673</v>
      </c>
      <c r="N103" s="2296">
        <f>1.2799/N101</f>
        <v>0.85326666666666673</v>
      </c>
    </row>
    <row r="104" spans="1:14">
      <c r="A104" s="3554"/>
      <c r="B104" s="2295">
        <v>3</v>
      </c>
      <c r="C104" s="2296">
        <f>1.1594/C101</f>
        <v>0.77293333333333336</v>
      </c>
      <c r="D104" s="2296">
        <f>1.1594/D101</f>
        <v>0.77293333333333336</v>
      </c>
      <c r="E104" s="2296">
        <f>1.0788/E101</f>
        <v>0.71919999999999995</v>
      </c>
      <c r="F104" s="2296">
        <f>1.0788/F101</f>
        <v>0.71919999999999995</v>
      </c>
      <c r="G104" s="2296">
        <f>1.0788/G101</f>
        <v>0.71919999999999995</v>
      </c>
      <c r="H104" s="2296">
        <f>1.0788/H101</f>
        <v>0.71919999999999995</v>
      </c>
      <c r="I104" s="2296">
        <f>1.0788/I101</f>
        <v>0.71919999999999995</v>
      </c>
      <c r="J104" s="2296">
        <f>1.0072/J101</f>
        <v>0.67146666666666677</v>
      </c>
      <c r="K104" s="2296">
        <f>1.0072/K101</f>
        <v>0.67146666666666677</v>
      </c>
      <c r="L104" s="2296">
        <f>1.0072/L101</f>
        <v>0.67146666666666677</v>
      </c>
      <c r="M104" s="2296">
        <f>1.0072/M101</f>
        <v>0.67146666666666677</v>
      </c>
      <c r="N104" s="2296">
        <f>1.0072/N101</f>
        <v>0.67146666666666677</v>
      </c>
    </row>
    <row r="105" spans="1:14">
      <c r="A105" s="3554"/>
      <c r="B105" s="2295">
        <v>4</v>
      </c>
      <c r="C105" s="2296">
        <f>0.9622/C101</f>
        <v>0.64146666666666674</v>
      </c>
      <c r="D105" s="2296">
        <f>0.9622/D101</f>
        <v>0.64146666666666674</v>
      </c>
      <c r="E105" s="2296">
        <f>0.8656/E101</f>
        <v>0.57706666666666673</v>
      </c>
      <c r="F105" s="2296">
        <f>0.8656/F101</f>
        <v>0.57706666666666673</v>
      </c>
      <c r="G105" s="2296">
        <f>0.8656/G101</f>
        <v>0.57706666666666673</v>
      </c>
      <c r="H105" s="2296">
        <f>0.8656/H101</f>
        <v>0.57706666666666673</v>
      </c>
      <c r="I105" s="2296">
        <f>0.8656/I101</f>
        <v>0.57706666666666673</v>
      </c>
      <c r="J105" s="2296">
        <f>0.7525/J101</f>
        <v>0.50166666666666659</v>
      </c>
      <c r="K105" s="2296">
        <f>0.7525/K101</f>
        <v>0.50166666666666659</v>
      </c>
      <c r="L105" s="2296">
        <f>0.7525/L101</f>
        <v>0.50166666666666659</v>
      </c>
      <c r="M105" s="2296">
        <f>0.7525/M101</f>
        <v>0.50166666666666659</v>
      </c>
      <c r="N105" s="2296">
        <f>0.7525/N101</f>
        <v>0.50166666666666659</v>
      </c>
    </row>
    <row r="106" spans="1:14">
      <c r="A106" s="3554"/>
      <c r="B106" s="2295">
        <v>5</v>
      </c>
      <c r="C106" s="2296">
        <f>0.8417/C101</f>
        <v>0.56113333333333337</v>
      </c>
      <c r="D106" s="2296">
        <f>0.8417/D101</f>
        <v>0.56113333333333337</v>
      </c>
      <c r="E106" s="2296">
        <f>0.7371/E101</f>
        <v>0.4914</v>
      </c>
      <c r="F106" s="2296">
        <f>0.7371/F101</f>
        <v>0.4914</v>
      </c>
      <c r="G106" s="2296">
        <f>0.7371/G101</f>
        <v>0.4914</v>
      </c>
      <c r="H106" s="2296">
        <f>0.7371/H101</f>
        <v>0.4914</v>
      </c>
      <c r="I106" s="2296">
        <f>0.7371/I101</f>
        <v>0.4914</v>
      </c>
      <c r="J106" s="2296">
        <f>0.5659/J101</f>
        <v>0.37726666666666664</v>
      </c>
      <c r="K106" s="2296">
        <f>0.5659/K101</f>
        <v>0.37726666666666664</v>
      </c>
      <c r="L106" s="2296">
        <f>0.5659/L101</f>
        <v>0.37726666666666664</v>
      </c>
      <c r="M106" s="2296">
        <f>0.5659/M101</f>
        <v>0.37726666666666664</v>
      </c>
      <c r="N106" s="2296">
        <f>0.5659/N101</f>
        <v>0.37726666666666664</v>
      </c>
    </row>
    <row r="107" spans="1:14">
      <c r="A107" s="3554"/>
      <c r="B107" s="2295">
        <v>6</v>
      </c>
      <c r="C107" s="2296">
        <f>0.7608/C101</f>
        <v>0.50719999999999998</v>
      </c>
      <c r="D107" s="2296">
        <f>0.7608/D101</f>
        <v>0.50719999999999998</v>
      </c>
      <c r="E107" s="2296">
        <f>0.6482/E101</f>
        <v>0.43213333333333331</v>
      </c>
      <c r="F107" s="2296">
        <f>0.6482/F101</f>
        <v>0.43213333333333331</v>
      </c>
      <c r="G107" s="2296">
        <f>0.6482/G101</f>
        <v>0.43213333333333331</v>
      </c>
      <c r="H107" s="2296">
        <f>0.6482/H101</f>
        <v>0.43213333333333331</v>
      </c>
      <c r="I107" s="2296">
        <f>0.6482/I101</f>
        <v>0.43213333333333331</v>
      </c>
      <c r="J107" s="2296">
        <f>0.4525/J101</f>
        <v>0.30166666666666669</v>
      </c>
      <c r="K107" s="2296">
        <f>0.4525/K101</f>
        <v>0.30166666666666669</v>
      </c>
      <c r="L107" s="2296">
        <f>0.4525/L101</f>
        <v>0.30166666666666669</v>
      </c>
      <c r="M107" s="2296">
        <f>0.4525/M101</f>
        <v>0.30166666666666669</v>
      </c>
      <c r="N107" s="2296">
        <f>0.4525/N101</f>
        <v>0.30166666666666669</v>
      </c>
    </row>
    <row r="108" spans="1:14">
      <c r="A108" s="3554"/>
      <c r="B108" s="3556" t="s">
        <v>2555</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55"/>
      <c r="B109" s="3557"/>
      <c r="C109" s="2298">
        <f>(-0.163*(C108^2)-0.59*C108+7617)*(10^(-4))/C101</f>
        <v>0.50780000000000003</v>
      </c>
      <c r="D109" s="2298">
        <f>(-0.163*(D108^2)-0.59*D108+7617)*(10^(-4))/D101</f>
        <v>0.50780000000000003</v>
      </c>
      <c r="E109" s="2298">
        <f>(-0.161*(E108^2)-7.509*E108+6533)*(10^(-4))/E101</f>
        <v>0.43553333333333333</v>
      </c>
      <c r="F109" s="2298">
        <f>(-0.161*(F108^2)-7.509*F108+6533)*(10^(-4))/F101</f>
        <v>0.43553333333333333</v>
      </c>
      <c r="G109" s="2298">
        <f>(-0.161*(G108^2)-7.509*G108+6533)*(10^(-4))/G101</f>
        <v>0.43553333333333333</v>
      </c>
      <c r="H109" s="2298">
        <f>(-0.161*(H108^2)-7.509*H108+6533)*(10^(-4))/H101</f>
        <v>0.43553333333333333</v>
      </c>
      <c r="I109" s="2298">
        <f>(-0.161*(I108^2)-7.509*I108+6533)*(10^(-4))/I101</f>
        <v>0.43553333333333333</v>
      </c>
      <c r="J109" s="2298">
        <f>(-0.214*(J108^2)-21.991*J108+4665)*(10^(-4))/J101</f>
        <v>0.311</v>
      </c>
      <c r="K109" s="2298">
        <f>(-0.214*(K108^2)-21.991*K108+4665)*(10^(-4))/K101</f>
        <v>0.311</v>
      </c>
      <c r="L109" s="2298">
        <f>(-0.214*(L108^2)-21.991*L108+4665)*(10^(-4))/L101</f>
        <v>0.311</v>
      </c>
      <c r="M109" s="2298">
        <f>(-0.214*(M108^2)-21.991*M108+4665)*(10^(-4))/M101</f>
        <v>0.311</v>
      </c>
      <c r="N109" s="2298">
        <f>(-0.214*(N108^2)-21.991*N108+4665)*(10^(-4))/N101</f>
        <v>0.311</v>
      </c>
    </row>
    <row r="110" spans="1:14">
      <c r="A110" s="3551" t="s">
        <v>2556</v>
      </c>
      <c r="B110" s="3551"/>
      <c r="C110" s="3551"/>
      <c r="D110" s="3551"/>
      <c r="E110" s="3551"/>
      <c r="F110" s="3551"/>
      <c r="G110" s="3551"/>
      <c r="H110" s="3551"/>
      <c r="I110" s="3551"/>
      <c r="J110" s="3551"/>
      <c r="K110" s="2301"/>
      <c r="L110" s="2301"/>
      <c r="M110" s="2301"/>
      <c r="N110" s="2301"/>
    </row>
    <row r="112" spans="1:14" ht="13.5" thickBot="1"/>
    <row r="113" spans="1:13" ht="25.5" thickBot="1">
      <c r="A113" s="824" t="s">
        <v>2557</v>
      </c>
      <c r="B113" s="1178">
        <f>G3</f>
        <v>1.5</v>
      </c>
      <c r="C113" s="825" t="s">
        <v>2558</v>
      </c>
      <c r="D113" s="826">
        <f>SUMPRODUCT((A115:A118=F113)*(B114:M114=H113)*B115:M118)</f>
        <v>0</v>
      </c>
      <c r="E113" s="2137" t="s">
        <v>2391</v>
      </c>
      <c r="F113" s="2303">
        <f>E2</f>
        <v>0</v>
      </c>
      <c r="G113" s="2137" t="s">
        <v>2392</v>
      </c>
      <c r="H113" s="2303">
        <f>G2</f>
        <v>0</v>
      </c>
      <c r="I113" s="2137"/>
      <c r="J113" s="2304"/>
      <c r="K113" s="2304"/>
      <c r="L113" s="2304"/>
      <c r="M113" s="2304"/>
    </row>
    <row r="114" spans="1:13">
      <c r="A114" s="829"/>
      <c r="B114" s="2305" t="s">
        <v>2559</v>
      </c>
      <c r="C114" s="2305" t="s">
        <v>2560</v>
      </c>
      <c r="D114" s="2305" t="s">
        <v>2561</v>
      </c>
      <c r="E114" s="2306" t="s">
        <v>2562</v>
      </c>
      <c r="F114" s="2306" t="s">
        <v>2563</v>
      </c>
      <c r="G114" s="2306" t="s">
        <v>2564</v>
      </c>
      <c r="H114" s="2307" t="s">
        <v>2565</v>
      </c>
      <c r="I114" s="2307" t="s">
        <v>2566</v>
      </c>
      <c r="J114" s="2308" t="s">
        <v>2567</v>
      </c>
      <c r="K114" s="2308" t="s">
        <v>2568</v>
      </c>
      <c r="L114" s="2308" t="s">
        <v>2569</v>
      </c>
      <c r="M114" s="2309" t="s">
        <v>2570</v>
      </c>
    </row>
    <row r="115" spans="1:13">
      <c r="A115" s="830" t="s">
        <v>2456</v>
      </c>
      <c r="B115" s="831">
        <f>ROUND(0.9335-0.0094*B113,4)</f>
        <v>0.9194</v>
      </c>
      <c r="C115" s="831">
        <f>B115</f>
        <v>0.9194</v>
      </c>
      <c r="D115" s="831">
        <f>ROUND(0.8331-0.0109*B113,4)</f>
        <v>0.81679999999999997</v>
      </c>
      <c r="E115" s="831">
        <f>D115</f>
        <v>0.81679999999999997</v>
      </c>
      <c r="F115" s="831">
        <f>E115</f>
        <v>0.81679999999999997</v>
      </c>
      <c r="G115" s="831">
        <f>F115</f>
        <v>0.81679999999999997</v>
      </c>
      <c r="H115" s="831">
        <f>G115</f>
        <v>0.81679999999999997</v>
      </c>
      <c r="I115" s="831">
        <f>ROUND(0.689-0.0155*B113,4)</f>
        <v>0.66579999999999995</v>
      </c>
      <c r="J115" s="831">
        <f t="shared" ref="J115:M118" si="33">I115</f>
        <v>0.66579999999999995</v>
      </c>
      <c r="K115" s="831">
        <f t="shared" si="33"/>
        <v>0.66579999999999995</v>
      </c>
      <c r="L115" s="831">
        <f t="shared" si="33"/>
        <v>0.66579999999999995</v>
      </c>
      <c r="M115" s="832">
        <f t="shared" si="33"/>
        <v>0.66579999999999995</v>
      </c>
    </row>
    <row r="116" spans="1:13">
      <c r="A116" s="830" t="s">
        <v>2457</v>
      </c>
      <c r="B116" s="831">
        <f>ROUND(0.949-0.012*B113,4)</f>
        <v>0.93100000000000005</v>
      </c>
      <c r="C116" s="831">
        <f>B116</f>
        <v>0.93100000000000005</v>
      </c>
      <c r="D116" s="831">
        <f>ROUND(0.8567-0.013*B113,4)</f>
        <v>0.83720000000000006</v>
      </c>
      <c r="E116" s="831">
        <f t="shared" ref="E116:H117" si="34">D116</f>
        <v>0.83720000000000006</v>
      </c>
      <c r="F116" s="831">
        <f t="shared" si="34"/>
        <v>0.83720000000000006</v>
      </c>
      <c r="G116" s="831">
        <f t="shared" si="34"/>
        <v>0.83720000000000006</v>
      </c>
      <c r="H116" s="831">
        <f t="shared" si="34"/>
        <v>0.83720000000000006</v>
      </c>
      <c r="I116" s="831">
        <f>ROUND(0.7694-0.014*B113,4)</f>
        <v>0.74839999999999995</v>
      </c>
      <c r="J116" s="831">
        <f t="shared" si="33"/>
        <v>0.74839999999999995</v>
      </c>
      <c r="K116" s="831">
        <f t="shared" si="33"/>
        <v>0.74839999999999995</v>
      </c>
      <c r="L116" s="831">
        <f t="shared" si="33"/>
        <v>0.74839999999999995</v>
      </c>
      <c r="M116" s="832">
        <f t="shared" si="33"/>
        <v>0.74839999999999995</v>
      </c>
    </row>
    <row r="117" spans="1:13">
      <c r="A117" s="830" t="s">
        <v>2458</v>
      </c>
      <c r="B117" s="831">
        <f>ROUND(0.8808-0.006*B113,4)</f>
        <v>0.87180000000000002</v>
      </c>
      <c r="C117" s="831">
        <f>B117</f>
        <v>0.87180000000000002</v>
      </c>
      <c r="D117" s="831">
        <f>ROUND(0.8748-0.008*B113,4)</f>
        <v>0.86280000000000001</v>
      </c>
      <c r="E117" s="831">
        <f t="shared" si="34"/>
        <v>0.86280000000000001</v>
      </c>
      <c r="F117" s="831">
        <f t="shared" si="34"/>
        <v>0.86280000000000001</v>
      </c>
      <c r="G117" s="831">
        <f t="shared" si="34"/>
        <v>0.86280000000000001</v>
      </c>
      <c r="H117" s="831">
        <f t="shared" si="34"/>
        <v>0.86280000000000001</v>
      </c>
      <c r="I117" s="831">
        <f>ROUND(0.7412-0.0095*B113,4)</f>
        <v>0.72699999999999998</v>
      </c>
      <c r="J117" s="831">
        <f t="shared" si="33"/>
        <v>0.72699999999999998</v>
      </c>
      <c r="K117" s="831">
        <f t="shared" si="33"/>
        <v>0.72699999999999998</v>
      </c>
      <c r="L117" s="831">
        <f t="shared" si="33"/>
        <v>0.72699999999999998</v>
      </c>
      <c r="M117" s="832">
        <f t="shared" si="33"/>
        <v>0.72699999999999998</v>
      </c>
    </row>
    <row r="118" spans="1:13" ht="13.5" thickBot="1">
      <c r="A118" s="670" t="s">
        <v>2459</v>
      </c>
      <c r="B118" s="833">
        <f>ROUND(0.7275-0.01*B113,4)</f>
        <v>0.71250000000000002</v>
      </c>
      <c r="C118" s="833">
        <f>B118</f>
        <v>0.71250000000000002</v>
      </c>
      <c r="D118" s="833">
        <f>ROUND(0.7043-0.012*B113,4)</f>
        <v>0.68630000000000002</v>
      </c>
      <c r="E118" s="833">
        <f>D118</f>
        <v>0.68630000000000002</v>
      </c>
      <c r="F118" s="833">
        <f>E118</f>
        <v>0.68630000000000002</v>
      </c>
      <c r="G118" s="833">
        <f>ROUND(0.6299-0.0122*B113,4)</f>
        <v>0.61160000000000003</v>
      </c>
      <c r="H118" s="833">
        <f>G118</f>
        <v>0.61160000000000003</v>
      </c>
      <c r="I118" s="833">
        <f>ROUND(0.5667-0.0136*B113,4)</f>
        <v>0.54630000000000001</v>
      </c>
      <c r="J118" s="833">
        <f t="shared" si="33"/>
        <v>0.54630000000000001</v>
      </c>
      <c r="K118" s="833">
        <f t="shared" si="33"/>
        <v>0.54630000000000001</v>
      </c>
      <c r="L118" s="833">
        <f t="shared" si="33"/>
        <v>0.54630000000000001</v>
      </c>
      <c r="M118" s="834">
        <f t="shared" si="33"/>
        <v>0.54630000000000001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2934</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2935</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2936</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2937</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2938</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2939</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2622</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2940</v>
      </c>
      <c r="B19" s="3208" t="s">
        <v>2941</v>
      </c>
      <c r="C19" s="3209" t="s">
        <v>2942</v>
      </c>
      <c r="D19" s="3210"/>
      <c r="E19" s="3204" t="s">
        <v>2943</v>
      </c>
      <c r="F19" s="803"/>
      <c r="G19" s="803"/>
    </row>
    <row r="20" spans="1:13" s="808" customFormat="1" ht="19.5" customHeight="1">
      <c r="A20" s="3581" t="s">
        <v>2944</v>
      </c>
      <c r="B20" s="3574" t="s">
        <v>2945</v>
      </c>
      <c r="C20" s="3211" t="s">
        <v>2946</v>
      </c>
      <c r="D20" s="3212"/>
      <c r="E20" s="3213">
        <v>1</v>
      </c>
      <c r="F20" s="3214" t="s">
        <v>2947</v>
      </c>
      <c r="G20" s="807"/>
      <c r="H20" s="801"/>
      <c r="I20" s="801"/>
    </row>
    <row r="21" spans="1:13" s="808" customFormat="1" ht="19.5" customHeight="1">
      <c r="A21" s="3582"/>
      <c r="B21" s="3575"/>
      <c r="C21" s="805" t="s">
        <v>2948</v>
      </c>
      <c r="D21" s="806"/>
      <c r="E21" s="3215">
        <v>1</v>
      </c>
      <c r="F21" s="3214" t="s">
        <v>2949</v>
      </c>
      <c r="G21" s="807"/>
      <c r="H21" s="801"/>
      <c r="I21" s="801"/>
    </row>
    <row r="22" spans="1:13" s="808" customFormat="1" ht="19.5" customHeight="1">
      <c r="A22" s="3582"/>
      <c r="B22" s="3575"/>
      <c r="C22" s="805" t="s">
        <v>2950</v>
      </c>
      <c r="D22" s="806"/>
      <c r="E22" s="3215">
        <v>0.9</v>
      </c>
      <c r="F22" s="3214" t="s">
        <v>2951</v>
      </c>
      <c r="G22" s="807"/>
      <c r="H22" s="801"/>
      <c r="I22" s="801"/>
    </row>
    <row r="23" spans="1:13" s="808" customFormat="1" ht="19.5" customHeight="1">
      <c r="A23" s="3582"/>
      <c r="B23" s="3575"/>
      <c r="C23" s="805" t="s">
        <v>2952</v>
      </c>
      <c r="D23" s="806"/>
      <c r="E23" s="3215">
        <v>0.9</v>
      </c>
      <c r="F23" s="3214" t="s">
        <v>2953</v>
      </c>
      <c r="G23" s="807"/>
      <c r="H23" s="801"/>
      <c r="I23" s="801"/>
    </row>
    <row r="24" spans="1:13" s="808" customFormat="1" ht="19.5" customHeight="1">
      <c r="A24" s="3582"/>
      <c r="B24" s="3575"/>
      <c r="C24" s="805" t="s">
        <v>2954</v>
      </c>
      <c r="D24" s="806"/>
      <c r="E24" s="3215">
        <v>0.8</v>
      </c>
      <c r="F24" s="3214" t="s">
        <v>2955</v>
      </c>
      <c r="G24" s="807"/>
      <c r="H24" s="801"/>
      <c r="I24" s="801"/>
    </row>
    <row r="25" spans="1:13" s="808" customFormat="1" ht="19.5" customHeight="1" thickBot="1">
      <c r="A25" s="3583"/>
      <c r="B25" s="3576"/>
      <c r="C25" s="3216" t="s">
        <v>2956</v>
      </c>
      <c r="D25" s="3217"/>
      <c r="E25" s="3218">
        <v>0.8</v>
      </c>
      <c r="F25" s="3214" t="s">
        <v>2957</v>
      </c>
      <c r="G25" s="807"/>
      <c r="H25" s="801"/>
      <c r="I25" s="801"/>
    </row>
    <row r="26" spans="1:13" s="808" customFormat="1" ht="19.5" customHeight="1" thickBot="1">
      <c r="A26" s="3219" t="s">
        <v>2958</v>
      </c>
      <c r="B26" s="3220" t="s">
        <v>2945</v>
      </c>
      <c r="C26" s="3221" t="s">
        <v>2959</v>
      </c>
      <c r="D26" s="3222"/>
      <c r="E26" s="3223">
        <v>1</v>
      </c>
      <c r="F26" s="3214" t="s">
        <v>2960</v>
      </c>
      <c r="G26" s="807"/>
      <c r="H26" s="801"/>
      <c r="I26" s="801"/>
    </row>
    <row r="27" spans="1:13" s="808" customFormat="1" ht="19.5" customHeight="1">
      <c r="A27" s="3577" t="s">
        <v>2961</v>
      </c>
      <c r="B27" s="3574" t="s">
        <v>2961</v>
      </c>
      <c r="C27" s="3211" t="s">
        <v>2962</v>
      </c>
      <c r="D27" s="3212"/>
      <c r="E27" s="3213">
        <v>1</v>
      </c>
      <c r="F27" s="3214" t="s">
        <v>2963</v>
      </c>
      <c r="G27" s="807"/>
      <c r="H27" s="801"/>
      <c r="I27" s="801"/>
    </row>
    <row r="28" spans="1:13" s="808" customFormat="1" ht="19.5" customHeight="1">
      <c r="A28" s="3578"/>
      <c r="B28" s="3575"/>
      <c r="C28" s="805" t="s">
        <v>2964</v>
      </c>
      <c r="D28" s="806"/>
      <c r="E28" s="3215">
        <v>1</v>
      </c>
      <c r="F28" s="3214" t="s">
        <v>2965</v>
      </c>
      <c r="G28" s="807"/>
      <c r="H28" s="801"/>
      <c r="I28" s="801"/>
    </row>
    <row r="29" spans="1:13" s="808" customFormat="1" ht="19.5" customHeight="1">
      <c r="A29" s="3578"/>
      <c r="B29" s="3575"/>
      <c r="C29" s="805" t="s">
        <v>2966</v>
      </c>
      <c r="D29" s="806"/>
      <c r="E29" s="3215">
        <v>0.8</v>
      </c>
      <c r="F29" s="3214" t="s">
        <v>2967</v>
      </c>
      <c r="G29" s="807"/>
      <c r="H29" s="801"/>
      <c r="I29" s="801"/>
    </row>
    <row r="30" spans="1:13" s="808" customFormat="1" ht="19.5" customHeight="1">
      <c r="A30" s="3578"/>
      <c r="B30" s="3575"/>
      <c r="C30" s="805" t="s">
        <v>2968</v>
      </c>
      <c r="D30" s="806"/>
      <c r="E30" s="3215">
        <v>0.8</v>
      </c>
      <c r="F30" s="3214" t="s">
        <v>2969</v>
      </c>
      <c r="G30" s="807"/>
      <c r="H30" s="801"/>
      <c r="I30" s="801"/>
    </row>
    <row r="31" spans="1:13" s="808" customFormat="1" ht="19.5" customHeight="1">
      <c r="A31" s="3578"/>
      <c r="B31" s="3575"/>
      <c r="C31" s="805" t="s">
        <v>2970</v>
      </c>
      <c r="D31" s="806"/>
      <c r="E31" s="3215">
        <v>0.8</v>
      </c>
      <c r="F31" s="3214" t="s">
        <v>2971</v>
      </c>
      <c r="G31" s="807"/>
      <c r="H31" s="801"/>
      <c r="I31" s="801"/>
    </row>
    <row r="32" spans="1:13" s="808" customFormat="1" ht="19.5" customHeight="1">
      <c r="A32" s="3578"/>
      <c r="B32" s="3575"/>
      <c r="C32" s="805" t="s">
        <v>2972</v>
      </c>
      <c r="D32" s="806"/>
      <c r="E32" s="3215">
        <v>0.7</v>
      </c>
      <c r="F32" s="3214" t="s">
        <v>2973</v>
      </c>
      <c r="G32" s="807"/>
      <c r="H32" s="801"/>
      <c r="I32" s="801"/>
    </row>
    <row r="33" spans="1:9" s="808" customFormat="1" ht="19.5" customHeight="1">
      <c r="A33" s="3578"/>
      <c r="B33" s="3575"/>
      <c r="C33" s="805" t="s">
        <v>2974</v>
      </c>
      <c r="D33" s="806"/>
      <c r="E33" s="3215">
        <v>0.8</v>
      </c>
      <c r="F33" s="3214" t="s">
        <v>2975</v>
      </c>
      <c r="G33" s="807"/>
      <c r="H33" s="801"/>
      <c r="I33" s="801"/>
    </row>
    <row r="34" spans="1:9" s="808" customFormat="1" ht="19.5" customHeight="1">
      <c r="A34" s="3578"/>
      <c r="B34" s="3575"/>
      <c r="C34" s="805" t="s">
        <v>2976</v>
      </c>
      <c r="D34" s="806"/>
      <c r="E34" s="3215">
        <v>0.6</v>
      </c>
      <c r="F34" s="3214" t="s">
        <v>2977</v>
      </c>
      <c r="G34" s="807"/>
      <c r="H34" s="801"/>
      <c r="I34" s="801"/>
    </row>
    <row r="35" spans="1:9" s="808" customFormat="1" ht="19.5" customHeight="1">
      <c r="A35" s="3578"/>
      <c r="B35" s="3575"/>
      <c r="C35" s="805" t="s">
        <v>2978</v>
      </c>
      <c r="D35" s="806"/>
      <c r="E35" s="3215">
        <v>0.2</v>
      </c>
      <c r="F35" s="3214" t="s">
        <v>2979</v>
      </c>
      <c r="G35" s="807"/>
      <c r="H35" s="801"/>
      <c r="I35" s="801"/>
    </row>
    <row r="36" spans="1:9" s="808" customFormat="1" ht="19.5" customHeight="1">
      <c r="A36" s="3578"/>
      <c r="B36" s="3575"/>
      <c r="C36" s="805" t="s">
        <v>2980</v>
      </c>
      <c r="D36" s="806"/>
      <c r="E36" s="3215">
        <v>0.2</v>
      </c>
      <c r="F36" s="3214" t="s">
        <v>2981</v>
      </c>
      <c r="G36" s="807"/>
      <c r="H36" s="801"/>
      <c r="I36" s="801"/>
    </row>
    <row r="37" spans="1:9" s="808" customFormat="1" ht="19.5" customHeight="1">
      <c r="A37" s="3578"/>
      <c r="B37" s="3580" t="s">
        <v>2982</v>
      </c>
      <c r="C37" s="805" t="s">
        <v>2983</v>
      </c>
      <c r="D37" s="806"/>
      <c r="E37" s="3215">
        <v>0.6</v>
      </c>
      <c r="F37" s="3214" t="s">
        <v>2984</v>
      </c>
      <c r="G37" s="807"/>
      <c r="H37" s="801"/>
      <c r="I37" s="801"/>
    </row>
    <row r="38" spans="1:9" s="808" customFormat="1" ht="19.5" customHeight="1">
      <c r="A38" s="3578"/>
      <c r="B38" s="3575"/>
      <c r="C38" s="805" t="s">
        <v>2985</v>
      </c>
      <c r="D38" s="806"/>
      <c r="E38" s="3215">
        <v>0.6</v>
      </c>
      <c r="F38" s="3214" t="s">
        <v>2986</v>
      </c>
      <c r="G38" s="807"/>
      <c r="H38" s="801"/>
      <c r="I38" s="801"/>
    </row>
    <row r="39" spans="1:9" s="808" customFormat="1" ht="19.5" customHeight="1" thickBot="1">
      <c r="A39" s="3579"/>
      <c r="B39" s="3576"/>
      <c r="C39" s="3216" t="s">
        <v>2987</v>
      </c>
      <c r="D39" s="3217"/>
      <c r="E39" s="3218">
        <v>0.6</v>
      </c>
      <c r="F39" s="3214" t="s">
        <v>2988</v>
      </c>
      <c r="G39" s="807"/>
      <c r="H39" s="801"/>
      <c r="I39" s="801"/>
    </row>
    <row r="40" spans="1:9" s="808" customFormat="1" ht="19.5" customHeight="1" thickBot="1">
      <c r="A40" s="3219" t="s">
        <v>2989</v>
      </c>
      <c r="B40" s="3220" t="s">
        <v>2989</v>
      </c>
      <c r="C40" s="3221" t="s">
        <v>2990</v>
      </c>
      <c r="D40" s="3222"/>
      <c r="E40" s="3223">
        <v>1</v>
      </c>
      <c r="F40" s="3214" t="s">
        <v>2991</v>
      </c>
      <c r="G40" s="807"/>
      <c r="H40" s="801"/>
      <c r="I40" s="801"/>
    </row>
    <row r="41" spans="1:9" s="808" customFormat="1" ht="19.5" customHeight="1">
      <c r="A41" s="3581" t="s">
        <v>2992</v>
      </c>
      <c r="B41" s="3574" t="s">
        <v>2993</v>
      </c>
      <c r="C41" s="3211" t="s">
        <v>2994</v>
      </c>
      <c r="D41" s="3212"/>
      <c r="E41" s="3213">
        <v>1</v>
      </c>
      <c r="F41" s="3214" t="s">
        <v>2995</v>
      </c>
      <c r="G41" s="807"/>
      <c r="H41" s="801"/>
      <c r="I41" s="801"/>
    </row>
    <row r="42" spans="1:9" s="808" customFormat="1" ht="19.5" customHeight="1">
      <c r="A42" s="3582"/>
      <c r="B42" s="3575"/>
      <c r="C42" s="805" t="s">
        <v>2996</v>
      </c>
      <c r="D42" s="806"/>
      <c r="E42" s="3215">
        <v>1</v>
      </c>
      <c r="F42" s="3214" t="s">
        <v>2997</v>
      </c>
      <c r="G42" s="807"/>
      <c r="H42" s="801"/>
      <c r="I42" s="801"/>
    </row>
    <row r="43" spans="1:9" s="808" customFormat="1" ht="19.5" customHeight="1">
      <c r="A43" s="3582"/>
      <c r="B43" s="3584"/>
      <c r="C43" s="805" t="s">
        <v>2998</v>
      </c>
      <c r="D43" s="806"/>
      <c r="E43" s="3215">
        <v>1.5</v>
      </c>
      <c r="F43" s="3214" t="s">
        <v>2999</v>
      </c>
      <c r="G43" s="807"/>
      <c r="H43" s="801"/>
      <c r="I43" s="801"/>
    </row>
    <row r="44" spans="1:9" s="808" customFormat="1" ht="19.5" customHeight="1">
      <c r="A44" s="3582"/>
      <c r="B44" s="3224" t="s">
        <v>2961</v>
      </c>
      <c r="C44" s="805" t="s">
        <v>3000</v>
      </c>
      <c r="D44" s="806"/>
      <c r="E44" s="3215">
        <v>2</v>
      </c>
      <c r="F44" s="3214" t="s">
        <v>3001</v>
      </c>
      <c r="G44" s="807"/>
      <c r="H44" s="801"/>
      <c r="I44" s="801"/>
    </row>
    <row r="45" spans="1:9" s="808" customFormat="1" ht="19.5" customHeight="1">
      <c r="A45" s="3582"/>
      <c r="B45" s="3580" t="s">
        <v>3002</v>
      </c>
      <c r="C45" s="805" t="s">
        <v>3003</v>
      </c>
      <c r="D45" s="806"/>
      <c r="E45" s="3215">
        <v>1</v>
      </c>
      <c r="F45" s="3214" t="s">
        <v>3004</v>
      </c>
      <c r="G45" s="807"/>
      <c r="H45" s="801"/>
      <c r="I45" s="801"/>
    </row>
    <row r="46" spans="1:9" s="808" customFormat="1" ht="19.5" customHeight="1">
      <c r="A46" s="3582"/>
      <c r="B46" s="3575"/>
      <c r="C46" s="805" t="s">
        <v>3005</v>
      </c>
      <c r="D46" s="806"/>
      <c r="E46" s="3215">
        <v>1</v>
      </c>
      <c r="F46" s="3214" t="s">
        <v>3006</v>
      </c>
      <c r="G46" s="807"/>
      <c r="H46" s="801"/>
      <c r="I46" s="801"/>
    </row>
    <row r="47" spans="1:9" s="808" customFormat="1" ht="19.5" customHeight="1">
      <c r="A47" s="3582"/>
      <c r="B47" s="3575"/>
      <c r="C47" s="805" t="s">
        <v>3007</v>
      </c>
      <c r="D47" s="806"/>
      <c r="E47" s="3215">
        <v>1</v>
      </c>
      <c r="F47" s="3214" t="s">
        <v>3008</v>
      </c>
      <c r="G47" s="807"/>
      <c r="H47" s="801"/>
      <c r="I47" s="801"/>
    </row>
    <row r="48" spans="1:9" s="808" customFormat="1" ht="19.5" customHeight="1">
      <c r="A48" s="3582"/>
      <c r="B48" s="3575"/>
      <c r="C48" s="805" t="s">
        <v>3009</v>
      </c>
      <c r="D48" s="806"/>
      <c r="E48" s="3215">
        <v>1</v>
      </c>
      <c r="F48" s="3214" t="s">
        <v>3010</v>
      </c>
      <c r="G48" s="807"/>
      <c r="H48" s="801"/>
      <c r="I48" s="801"/>
    </row>
    <row r="49" spans="1:9" s="808" customFormat="1" ht="19.5" customHeight="1">
      <c r="A49" s="3582"/>
      <c r="B49" s="3575"/>
      <c r="C49" s="805" t="s">
        <v>3011</v>
      </c>
      <c r="D49" s="806"/>
      <c r="E49" s="3215">
        <v>1</v>
      </c>
      <c r="F49" s="3214" t="s">
        <v>3012</v>
      </c>
      <c r="G49" s="807"/>
      <c r="H49" s="801"/>
      <c r="I49" s="801"/>
    </row>
    <row r="50" spans="1:9" s="808" customFormat="1" ht="19.5" customHeight="1">
      <c r="A50" s="3582"/>
      <c r="B50" s="3575"/>
      <c r="C50" s="805" t="s">
        <v>3013</v>
      </c>
      <c r="D50" s="806"/>
      <c r="E50" s="3215">
        <v>1</v>
      </c>
      <c r="F50" s="3214" t="s">
        <v>3014</v>
      </c>
      <c r="G50" s="807"/>
      <c r="H50" s="801"/>
      <c r="I50" s="801"/>
    </row>
    <row r="51" spans="1:9" s="808" customFormat="1" ht="19.5" customHeight="1" thickBot="1">
      <c r="A51" s="3583"/>
      <c r="B51" s="3576"/>
      <c r="C51" s="3216" t="s">
        <v>3015</v>
      </c>
      <c r="D51" s="3217"/>
      <c r="E51" s="3218">
        <v>1</v>
      </c>
      <c r="F51" s="3214" t="s">
        <v>3016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3017</v>
      </c>
      <c r="D72" s="859"/>
      <c r="E72" s="816" t="s">
        <v>1</v>
      </c>
      <c r="F72" s="859" t="s">
        <v>1</v>
      </c>
    </row>
    <row r="73" spans="1:7" s="801" customFormat="1" ht="13.5">
      <c r="A73" s="3224">
        <v>1</v>
      </c>
      <c r="B73" s="3580" t="s">
        <v>3018</v>
      </c>
      <c r="C73" s="3204" t="s">
        <v>3019</v>
      </c>
      <c r="D73" s="3204" t="s">
        <v>3020</v>
      </c>
      <c r="E73" s="3225">
        <v>0.2</v>
      </c>
      <c r="F73" s="3224">
        <v>25</v>
      </c>
    </row>
    <row r="74" spans="1:7" s="801" customFormat="1" ht="24">
      <c r="A74" s="3224">
        <v>2</v>
      </c>
      <c r="B74" s="3575"/>
      <c r="C74" s="3204" t="s">
        <v>3021</v>
      </c>
      <c r="D74" s="3204" t="s">
        <v>3022</v>
      </c>
      <c r="E74" s="3225">
        <v>0.2</v>
      </c>
      <c r="F74" s="3224">
        <v>25</v>
      </c>
    </row>
    <row r="75" spans="1:7" s="801" customFormat="1" ht="24">
      <c r="A75" s="3224">
        <v>3</v>
      </c>
      <c r="B75" s="3575"/>
      <c r="C75" s="3204" t="s">
        <v>3023</v>
      </c>
      <c r="D75" s="3204" t="s">
        <v>3024</v>
      </c>
      <c r="E75" s="3225">
        <v>0.2</v>
      </c>
      <c r="F75" s="3224">
        <v>25</v>
      </c>
    </row>
    <row r="76" spans="1:7" s="801" customFormat="1" ht="13.5">
      <c r="A76" s="3224">
        <v>4</v>
      </c>
      <c r="B76" s="3575"/>
      <c r="C76" s="3204" t="s">
        <v>3025</v>
      </c>
      <c r="D76" s="3204" t="s">
        <v>3026</v>
      </c>
      <c r="E76" s="3225">
        <v>0.15</v>
      </c>
      <c r="F76" s="3224">
        <v>20</v>
      </c>
    </row>
    <row r="77" spans="1:7" s="801" customFormat="1" ht="24">
      <c r="A77" s="3224">
        <v>5</v>
      </c>
      <c r="B77" s="3575"/>
      <c r="C77" s="3204" t="s">
        <v>3027</v>
      </c>
      <c r="D77" s="3204" t="s">
        <v>3028</v>
      </c>
      <c r="E77" s="3225">
        <v>0.15</v>
      </c>
      <c r="F77" s="3224">
        <v>20</v>
      </c>
    </row>
    <row r="78" spans="1:7" s="801" customFormat="1" ht="24">
      <c r="A78" s="3224">
        <v>6</v>
      </c>
      <c r="B78" s="3575"/>
      <c r="C78" s="3204" t="s">
        <v>3029</v>
      </c>
      <c r="D78" s="3204" t="s">
        <v>3030</v>
      </c>
      <c r="E78" s="3225">
        <v>0.15</v>
      </c>
      <c r="F78" s="3224">
        <v>20</v>
      </c>
    </row>
    <row r="79" spans="1:7" s="801" customFormat="1" ht="24">
      <c r="A79" s="3224">
        <v>7</v>
      </c>
      <c r="B79" s="3575"/>
      <c r="C79" s="3204" t="s">
        <v>3031</v>
      </c>
      <c r="D79" s="3204" t="s">
        <v>3032</v>
      </c>
      <c r="E79" s="3225">
        <v>0.15</v>
      </c>
      <c r="F79" s="3224">
        <v>20</v>
      </c>
    </row>
    <row r="80" spans="1:7" s="801" customFormat="1" ht="24">
      <c r="A80" s="3224">
        <v>8</v>
      </c>
      <c r="B80" s="3575"/>
      <c r="C80" s="3204" t="s">
        <v>3033</v>
      </c>
      <c r="D80" s="3204" t="s">
        <v>3034</v>
      </c>
      <c r="E80" s="3225">
        <v>0.1</v>
      </c>
      <c r="F80" s="3224">
        <v>15</v>
      </c>
    </row>
    <row r="81" spans="1:6" s="801" customFormat="1" ht="24">
      <c r="A81" s="3224">
        <v>9</v>
      </c>
      <c r="B81" s="3575"/>
      <c r="C81" s="3204" t="s">
        <v>3035</v>
      </c>
      <c r="D81" s="3204" t="s">
        <v>3036</v>
      </c>
      <c r="E81" s="3225">
        <v>0.1</v>
      </c>
      <c r="F81" s="3224">
        <v>15</v>
      </c>
    </row>
    <row r="82" spans="1:6" s="801" customFormat="1" ht="24">
      <c r="A82" s="3224">
        <v>10</v>
      </c>
      <c r="B82" s="3575"/>
      <c r="C82" s="3204" t="s">
        <v>3037</v>
      </c>
      <c r="D82" s="3204" t="s">
        <v>3038</v>
      </c>
      <c r="E82" s="3225">
        <v>0.1</v>
      </c>
      <c r="F82" s="3224">
        <v>15</v>
      </c>
    </row>
    <row r="83" spans="1:6" s="801" customFormat="1" ht="24">
      <c r="A83" s="3224">
        <v>11</v>
      </c>
      <c r="B83" s="3575"/>
      <c r="C83" s="3204" t="s">
        <v>3039</v>
      </c>
      <c r="D83" s="3204" t="s">
        <v>3040</v>
      </c>
      <c r="E83" s="3225">
        <v>0.1</v>
      </c>
      <c r="F83" s="3224">
        <v>15</v>
      </c>
    </row>
    <row r="84" spans="1:6" s="801" customFormat="1" ht="24">
      <c r="A84" s="3224">
        <v>12</v>
      </c>
      <c r="B84" s="3575"/>
      <c r="C84" s="3204" t="s">
        <v>3041</v>
      </c>
      <c r="D84" s="3204" t="s">
        <v>3042</v>
      </c>
      <c r="E84" s="3225">
        <v>0.1</v>
      </c>
      <c r="F84" s="3224">
        <v>15</v>
      </c>
    </row>
    <row r="85" spans="1:6" s="801" customFormat="1" ht="13.5">
      <c r="A85" s="3224">
        <v>13</v>
      </c>
      <c r="B85" s="3575"/>
      <c r="C85" s="3204" t="s">
        <v>3043</v>
      </c>
      <c r="D85" s="3204" t="s">
        <v>3044</v>
      </c>
      <c r="E85" s="3225">
        <v>0.1</v>
      </c>
      <c r="F85" s="3224">
        <v>15</v>
      </c>
    </row>
    <row r="86" spans="1:6" s="801" customFormat="1" ht="13.5">
      <c r="A86" s="3224">
        <v>14</v>
      </c>
      <c r="B86" s="3575"/>
      <c r="C86" s="3204" t="s">
        <v>3045</v>
      </c>
      <c r="D86" s="3204" t="s">
        <v>3046</v>
      </c>
      <c r="E86" s="3225">
        <v>0.1</v>
      </c>
      <c r="F86" s="3224">
        <v>15</v>
      </c>
    </row>
    <row r="87" spans="1:6" s="801" customFormat="1" ht="13.5">
      <c r="A87" s="3224">
        <v>15</v>
      </c>
      <c r="B87" s="3575"/>
      <c r="C87" s="3204" t="s">
        <v>3047</v>
      </c>
      <c r="D87" s="3204" t="s">
        <v>3048</v>
      </c>
      <c r="E87" s="3225">
        <v>0.1</v>
      </c>
      <c r="F87" s="3224">
        <v>15</v>
      </c>
    </row>
    <row r="88" spans="1:6" s="801" customFormat="1" ht="24">
      <c r="A88" s="3224">
        <v>16</v>
      </c>
      <c r="B88" s="3575"/>
      <c r="C88" s="3204" t="s">
        <v>3049</v>
      </c>
      <c r="D88" s="3204" t="s">
        <v>3050</v>
      </c>
      <c r="E88" s="3225">
        <v>0.1</v>
      </c>
      <c r="F88" s="3224">
        <v>15</v>
      </c>
    </row>
    <row r="89" spans="1:6" s="801" customFormat="1" ht="24">
      <c r="A89" s="3224">
        <v>17</v>
      </c>
      <c r="B89" s="3584"/>
      <c r="C89" s="3204" t="s">
        <v>3051</v>
      </c>
      <c r="D89" s="3204" t="s">
        <v>3052</v>
      </c>
      <c r="E89" s="3225">
        <v>0.1</v>
      </c>
      <c r="F89" s="3224">
        <v>15</v>
      </c>
    </row>
    <row r="90" spans="1:6" s="801" customFormat="1" ht="13.5">
      <c r="A90" s="3224">
        <v>18</v>
      </c>
      <c r="B90" s="3580" t="s">
        <v>3053</v>
      </c>
      <c r="C90" s="3204" t="s">
        <v>3054</v>
      </c>
      <c r="D90" s="3204" t="s">
        <v>3055</v>
      </c>
      <c r="E90" s="3225">
        <v>0.2</v>
      </c>
      <c r="F90" s="3224">
        <v>25</v>
      </c>
    </row>
    <row r="91" spans="1:6" s="801" customFormat="1" ht="24">
      <c r="A91" s="3224">
        <v>19</v>
      </c>
      <c r="B91" s="3575"/>
      <c r="C91" s="3204" t="s">
        <v>3056</v>
      </c>
      <c r="D91" s="3204" t="s">
        <v>3057</v>
      </c>
      <c r="E91" s="3225">
        <v>0.2</v>
      </c>
      <c r="F91" s="3224">
        <v>25</v>
      </c>
    </row>
    <row r="92" spans="1:6" s="801" customFormat="1" ht="13.5">
      <c r="A92" s="3224">
        <v>20</v>
      </c>
      <c r="B92" s="3575"/>
      <c r="C92" s="3204" t="s">
        <v>3058</v>
      </c>
      <c r="D92" s="3204" t="s">
        <v>3059</v>
      </c>
      <c r="E92" s="3225">
        <v>0.15</v>
      </c>
      <c r="F92" s="3224">
        <v>20</v>
      </c>
    </row>
    <row r="93" spans="1:6" s="801" customFormat="1" ht="24">
      <c r="A93" s="3224">
        <v>21</v>
      </c>
      <c r="B93" s="3575"/>
      <c r="C93" s="3204" t="s">
        <v>3060</v>
      </c>
      <c r="D93" s="3204" t="s">
        <v>3061</v>
      </c>
      <c r="E93" s="3225">
        <v>0.15</v>
      </c>
      <c r="F93" s="3224">
        <v>20</v>
      </c>
    </row>
    <row r="94" spans="1:6" s="801" customFormat="1" ht="24">
      <c r="A94" s="3224">
        <v>22</v>
      </c>
      <c r="B94" s="3575"/>
      <c r="C94" s="3204" t="s">
        <v>3062</v>
      </c>
      <c r="D94" s="3204" t="s">
        <v>3063</v>
      </c>
      <c r="E94" s="3225">
        <v>0.15</v>
      </c>
      <c r="F94" s="3224">
        <v>20</v>
      </c>
    </row>
    <row r="95" spans="1:6" s="801" customFormat="1" ht="36">
      <c r="A95" s="3224">
        <v>23</v>
      </c>
      <c r="B95" s="3575"/>
      <c r="C95" s="3204" t="s">
        <v>3064</v>
      </c>
      <c r="D95" s="3204" t="s">
        <v>3065</v>
      </c>
      <c r="E95" s="3225">
        <v>0.15</v>
      </c>
      <c r="F95" s="3224">
        <v>20</v>
      </c>
    </row>
    <row r="96" spans="1:6" s="801" customFormat="1" ht="13.5">
      <c r="A96" s="3224">
        <v>24</v>
      </c>
      <c r="B96" s="3575"/>
      <c r="C96" s="3204" t="s">
        <v>3066</v>
      </c>
      <c r="D96" s="3204" t="s">
        <v>3067</v>
      </c>
      <c r="E96" s="3225">
        <v>0.1</v>
      </c>
      <c r="F96" s="3224">
        <v>15</v>
      </c>
    </row>
    <row r="97" spans="1:6" s="801" customFormat="1" ht="24">
      <c r="A97" s="3224">
        <v>25</v>
      </c>
      <c r="B97" s="3575"/>
      <c r="C97" s="3204" t="s">
        <v>3068</v>
      </c>
      <c r="D97" s="3204" t="s">
        <v>3069</v>
      </c>
      <c r="E97" s="3225">
        <v>0.1</v>
      </c>
      <c r="F97" s="3224">
        <v>15</v>
      </c>
    </row>
    <row r="98" spans="1:6" s="801" customFormat="1" ht="24">
      <c r="A98" s="3224">
        <v>26</v>
      </c>
      <c r="B98" s="3575"/>
      <c r="C98" s="3204" t="s">
        <v>3070</v>
      </c>
      <c r="D98" s="3204" t="s">
        <v>3071</v>
      </c>
      <c r="E98" s="3225">
        <v>0.1</v>
      </c>
      <c r="F98" s="3224">
        <v>15</v>
      </c>
    </row>
    <row r="99" spans="1:6" s="801" customFormat="1" ht="24">
      <c r="A99" s="3224">
        <v>27</v>
      </c>
      <c r="B99" s="3575"/>
      <c r="C99" s="3204" t="s">
        <v>3072</v>
      </c>
      <c r="D99" s="3204" t="s">
        <v>3073</v>
      </c>
      <c r="E99" s="3225">
        <v>0.1</v>
      </c>
      <c r="F99" s="3224">
        <v>15</v>
      </c>
    </row>
    <row r="100" spans="1:6" s="801" customFormat="1" ht="24">
      <c r="A100" s="3224">
        <v>28</v>
      </c>
      <c r="B100" s="3575"/>
      <c r="C100" s="3204" t="s">
        <v>3074</v>
      </c>
      <c r="D100" s="3204" t="s">
        <v>3075</v>
      </c>
      <c r="E100" s="3225">
        <v>0.1</v>
      </c>
      <c r="F100" s="3224">
        <v>15</v>
      </c>
    </row>
    <row r="101" spans="1:6" s="801" customFormat="1" ht="24">
      <c r="A101" s="3224">
        <v>29</v>
      </c>
      <c r="B101" s="3575"/>
      <c r="C101" s="3204" t="s">
        <v>3076</v>
      </c>
      <c r="D101" s="3204" t="s">
        <v>3077</v>
      </c>
      <c r="E101" s="3225">
        <v>0.1</v>
      </c>
      <c r="F101" s="3224">
        <v>15</v>
      </c>
    </row>
    <row r="102" spans="1:6" s="801" customFormat="1" ht="24">
      <c r="A102" s="3224">
        <v>30</v>
      </c>
      <c r="B102" s="3575"/>
      <c r="C102" s="3204" t="s">
        <v>3078</v>
      </c>
      <c r="D102" s="3204" t="s">
        <v>3079</v>
      </c>
      <c r="E102" s="3225">
        <v>0.1</v>
      </c>
      <c r="F102" s="3224">
        <v>15</v>
      </c>
    </row>
    <row r="103" spans="1:6" s="801" customFormat="1" ht="24">
      <c r="A103" s="3224">
        <v>31</v>
      </c>
      <c r="B103" s="3575"/>
      <c r="C103" s="3204" t="s">
        <v>3080</v>
      </c>
      <c r="D103" s="3204" t="s">
        <v>3081</v>
      </c>
      <c r="E103" s="3225">
        <v>0.1</v>
      </c>
      <c r="F103" s="3224">
        <v>15</v>
      </c>
    </row>
    <row r="104" spans="1:6" s="801" customFormat="1" ht="24">
      <c r="A104" s="3224">
        <v>32</v>
      </c>
      <c r="B104" s="3575"/>
      <c r="C104" s="3204" t="s">
        <v>3082</v>
      </c>
      <c r="D104" s="3204" t="s">
        <v>3083</v>
      </c>
      <c r="E104" s="3225">
        <v>0.1</v>
      </c>
      <c r="F104" s="3224">
        <v>15</v>
      </c>
    </row>
    <row r="105" spans="1:6" s="801" customFormat="1" ht="24">
      <c r="A105" s="3224">
        <v>33</v>
      </c>
      <c r="B105" s="3575"/>
      <c r="C105" s="3204" t="s">
        <v>3084</v>
      </c>
      <c r="D105" s="3204" t="s">
        <v>3085</v>
      </c>
      <c r="E105" s="3225">
        <v>0.1</v>
      </c>
      <c r="F105" s="3224">
        <v>15</v>
      </c>
    </row>
    <row r="106" spans="1:6" s="801" customFormat="1" ht="24">
      <c r="A106" s="3224">
        <v>34</v>
      </c>
      <c r="B106" s="3584"/>
      <c r="C106" s="3204" t="s">
        <v>3086</v>
      </c>
      <c r="D106" s="3204" t="s">
        <v>3087</v>
      </c>
      <c r="E106" s="3225">
        <v>0.1</v>
      </c>
      <c r="F106" s="3224">
        <v>15</v>
      </c>
    </row>
    <row r="107" spans="1:6" s="801" customFormat="1" ht="24">
      <c r="A107" s="3224">
        <v>35</v>
      </c>
      <c r="B107" s="3580" t="s">
        <v>3088</v>
      </c>
      <c r="C107" s="3224" t="s">
        <v>3089</v>
      </c>
      <c r="D107" s="3204" t="s">
        <v>3090</v>
      </c>
      <c r="E107" s="3225">
        <v>0.15</v>
      </c>
      <c r="F107" s="3224">
        <v>20</v>
      </c>
    </row>
    <row r="108" spans="1:6" s="801" customFormat="1" ht="24">
      <c r="A108" s="3224">
        <v>36</v>
      </c>
      <c r="B108" s="3575"/>
      <c r="C108" s="3224" t="s">
        <v>3091</v>
      </c>
      <c r="D108" s="3204" t="s">
        <v>3092</v>
      </c>
      <c r="E108" s="3225">
        <v>0.15</v>
      </c>
      <c r="F108" s="3224">
        <v>20</v>
      </c>
    </row>
    <row r="109" spans="1:6" s="801" customFormat="1" ht="24">
      <c r="A109" s="3224">
        <v>37</v>
      </c>
      <c r="B109" s="3575"/>
      <c r="C109" s="3224" t="s">
        <v>3093</v>
      </c>
      <c r="D109" s="3204" t="s">
        <v>3094</v>
      </c>
      <c r="E109" s="3225">
        <v>0.15</v>
      </c>
      <c r="F109" s="3224">
        <v>20</v>
      </c>
    </row>
    <row r="110" spans="1:6" s="801" customFormat="1" ht="13.5">
      <c r="A110" s="3224">
        <v>38</v>
      </c>
      <c r="B110" s="3575"/>
      <c r="C110" s="3224" t="s">
        <v>3095</v>
      </c>
      <c r="D110" s="3204" t="s">
        <v>3096</v>
      </c>
      <c r="E110" s="3225">
        <v>0.1</v>
      </c>
      <c r="F110" s="3224">
        <v>15</v>
      </c>
    </row>
    <row r="111" spans="1:6" s="801" customFormat="1" ht="24">
      <c r="A111" s="3224">
        <v>39</v>
      </c>
      <c r="B111" s="3575"/>
      <c r="C111" s="3224" t="s">
        <v>3097</v>
      </c>
      <c r="D111" s="3204" t="s">
        <v>3098</v>
      </c>
      <c r="E111" s="3225">
        <v>0.1</v>
      </c>
      <c r="F111" s="3224">
        <v>15</v>
      </c>
    </row>
    <row r="112" spans="1:6" s="801" customFormat="1" ht="24">
      <c r="A112" s="3224">
        <v>40</v>
      </c>
      <c r="B112" s="3584"/>
      <c r="C112" s="3224" t="s">
        <v>3099</v>
      </c>
      <c r="D112" s="3204" t="s">
        <v>3100</v>
      </c>
      <c r="E112" s="3225">
        <v>0.1</v>
      </c>
      <c r="F112" s="3224">
        <v>15</v>
      </c>
    </row>
    <row r="113" spans="1:6" s="801" customFormat="1" ht="24">
      <c r="A113" s="3224">
        <v>41</v>
      </c>
      <c r="B113" s="3585" t="s">
        <v>3101</v>
      </c>
      <c r="C113" s="3224" t="s">
        <v>3102</v>
      </c>
      <c r="D113" s="3204" t="s">
        <v>3103</v>
      </c>
      <c r="E113" s="3225">
        <v>0.1</v>
      </c>
      <c r="F113" s="3224">
        <v>15</v>
      </c>
    </row>
    <row r="114" spans="1:6" s="801" customFormat="1" ht="13.5">
      <c r="A114" s="3224">
        <v>42</v>
      </c>
      <c r="B114" s="3585"/>
      <c r="C114" s="3224" t="s">
        <v>3104</v>
      </c>
      <c r="D114" s="3204" t="s">
        <v>3105</v>
      </c>
      <c r="E114" s="3225">
        <v>0.1</v>
      </c>
      <c r="F114" s="3224">
        <v>15</v>
      </c>
    </row>
    <row r="115" spans="1:6" s="801" customFormat="1" ht="24">
      <c r="A115" s="3224">
        <v>43</v>
      </c>
      <c r="B115" s="3585"/>
      <c r="C115" s="3224" t="s">
        <v>3106</v>
      </c>
      <c r="D115" s="3204" t="s">
        <v>3107</v>
      </c>
      <c r="E115" s="3225">
        <v>0.1</v>
      </c>
      <c r="F115" s="3224">
        <v>15</v>
      </c>
    </row>
    <row r="116" spans="1:6" s="801" customFormat="1" ht="24">
      <c r="A116" s="3224">
        <v>44</v>
      </c>
      <c r="B116" s="3580" t="s">
        <v>3108</v>
      </c>
      <c r="C116" s="3224" t="s">
        <v>3109</v>
      </c>
      <c r="D116" s="3204" t="s">
        <v>3110</v>
      </c>
      <c r="E116" s="3225">
        <v>0.1</v>
      </c>
      <c r="F116" s="3224">
        <v>15</v>
      </c>
    </row>
    <row r="117" spans="1:6" s="801" customFormat="1" ht="24">
      <c r="A117" s="3224">
        <v>45</v>
      </c>
      <c r="B117" s="3584"/>
      <c r="C117" s="3204" t="s">
        <v>3111</v>
      </c>
      <c r="D117" s="3204" t="s">
        <v>3112</v>
      </c>
      <c r="E117" s="3225">
        <v>0.1</v>
      </c>
      <c r="F117" s="3224">
        <v>15</v>
      </c>
    </row>
    <row r="118" spans="1:6" s="801" customFormat="1" ht="24">
      <c r="A118" s="3224">
        <v>46</v>
      </c>
      <c r="B118" s="3580" t="s">
        <v>3113</v>
      </c>
      <c r="C118" s="3224" t="s">
        <v>3114</v>
      </c>
      <c r="D118" s="3204" t="s">
        <v>3115</v>
      </c>
      <c r="E118" s="3225">
        <v>0.1</v>
      </c>
      <c r="F118" s="3224">
        <v>15</v>
      </c>
    </row>
    <row r="119" spans="1:6" s="801" customFormat="1" ht="24">
      <c r="A119" s="3224">
        <v>47</v>
      </c>
      <c r="B119" s="3584"/>
      <c r="C119" s="3224" t="s">
        <v>3116</v>
      </c>
      <c r="D119" s="3204" t="s">
        <v>3117</v>
      </c>
      <c r="E119" s="3225">
        <v>0.1</v>
      </c>
      <c r="F119" s="3224">
        <v>15</v>
      </c>
    </row>
    <row r="120" spans="1:6" s="801" customFormat="1" ht="24">
      <c r="A120" s="3224">
        <v>48</v>
      </c>
      <c r="B120" s="3580" t="s">
        <v>3118</v>
      </c>
      <c r="C120" s="3224" t="s">
        <v>3119</v>
      </c>
      <c r="D120" s="3204" t="s">
        <v>3120</v>
      </c>
      <c r="E120" s="3225">
        <v>0.1</v>
      </c>
      <c r="F120" s="3224">
        <v>15</v>
      </c>
    </row>
    <row r="121" spans="1:6" s="801" customFormat="1" ht="13.5">
      <c r="A121" s="3224">
        <v>49</v>
      </c>
      <c r="B121" s="3584"/>
      <c r="C121" s="3224" t="s">
        <v>3121</v>
      </c>
      <c r="D121" s="3204" t="s">
        <v>3122</v>
      </c>
      <c r="E121" s="3225">
        <v>0.1</v>
      </c>
      <c r="F121" s="3224">
        <v>15</v>
      </c>
    </row>
    <row r="122" spans="1:6" s="801" customFormat="1" ht="24">
      <c r="A122" s="3224">
        <v>50</v>
      </c>
      <c r="B122" s="3585" t="s">
        <v>3123</v>
      </c>
      <c r="C122" s="3224" t="s">
        <v>3124</v>
      </c>
      <c r="D122" s="3204" t="s">
        <v>3125</v>
      </c>
      <c r="E122" s="3225">
        <v>0.1</v>
      </c>
      <c r="F122" s="3224">
        <v>15</v>
      </c>
    </row>
    <row r="123" spans="1:6" s="801" customFormat="1" ht="24">
      <c r="A123" s="3224">
        <v>51</v>
      </c>
      <c r="B123" s="3585"/>
      <c r="C123" s="3224" t="s">
        <v>3126</v>
      </c>
      <c r="D123" s="3204" t="s">
        <v>3127</v>
      </c>
      <c r="E123" s="3225">
        <v>0.1</v>
      </c>
      <c r="F123" s="3224">
        <v>15</v>
      </c>
    </row>
    <row r="124" spans="1:6" s="801" customFormat="1" ht="24">
      <c r="A124" s="3224">
        <v>52</v>
      </c>
      <c r="B124" s="3585" t="s">
        <v>3128</v>
      </c>
      <c r="C124" s="3224" t="s">
        <v>3129</v>
      </c>
      <c r="D124" s="3204" t="s">
        <v>3130</v>
      </c>
      <c r="E124" s="3225">
        <v>0.1</v>
      </c>
      <c r="F124" s="3224">
        <v>15</v>
      </c>
    </row>
    <row r="125" spans="1:6" s="801" customFormat="1" ht="24">
      <c r="A125" s="3224">
        <v>53</v>
      </c>
      <c r="B125" s="3585"/>
      <c r="C125" s="3224" t="s">
        <v>3131</v>
      </c>
      <c r="D125" s="3204" t="s">
        <v>3132</v>
      </c>
      <c r="E125" s="3225">
        <v>0.1</v>
      </c>
      <c r="F125" s="3224">
        <v>15</v>
      </c>
    </row>
    <row r="126" spans="1:6" ht="24">
      <c r="A126" s="3224">
        <v>54</v>
      </c>
      <c r="B126" s="3224" t="s">
        <v>3133</v>
      </c>
      <c r="C126" s="3224" t="s">
        <v>3134</v>
      </c>
      <c r="D126" s="3204" t="s">
        <v>3135</v>
      </c>
      <c r="E126" s="3225">
        <v>0.1</v>
      </c>
      <c r="F126" s="3224">
        <v>15</v>
      </c>
    </row>
    <row r="127" spans="1:6" ht="13.5">
      <c r="A127" s="3224">
        <v>55</v>
      </c>
      <c r="B127" s="3585" t="s">
        <v>3136</v>
      </c>
      <c r="C127" s="3224" t="s">
        <v>3137</v>
      </c>
      <c r="D127" s="3204" t="s">
        <v>3138</v>
      </c>
      <c r="E127" s="3225">
        <v>0.1</v>
      </c>
      <c r="F127" s="3224">
        <v>15</v>
      </c>
    </row>
    <row r="128" spans="1:6" ht="13.5">
      <c r="A128" s="3224">
        <v>56</v>
      </c>
      <c r="B128" s="3585"/>
      <c r="C128" s="3224" t="s">
        <v>3139</v>
      </c>
      <c r="D128" s="3204" t="s">
        <v>3140</v>
      </c>
      <c r="E128" s="3225">
        <v>0.1</v>
      </c>
      <c r="F128" s="3224">
        <v>15</v>
      </c>
    </row>
    <row r="129" spans="1:6" ht="24">
      <c r="A129" s="3224">
        <v>57</v>
      </c>
      <c r="B129" s="3585"/>
      <c r="C129" s="3224" t="s">
        <v>3141</v>
      </c>
      <c r="D129" s="3204" t="s">
        <v>3142</v>
      </c>
      <c r="E129" s="3225">
        <v>0.1</v>
      </c>
      <c r="F129" s="3224">
        <v>15</v>
      </c>
    </row>
    <row r="130" spans="1:6" ht="24">
      <c r="A130" s="3224">
        <v>58</v>
      </c>
      <c r="B130" s="3585" t="s">
        <v>3143</v>
      </c>
      <c r="C130" s="3224" t="s">
        <v>3144</v>
      </c>
      <c r="D130" s="3204" t="s">
        <v>3145</v>
      </c>
      <c r="E130" s="3225">
        <v>0.1</v>
      </c>
      <c r="F130" s="3224">
        <v>15</v>
      </c>
    </row>
    <row r="131" spans="1:6" ht="24">
      <c r="A131" s="3224">
        <v>59</v>
      </c>
      <c r="B131" s="3585"/>
      <c r="C131" s="3224" t="s">
        <v>3146</v>
      </c>
      <c r="D131" s="3204" t="s">
        <v>3147</v>
      </c>
      <c r="E131" s="3225">
        <v>0.1</v>
      </c>
      <c r="F131" s="3224">
        <v>15</v>
      </c>
    </row>
    <row r="132" spans="1:6" ht="24">
      <c r="A132" s="3224">
        <v>60</v>
      </c>
      <c r="B132" s="3580" t="s">
        <v>3148</v>
      </c>
      <c r="C132" s="3224" t="s">
        <v>3149</v>
      </c>
      <c r="D132" s="3204" t="s">
        <v>3150</v>
      </c>
      <c r="E132" s="3225">
        <v>0.1</v>
      </c>
      <c r="F132" s="3224">
        <v>15</v>
      </c>
    </row>
    <row r="133" spans="1:6" ht="24">
      <c r="A133" s="3224">
        <v>61</v>
      </c>
      <c r="B133" s="3584"/>
      <c r="C133" s="3224" t="s">
        <v>3151</v>
      </c>
      <c r="D133" s="3204" t="s">
        <v>3152</v>
      </c>
      <c r="E133" s="3225">
        <v>0.1</v>
      </c>
      <c r="F133" s="3224">
        <v>15</v>
      </c>
    </row>
    <row r="134" spans="1:6" ht="24">
      <c r="A134" s="3224">
        <v>62</v>
      </c>
      <c r="B134" s="3224" t="s">
        <v>3153</v>
      </c>
      <c r="C134" s="3224" t="s">
        <v>3154</v>
      </c>
      <c r="D134" s="3204" t="s">
        <v>3155</v>
      </c>
      <c r="E134" s="3225">
        <v>0.1</v>
      </c>
      <c r="F134" s="3224">
        <v>15</v>
      </c>
    </row>
    <row r="135" spans="1:6" ht="24">
      <c r="A135" s="3224">
        <v>63</v>
      </c>
      <c r="B135" s="3585" t="s">
        <v>3156</v>
      </c>
      <c r="C135" s="3224" t="s">
        <v>3157</v>
      </c>
      <c r="D135" s="3204" t="s">
        <v>3158</v>
      </c>
      <c r="E135" s="3225">
        <v>0.1</v>
      </c>
      <c r="F135" s="3224">
        <v>15</v>
      </c>
    </row>
    <row r="136" spans="1:6" ht="13.5">
      <c r="A136" s="3224">
        <v>64</v>
      </c>
      <c r="B136" s="3585"/>
      <c r="C136" s="3224" t="s">
        <v>3159</v>
      </c>
      <c r="D136" s="3204" t="s">
        <v>3160</v>
      </c>
      <c r="E136" s="3225">
        <v>0.1</v>
      </c>
      <c r="F136" s="3224">
        <v>15</v>
      </c>
    </row>
    <row r="137" spans="1:6" ht="24">
      <c r="A137" s="3224">
        <v>65</v>
      </c>
      <c r="B137" s="3224" t="s">
        <v>3161</v>
      </c>
      <c r="C137" s="3224" t="s">
        <v>3162</v>
      </c>
      <c r="D137" s="3204" t="s">
        <v>3163</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2579</v>
      </c>
      <c r="B1" s="2312"/>
      <c r="C1" s="2312"/>
      <c r="D1" s="2312"/>
      <c r="E1" s="2312"/>
      <c r="F1" s="2972"/>
      <c r="G1" s="2972"/>
      <c r="H1" s="2972"/>
      <c r="I1" s="2972"/>
      <c r="J1" s="2972"/>
      <c r="K1" s="2972"/>
      <c r="L1" s="2972"/>
      <c r="M1" s="2972"/>
      <c r="N1" s="2972"/>
      <c r="O1" s="2972"/>
      <c r="P1" s="2972"/>
    </row>
    <row r="2" spans="1:16" ht="15.75">
      <c r="A2" s="2310" t="s">
        <v>2571</v>
      </c>
      <c r="B2" s="2776" t="e">
        <f ca="1">SUMIF(B6:B13,"&lt;&gt;#ref!",B6:B13)</f>
        <v>#DIV/0!</v>
      </c>
      <c r="C2" s="2310" t="s">
        <v>2572</v>
      </c>
      <c r="D2" s="2310" t="s">
        <v>2573</v>
      </c>
      <c r="E2" s="2786">
        <f ca="1">SUMIF(E6:E13,"&lt;&gt;#ref!",E6:E13)</f>
        <v>0</v>
      </c>
      <c r="F2" s="2972"/>
      <c r="G2" s="2972"/>
      <c r="H2" s="2972"/>
      <c r="I2" s="2972"/>
      <c r="J2" s="2972"/>
      <c r="K2" s="2972"/>
      <c r="L2" s="2972"/>
      <c r="M2" s="2972"/>
      <c r="N2" s="2972"/>
      <c r="O2" s="2972"/>
      <c r="P2" s="2972"/>
    </row>
    <row r="3" spans="1:16" ht="15.75">
      <c r="A3" s="2310" t="s">
        <v>2574</v>
      </c>
      <c r="B3" s="2776" t="e">
        <f ca="1">ROUND(B2*10000/E2,0)</f>
        <v>#DIV/0!</v>
      </c>
      <c r="C3" s="2310" t="s">
        <v>2580</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2575</v>
      </c>
      <c r="B5" s="2784" t="s">
        <v>2576</v>
      </c>
      <c r="C5" s="2311"/>
      <c r="D5" s="2972"/>
      <c r="E5" s="2785" t="s">
        <v>2577</v>
      </c>
      <c r="F5" s="2972"/>
      <c r="G5" s="2972"/>
      <c r="H5" s="2972"/>
      <c r="I5" s="2972"/>
      <c r="J5" s="2972"/>
      <c r="K5" s="2972"/>
      <c r="L5" s="2972"/>
      <c r="M5" s="2972"/>
      <c r="N5" s="2972"/>
      <c r="O5" s="2972"/>
      <c r="P5" s="2972"/>
    </row>
    <row r="6" spans="1:16" ht="15.75">
      <c r="A6" s="2783" t="s">
        <v>2578</v>
      </c>
      <c r="B6" s="2776" t="e">
        <f ca="1">SUMIF(INDIRECT("'"&amp;A6&amp;"'"&amp;"!A:A"),"总价",INDIRECT("'"&amp;A6&amp;"'"&amp;"!B:B"))</f>
        <v>#DIV/0!</v>
      </c>
      <c r="C6" s="2310" t="s">
        <v>2572</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2572</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2572</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2572</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2572</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2572</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2572</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2572</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3"/>
      <c r="C2" s="3263"/>
      <c r="D2" s="3263"/>
      <c r="E2" s="3263"/>
    </row>
    <row r="3" spans="1:5" ht="18">
      <c r="A3" s="3264" t="str">
        <f>IF(项目基本情况!B9="房地产市场价值","估价结果一览表（市场价值不需“结果表-1”）","估价结果一览表")</f>
        <v>估价结果一览表</v>
      </c>
      <c r="B3" s="3264"/>
      <c r="C3" s="3264"/>
      <c r="D3" s="3264"/>
      <c r="E3" s="3264"/>
    </row>
    <row r="4" spans="1:5" ht="19.5" thickBot="1">
      <c r="A4" s="1628"/>
      <c r="B4" s="3262" t="s">
        <v>1354</v>
      </c>
      <c r="C4" s="3262"/>
      <c r="D4" s="3262"/>
      <c r="E4" s="1628"/>
    </row>
    <row r="5" spans="1:5" ht="16.5" thickTop="1">
      <c r="A5" s="1626"/>
      <c r="B5" s="3260" t="s">
        <v>1346</v>
      </c>
      <c r="C5" s="1629" t="s">
        <v>1347</v>
      </c>
      <c r="D5" s="940">
        <f ca="1">结果表!H101</f>
        <v>8729</v>
      </c>
      <c r="E5" s="1626"/>
    </row>
    <row r="6" spans="1:5" ht="15.75">
      <c r="A6" s="1626"/>
      <c r="B6" s="3260"/>
      <c r="C6" s="1629" t="s">
        <v>1348</v>
      </c>
      <c r="D6" s="940" t="str">
        <f ca="1">NUMBERSTRING(INT(D5*10000),2)&amp;"元整"</f>
        <v>捌仟柒佰贰拾玖万元整</v>
      </c>
      <c r="E6" s="1626"/>
    </row>
    <row r="7" spans="1:5" ht="15.75">
      <c r="A7" s="1626"/>
      <c r="B7" s="3265"/>
      <c r="C7" s="1630" t="s">
        <v>1349</v>
      </c>
      <c r="D7" s="941">
        <f ca="1">结果表!H102</f>
        <v>14081</v>
      </c>
      <c r="E7" s="1626"/>
    </row>
    <row r="8" spans="1:5" ht="15.75">
      <c r="A8" s="1626"/>
      <c r="B8" s="3266" t="str">
        <f>结果表!E103</f>
        <v>2.估价师知悉的法定优先受偿款</v>
      </c>
      <c r="C8" s="1631" t="s">
        <v>1350</v>
      </c>
      <c r="D8" s="941">
        <f>结果表!H103</f>
        <v>0</v>
      </c>
      <c r="E8" s="1626"/>
    </row>
    <row r="9" spans="1:5" ht="15.75">
      <c r="A9" s="1626"/>
      <c r="B9" s="3268"/>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59" t="str">
        <f>结果表!E107</f>
        <v>3.房地产抵押价值</v>
      </c>
      <c r="C13" s="1634" t="s">
        <v>1347</v>
      </c>
      <c r="D13" s="943">
        <f ca="1">结果表!H107</f>
        <v>8729</v>
      </c>
      <c r="E13" s="1626"/>
    </row>
    <row r="14" spans="1:5" ht="15.75">
      <c r="A14" s="1626"/>
      <c r="B14" s="3260"/>
      <c r="C14" s="1629" t="s">
        <v>1348</v>
      </c>
      <c r="D14" s="940" t="str">
        <f ca="1">NUMBERSTRING(INT(D13*10000),2)&amp;"元整"</f>
        <v>捌仟柒佰贰拾玖万元整</v>
      </c>
      <c r="E14" s="1626"/>
    </row>
    <row r="15" spans="1:5" ht="15">
      <c r="A15" s="1626"/>
      <c r="B15" s="3265"/>
      <c r="C15" s="1630" t="s">
        <v>1358</v>
      </c>
      <c r="D15" s="949">
        <f ca="1">结果表!H108</f>
        <v>14081</v>
      </c>
      <c r="E15" s="1626"/>
    </row>
    <row r="16" spans="1:5" ht="15">
      <c r="A16" s="1626"/>
      <c r="B16" s="3266" t="str">
        <f>结果表!E109</f>
        <v>——</v>
      </c>
      <c r="C16" s="1634" t="s">
        <v>1359</v>
      </c>
      <c r="D16" s="1635" t="str">
        <f>结果表!H109</f>
        <v>——</v>
      </c>
      <c r="E16" s="1626"/>
    </row>
    <row r="17" spans="1:5" ht="15.75">
      <c r="A17" s="1626"/>
      <c r="B17" s="3267"/>
      <c r="C17" s="1629" t="s">
        <v>1360</v>
      </c>
      <c r="D17" s="940" t="e">
        <f>NUMBERSTRING(INT(D16*10000),2)&amp;"元整"</f>
        <v>#VALUE!</v>
      </c>
      <c r="E17" s="1626"/>
    </row>
    <row r="18" spans="1:5" ht="15">
      <c r="A18" s="1626"/>
      <c r="B18" s="3268"/>
      <c r="C18" s="1630" t="s">
        <v>1349</v>
      </c>
      <c r="D18" s="949" t="str">
        <f>结果表!H110</f>
        <v>——</v>
      </c>
      <c r="E18" s="1626"/>
    </row>
    <row r="19" spans="1:5" ht="15.75">
      <c r="A19" s="1626"/>
      <c r="B19" s="3259" t="str">
        <f>结果表!E111</f>
        <v>——</v>
      </c>
      <c r="C19" s="1634" t="s">
        <v>1347</v>
      </c>
      <c r="D19" s="941" t="str">
        <f>结果表!H111</f>
        <v>——</v>
      </c>
      <c r="E19" s="1626"/>
    </row>
    <row r="20" spans="1:5" ht="15.75">
      <c r="A20" s="1626"/>
      <c r="B20" s="3260"/>
      <c r="C20" s="1629" t="s">
        <v>1360</v>
      </c>
      <c r="D20" s="940" t="e">
        <f>NUMBERSTRING(INT(D19*10000),2)&amp;"元整"</f>
        <v>#VALUE!</v>
      </c>
      <c r="E20" s="1626"/>
    </row>
    <row r="21" spans="1:5" ht="15.75" thickBot="1">
      <c r="A21" s="1626"/>
      <c r="B21" s="3261"/>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91" t="s">
        <v>877</v>
      </c>
      <c r="C1" s="3591"/>
      <c r="D1" s="3591"/>
      <c r="E1" s="3591"/>
      <c r="F1" s="3591"/>
      <c r="G1" s="3587" t="s">
        <v>878</v>
      </c>
      <c r="H1" s="3587"/>
      <c r="I1" s="3587"/>
      <c r="J1" s="3587"/>
      <c r="K1" s="3587"/>
      <c r="L1" s="3587"/>
      <c r="N1" s="3587" t="s">
        <v>879</v>
      </c>
      <c r="O1" s="3587"/>
      <c r="P1" s="3587"/>
      <c r="Q1" s="3587"/>
      <c r="S1" s="3587" t="s">
        <v>880</v>
      </c>
      <c r="T1" s="3587"/>
      <c r="U1" s="3587"/>
      <c r="V1" s="3587"/>
      <c r="X1" s="3586" t="s">
        <v>881</v>
      </c>
      <c r="Y1" s="3587"/>
      <c r="Z1" s="3587"/>
      <c r="AA1" s="3587"/>
      <c r="AB1" s="3587"/>
      <c r="AD1" s="3586" t="s">
        <v>882</v>
      </c>
      <c r="AE1" s="3587"/>
      <c r="AF1" s="3587"/>
      <c r="AG1" s="3587"/>
      <c r="AH1" s="3587"/>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2612</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2931</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2613</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2930</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2807</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2806</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2805</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2803</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2802</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2629</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2627</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2626</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2625</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2623</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2621</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2624</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89">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2619</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89"/>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2618</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89"/>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2611</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96"/>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2609</v>
      </c>
      <c r="B22" s="2387">
        <v>439</v>
      </c>
      <c r="C22" s="2387">
        <v>327</v>
      </c>
      <c r="D22" s="2387">
        <f>C22</f>
        <v>327</v>
      </c>
      <c r="E22" s="2387">
        <v>627</v>
      </c>
      <c r="F22" s="2388">
        <v>283</v>
      </c>
      <c r="G22" s="3592">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2610</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89"/>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89"/>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96"/>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92">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89"/>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89"/>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90"/>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88">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89"/>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89"/>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90"/>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88">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89"/>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89"/>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90"/>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93">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94"/>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94"/>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95"/>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88">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89"/>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89"/>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90"/>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88">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89">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89">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90">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88">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89">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89">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90">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88">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89">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89">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90">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88">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89">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89">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90">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88">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89">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89">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90">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88">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89">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89">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90">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88">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89">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89">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90">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88">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89">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89">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90">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88">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89">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89">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90">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88">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89">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89">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90">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600" t="s">
        <v>2582</v>
      </c>
      <c r="D1" s="3601"/>
      <c r="E1" s="3601"/>
      <c r="F1" s="3601"/>
      <c r="G1" s="3601"/>
      <c r="H1" s="3601"/>
      <c r="I1" s="3601"/>
      <c r="J1" s="3601"/>
      <c r="K1" s="3601"/>
      <c r="L1" s="3601"/>
      <c r="M1" s="3601"/>
      <c r="N1" s="3601"/>
      <c r="O1" s="3601"/>
      <c r="P1" s="3601"/>
      <c r="Q1" s="3601"/>
      <c r="R1" s="3601"/>
      <c r="S1" s="3602"/>
      <c r="T1" s="1095" t="s">
        <v>2583</v>
      </c>
    </row>
    <row r="2" spans="1:45" s="663" customFormat="1">
      <c r="A2" s="1096"/>
      <c r="B2" s="659" t="s">
        <v>2584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2585</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2586</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2587</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2588</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2589</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2590</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2591</v>
      </c>
      <c r="B17" s="2314" t="s">
        <v>2592</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5" t="s">
        <v>2593</v>
      </c>
      <c r="E19" s="1474"/>
      <c r="F19" s="1474"/>
      <c r="G19" s="1474"/>
      <c r="H19" s="1171"/>
      <c r="I19" s="164"/>
      <c r="J19" s="164"/>
      <c r="K19" s="164"/>
      <c r="L19" s="164"/>
      <c r="M19" s="164"/>
      <c r="N19" s="164"/>
      <c r="O19" s="164"/>
      <c r="P19" s="164"/>
      <c r="Q19" s="164"/>
      <c r="R19" s="727"/>
      <c r="S19" s="134"/>
    </row>
    <row r="20" spans="1:45" ht="16.5" thickBot="1">
      <c r="A20" s="671" t="s">
        <v>2594</v>
      </c>
      <c r="B20" s="300" t="e">
        <f ca="1">IF(D20="——",S22,S22-F20)</f>
        <v>#REF!</v>
      </c>
      <c r="C20" s="164"/>
      <c r="D20" s="2316"/>
      <c r="E20" s="1475"/>
      <c r="F20" s="1095" t="e">
        <f ca="1">SUMIF(INDIRECT("'"&amp;H20&amp;"'"&amp;"!A:A"),"承租人权益价值",INDIRECT("'"&amp;H20&amp;"'"&amp;"!c:c"))</f>
        <v>#REF!</v>
      </c>
      <c r="G20" s="1095" t="s">
        <v>2595</v>
      </c>
      <c r="H20" s="2317"/>
      <c r="I20" s="164"/>
      <c r="J20" s="164"/>
      <c r="K20" s="164"/>
      <c r="L20" s="164"/>
      <c r="M20" s="164"/>
      <c r="N20" s="164"/>
      <c r="O20" s="164"/>
      <c r="P20" s="164"/>
      <c r="Q20" s="164"/>
      <c r="R20" s="727"/>
      <c r="S20" s="134"/>
    </row>
    <row r="21" spans="1:45" ht="15.75">
      <c r="A21" s="671" t="s">
        <v>2596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2597</v>
      </c>
      <c r="B22" s="24">
        <f>SUM(B24:B10000)</f>
        <v>100</v>
      </c>
      <c r="C22" s="3597" t="s">
        <v>33</v>
      </c>
      <c r="D22" s="3598"/>
      <c r="E22" s="3598"/>
      <c r="F22" s="3598"/>
      <c r="G22" s="3598"/>
      <c r="H22" s="3598"/>
      <c r="I22" s="3598"/>
      <c r="J22" s="3598"/>
      <c r="K22" s="3598"/>
      <c r="L22" s="3598"/>
      <c r="M22" s="3598"/>
      <c r="N22" s="3598"/>
      <c r="O22" s="3598"/>
      <c r="P22" s="3598"/>
      <c r="Q22" s="3599"/>
      <c r="R22" s="672">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3" t="s">
        <v>2601</v>
      </c>
      <c r="S23" s="11" t="s">
        <v>2602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2603</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31011</v>
      </c>
      <c r="C2" s="2" t="s">
        <v>133</v>
      </c>
      <c r="D2" s="205"/>
      <c r="E2" s="205"/>
      <c r="F2" s="205"/>
      <c r="G2" s="205"/>
    </row>
    <row r="3" spans="1:7" s="206" customFormat="1" ht="18" customHeight="1" thickBot="1">
      <c r="A3" s="209" t="s">
        <v>85</v>
      </c>
      <c r="B3" s="210">
        <f ca="1">ROUND(B2*10000/'数据-汇总表'!E3,0)</f>
        <v>50025</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105</v>
      </c>
      <c r="F9" s="227"/>
      <c r="G9" s="232"/>
    </row>
    <row r="10" spans="1:7" s="220" customFormat="1" ht="13.5" customHeight="1">
      <c r="A10" s="868" t="s">
        <v>620</v>
      </c>
      <c r="B10" s="230" t="s">
        <v>94</v>
      </c>
      <c r="C10" s="231">
        <f>ROUND(D10*E10/10000,0)</f>
        <v>65</v>
      </c>
      <c r="D10" s="935">
        <f>'数据-汇总表'!E6</f>
        <v>6199.09</v>
      </c>
      <c r="E10" s="231">
        <f>'数据-取费表'!B28</f>
        <v>105</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124</v>
      </c>
      <c r="D19" s="939">
        <f>'数据-汇总表'!E3</f>
        <v>6199.09</v>
      </c>
      <c r="E19" s="217">
        <f>'数据-取费表'!B31</f>
        <v>200</v>
      </c>
      <c r="F19" s="237"/>
      <c r="G19" s="1" t="s">
        <v>861</v>
      </c>
    </row>
    <row r="20" spans="1:7" s="220" customFormat="1" ht="13.5" customHeight="1">
      <c r="A20" s="866" t="s">
        <v>844</v>
      </c>
      <c r="B20" s="216" t="s">
        <v>104</v>
      </c>
      <c r="C20" s="238">
        <f>ROUND((C5+C19)*F20,0)</f>
        <v>415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1774</v>
      </c>
      <c r="D22" s="241">
        <f ca="1">C26</f>
        <v>8.0000000000000004E-4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1746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11</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4230</v>
      </c>
      <c r="D27" s="241">
        <f>C29</f>
        <v>4.0000000000000001E-3</v>
      </c>
      <c r="E27" s="242" t="s">
        <v>126</v>
      </c>
      <c r="F27" s="252">
        <f>'数据-取费表'!Q16</f>
        <v>0.2</v>
      </c>
      <c r="G27" s="253" t="s">
        <v>856</v>
      </c>
    </row>
    <row r="28" spans="1:7" s="220" customFormat="1" ht="13.5" customHeight="1">
      <c r="A28" s="869" t="s">
        <v>613</v>
      </c>
      <c r="B28" s="254" t="s">
        <v>849</v>
      </c>
      <c r="C28" s="255">
        <f>ROUND((C5+C19+C20)*F27*'数据-取费表'!B21/'数据-取费表'!B20,0)</f>
        <v>4230</v>
      </c>
      <c r="D28" s="241"/>
      <c r="E28" s="242"/>
      <c r="F28" s="252"/>
      <c r="G28" s="253"/>
    </row>
    <row r="29" spans="1:7" s="220" customFormat="1" ht="13.5" customHeight="1">
      <c r="A29" s="869" t="s">
        <v>611</v>
      </c>
      <c r="B29" s="254" t="s">
        <v>850</v>
      </c>
      <c r="C29" s="244">
        <f>ROUND(C21*F27*'数据-取费表'!B21/'数据-取费表'!B20,4)</f>
        <v>4.0000000000000001E-3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29454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1889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1612</v>
      </c>
      <c r="D34" s="223"/>
      <c r="E34" s="226"/>
      <c r="F34" s="263">
        <f>IF('数据-取费表'!B24=0,1,'数据-取费表'!N16)</f>
        <v>1</v>
      </c>
      <c r="G34" s="225" t="s">
        <v>116</v>
      </c>
    </row>
    <row r="35" spans="1:7" ht="13.5" customHeight="1">
      <c r="A35" s="869" t="s">
        <v>615</v>
      </c>
      <c r="B35" s="221" t="s">
        <v>60</v>
      </c>
      <c r="C35" s="226">
        <f>ROUND(C34*F35,0)</f>
        <v>48</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81</v>
      </c>
      <c r="D36" s="226"/>
      <c r="E36" s="226"/>
      <c r="F36" s="265">
        <f>'数据-取费表'!B34</f>
        <v>0.05</v>
      </c>
      <c r="G36" s="266" t="s">
        <v>62</v>
      </c>
    </row>
    <row r="37" spans="1:7" s="264" customFormat="1" ht="13.5" customHeight="1">
      <c r="A37" s="869" t="s">
        <v>617</v>
      </c>
      <c r="B37" s="221" t="s">
        <v>118</v>
      </c>
      <c r="C37" s="255">
        <f>ROUND(E37*D37*F34/10000,0)</f>
        <v>124</v>
      </c>
      <c r="D37" s="223">
        <f>'数据-汇总表'!E3</f>
        <v>6199.09</v>
      </c>
      <c r="E37" s="255">
        <f>'数据-取费表'!B35</f>
        <v>200</v>
      </c>
      <c r="F37" s="265"/>
      <c r="G37" s="267" t="s">
        <v>119</v>
      </c>
    </row>
    <row r="38" spans="1:7" ht="13.5" customHeight="1">
      <c r="A38" s="869" t="s">
        <v>618</v>
      </c>
      <c r="B38" s="221" t="s">
        <v>63</v>
      </c>
      <c r="C38" s="226">
        <f>ROUND(C34*F38,0)</f>
        <v>24</v>
      </c>
      <c r="D38" s="226"/>
      <c r="E38" s="226"/>
      <c r="F38" s="265">
        <f>'数据-取费表'!B36</f>
        <v>1.4999999999999999E-2</v>
      </c>
      <c r="G38" s="225" t="s">
        <v>117</v>
      </c>
    </row>
    <row r="39" spans="1:7" s="220" customFormat="1" ht="13.5" customHeight="1">
      <c r="A39" s="866" t="s">
        <v>602</v>
      </c>
      <c r="B39" s="216" t="s">
        <v>104</v>
      </c>
      <c r="C39" s="238">
        <f>ROUND(C33*F20,0)</f>
        <v>38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80</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78</v>
      </c>
      <c r="D42" s="244"/>
      <c r="E42" s="244"/>
      <c r="F42" s="245"/>
      <c r="G42" s="3447" t="s">
        <v>121</v>
      </c>
    </row>
    <row r="43" spans="1:7" ht="13.5" customHeight="1">
      <c r="A43" s="869" t="s">
        <v>611</v>
      </c>
      <c r="B43" s="221" t="s">
        <v>851</v>
      </c>
      <c r="C43" s="244">
        <f ca="1">ROUND(IF('数据-取费表'!B22&lt;=1,C39*F22*'数据-取费表'!B21/2,C39*(POWER((1+F22),'数据-取费表'!B21/2)-1)),0)</f>
        <v>2</v>
      </c>
      <c r="D43" s="244"/>
      <c r="E43" s="244"/>
      <c r="F43" s="245"/>
      <c r="G43" s="3448"/>
    </row>
    <row r="44" spans="1:7" ht="13.5" customHeight="1">
      <c r="A44" s="869" t="s">
        <v>612</v>
      </c>
      <c r="B44" s="221" t="s">
        <v>853</v>
      </c>
      <c r="C44" s="244">
        <f ca="1">ROUND(IF('数据-取费表'!B22&lt;=1,C40*F22*'数据-取费表'!B21/2,C40*(POWER((1+F22),'数据-取费表'!B21/2)-1)),4)</f>
        <v>8.0000000000000004E-4</v>
      </c>
      <c r="D44" s="244"/>
      <c r="E44" s="244"/>
      <c r="F44" s="245"/>
      <c r="G44" s="3449"/>
    </row>
    <row r="45" spans="1:7" s="220" customFormat="1" ht="13.5" customHeight="1">
      <c r="A45" s="866" t="s">
        <v>605</v>
      </c>
      <c r="B45" s="250" t="s">
        <v>112</v>
      </c>
      <c r="C45" s="251">
        <f>C46</f>
        <v>385</v>
      </c>
      <c r="D45" s="241">
        <f>C47</f>
        <v>4.0000000000000001E-3</v>
      </c>
      <c r="E45" s="242" t="s">
        <v>129</v>
      </c>
      <c r="F45" s="252"/>
      <c r="G45" s="253" t="s">
        <v>859</v>
      </c>
    </row>
    <row r="46" spans="1:7" s="220" customFormat="1" ht="13.5" customHeight="1">
      <c r="A46" s="869" t="s">
        <v>613</v>
      </c>
      <c r="B46" s="254" t="s">
        <v>852</v>
      </c>
      <c r="C46" s="255">
        <f>ROUND((C33+C39)*F27,0)</f>
        <v>385</v>
      </c>
      <c r="D46" s="269"/>
      <c r="E46" s="242"/>
      <c r="F46" s="252"/>
      <c r="G46" s="253"/>
    </row>
    <row r="47" spans="1:7" s="220" customFormat="1" ht="13.5" customHeight="1">
      <c r="A47" s="869" t="s">
        <v>611</v>
      </c>
      <c r="B47" s="254" t="s">
        <v>854</v>
      </c>
      <c r="C47" s="244">
        <f>ROUND(C40*F27,4)</f>
        <v>4.0000000000000001E-3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2595</v>
      </c>
      <c r="D49" s="238"/>
      <c r="E49" s="238"/>
      <c r="F49" s="270"/>
      <c r="G49" s="240" t="s">
        <v>860</v>
      </c>
    </row>
    <row r="50" spans="1:7" s="264" customFormat="1" ht="24">
      <c r="A50" s="866" t="s">
        <v>608</v>
      </c>
      <c r="B50" s="216" t="s">
        <v>124</v>
      </c>
      <c r="C50" s="238"/>
      <c r="D50" s="238"/>
      <c r="E50" s="238"/>
      <c r="F50" s="270">
        <f>IF('数据-取费表'!B24=0,'数据-取费表'!N16,1)</f>
        <v>0.6</v>
      </c>
      <c r="G50" s="253" t="s">
        <v>125</v>
      </c>
    </row>
    <row r="51" spans="1:7" ht="16.5" customHeight="1">
      <c r="A51" s="866" t="s">
        <v>609</v>
      </c>
      <c r="B51" s="216" t="s">
        <v>132</v>
      </c>
      <c r="C51" s="238">
        <f ca="1">ROUND(C49*F50,0)</f>
        <v>1557</v>
      </c>
      <c r="D51" s="238"/>
      <c r="E51" s="238"/>
      <c r="F51" s="270"/>
      <c r="G51" s="240" t="s">
        <v>64</v>
      </c>
    </row>
    <row r="52" spans="1:7" s="214" customFormat="1" ht="16.5" thickBot="1">
      <c r="A52" s="271" t="s">
        <v>65</v>
      </c>
      <c r="B52" s="272"/>
      <c r="C52" s="273">
        <f ca="1">C31+C51</f>
        <v>31011</v>
      </c>
      <c r="D52" s="272"/>
      <c r="E52" s="272"/>
      <c r="F52" s="272"/>
      <c r="G52" s="274"/>
    </row>
    <row r="55" spans="1:7" ht="15">
      <c r="B55" s="276" t="s">
        <v>66</v>
      </c>
      <c r="C55" s="277"/>
    </row>
    <row r="56" spans="1:7">
      <c r="B56" s="279" t="s">
        <v>67</v>
      </c>
      <c r="C56" s="280">
        <f ca="1">ROUND(C51/C52,3)</f>
        <v>0.05</v>
      </c>
    </row>
    <row r="57" spans="1:7">
      <c r="B57" s="279" t="s">
        <v>68</v>
      </c>
      <c r="C57" s="281">
        <f ca="1">1-C56</f>
        <v>0.95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03" t="s">
        <v>156</v>
      </c>
      <c r="B1" s="3603"/>
      <c r="C1" s="3603"/>
      <c r="D1" s="3603"/>
      <c r="E1" s="3603"/>
      <c r="F1" s="360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04" t="s">
        <v>169</v>
      </c>
      <c r="B2" s="3604"/>
      <c r="C2" s="3604"/>
      <c r="D2" s="3604"/>
      <c r="E2" s="3604"/>
      <c r="F2" s="360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05"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06"/>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03" t="s">
        <v>658</v>
      </c>
      <c r="B1" s="3603"/>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44915</v>
      </c>
      <c r="D1" s="1422" t="s">
        <v>1028</v>
      </c>
      <c r="E1" s="1417">
        <f>'数据-取费表'!B22</f>
        <v>2</v>
      </c>
      <c r="F1" s="1422" t="s">
        <v>1029</v>
      </c>
      <c r="G1" s="1418">
        <f ca="1">INDIRECT("d"&amp;$K$1)/100</f>
        <v>3.6499999999999998E-2</v>
      </c>
      <c r="H1" s="1422" t="s">
        <v>1059</v>
      </c>
      <c r="I1" s="1418">
        <f ca="1">F4/100</f>
        <v>1.4999999999999999E-2</v>
      </c>
      <c r="J1" s="1423">
        <f>IF(C1&gt;C13,0,MATCH(C1,C$13:C$109,-1))+IF(SUMIF(C13:C109,C1,D13:D109)=0,13,12)</f>
        <v>13</v>
      </c>
      <c r="K1" s="1423">
        <f>MATCH(E1,C3:C7,1)+IF(SUMIF(C3:C7,E1,D3:D7)=0,2,1)</f>
        <v>5</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3.65</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3.65</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3.65</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3.65</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4.3</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44795</v>
      </c>
      <c r="D13" s="3001">
        <v>3.65</v>
      </c>
      <c r="E13" s="3001">
        <f>D13</f>
        <v>3.65</v>
      </c>
      <c r="F13" s="3001">
        <f>D13</f>
        <v>3.65</v>
      </c>
      <c r="G13" s="3001">
        <f>D13</f>
        <v>3.65</v>
      </c>
      <c r="H13" s="3001">
        <v>4.3</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7">
        <v>44701</v>
      </c>
      <c r="D14" s="2996">
        <v>3.7</v>
      </c>
      <c r="E14" s="2996">
        <v>3.7</v>
      </c>
      <c r="F14" s="2996">
        <v>3.7</v>
      </c>
      <c r="G14" s="2996">
        <v>3.7</v>
      </c>
      <c r="H14" s="2996">
        <v>4.45</v>
      </c>
      <c r="I14" s="3001"/>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5"/>
      <c r="C15" s="2997">
        <v>44581</v>
      </c>
      <c r="D15" s="2996">
        <v>3.7</v>
      </c>
      <c r="E15" s="2996">
        <f>D15</f>
        <v>3.7</v>
      </c>
      <c r="F15" s="2996">
        <f>D15</f>
        <v>3.7</v>
      </c>
      <c r="G15" s="2996">
        <f>D15</f>
        <v>3.7</v>
      </c>
      <c r="H15" s="2996">
        <v>4.5999999999999996</v>
      </c>
      <c r="I15" s="3001"/>
      <c r="J15" s="3001"/>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44550</v>
      </c>
      <c r="D16" s="2996">
        <v>3.8</v>
      </c>
      <c r="E16" s="2996">
        <f>D16</f>
        <v>3.8</v>
      </c>
      <c r="F16" s="2996">
        <f>D16</f>
        <v>3.8</v>
      </c>
      <c r="G16" s="2996">
        <f>D16</f>
        <v>3.8</v>
      </c>
      <c r="H16" s="2996">
        <v>4.6500000000000004</v>
      </c>
      <c r="I16" s="2996"/>
      <c r="J16" s="3001"/>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43941</v>
      </c>
      <c r="D17" s="2996">
        <v>3.85</v>
      </c>
      <c r="E17" s="2996">
        <v>3.85</v>
      </c>
      <c r="F17" s="2996">
        <v>3.85</v>
      </c>
      <c r="G17" s="2996">
        <v>3.85</v>
      </c>
      <c r="H17" s="2996">
        <v>4.6500000000000004</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43881</v>
      </c>
      <c r="D18" s="2996">
        <v>4.05</v>
      </c>
      <c r="E18" s="2996">
        <v>4.05</v>
      </c>
      <c r="F18" s="2996">
        <v>4.05</v>
      </c>
      <c r="G18" s="2996">
        <v>4.05</v>
      </c>
      <c r="H18" s="2996">
        <v>4.75</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6"/>
      <c r="C19" s="2997">
        <v>43789</v>
      </c>
      <c r="D19" s="2996">
        <v>4.1500000000000004</v>
      </c>
      <c r="E19" s="2996">
        <v>4.1500000000000004</v>
      </c>
      <c r="F19" s="2996">
        <v>4.1500000000000004</v>
      </c>
      <c r="G19" s="2996">
        <v>4.1500000000000004</v>
      </c>
      <c r="H19" s="2996">
        <v>4.8</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6"/>
      <c r="C20" s="2997">
        <v>43728</v>
      </c>
      <c r="D20" s="2996">
        <v>4.2</v>
      </c>
      <c r="E20" s="2996">
        <v>4.2</v>
      </c>
      <c r="F20" s="2996">
        <v>4.2</v>
      </c>
      <c r="G20" s="2996">
        <v>4.2</v>
      </c>
      <c r="H20" s="2996">
        <v>4.8499999999999996</v>
      </c>
      <c r="I20" s="2996"/>
      <c r="J20" s="2996"/>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1404"/>
      <c r="B21" s="2995" t="s">
        <v>2804</v>
      </c>
      <c r="C21" s="2998">
        <v>43697</v>
      </c>
      <c r="D21" s="2999">
        <v>4.25</v>
      </c>
      <c r="E21" s="2999">
        <v>4.25</v>
      </c>
      <c r="F21" s="2999">
        <v>4.25</v>
      </c>
      <c r="G21" s="2999">
        <v>4.25</v>
      </c>
      <c r="H21" s="2999">
        <v>4.8499999999999996</v>
      </c>
      <c r="I21" s="2999"/>
      <c r="J21" s="2999"/>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ht="14.25">
      <c r="A22" s="3002"/>
      <c r="B22" s="3003"/>
      <c r="C22" s="3004">
        <v>42301</v>
      </c>
      <c r="D22" s="3005">
        <v>4.3499999999999996</v>
      </c>
      <c r="E22" s="3005">
        <v>4.3499999999999996</v>
      </c>
      <c r="F22" s="3005">
        <v>4.75</v>
      </c>
      <c r="G22" s="3005">
        <v>4.75</v>
      </c>
      <c r="H22" s="3005">
        <v>4.9000000000000004</v>
      </c>
      <c r="I22" s="3005"/>
      <c r="J22" s="3005"/>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42242</v>
      </c>
      <c r="D23" s="1410">
        <v>4.5999999999999996</v>
      </c>
      <c r="E23" s="1410">
        <v>4.5999999999999996</v>
      </c>
      <c r="F23" s="1410">
        <v>5</v>
      </c>
      <c r="G23" s="1410">
        <v>5</v>
      </c>
      <c r="H23" s="1410">
        <v>5.15</v>
      </c>
      <c r="I23" s="1410">
        <v>2.75</v>
      </c>
      <c r="J23" s="1410">
        <v>3.25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42183</v>
      </c>
      <c r="D24" s="1410">
        <v>4.8499999999999996</v>
      </c>
      <c r="E24" s="1410">
        <v>4.8499999999999996</v>
      </c>
      <c r="F24" s="1410">
        <v>5.25</v>
      </c>
      <c r="G24" s="1410">
        <v>5.25</v>
      </c>
      <c r="H24" s="1410">
        <v>5.4</v>
      </c>
      <c r="I24" s="1410">
        <v>3</v>
      </c>
      <c r="J24" s="1410">
        <v>3.5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42135</v>
      </c>
      <c r="D25" s="1410">
        <v>5.0999999999999996</v>
      </c>
      <c r="E25" s="1410">
        <v>5.0999999999999996</v>
      </c>
      <c r="F25" s="1410">
        <v>5.5</v>
      </c>
      <c r="G25" s="1410">
        <v>5.5</v>
      </c>
      <c r="H25" s="1410">
        <v>5.65</v>
      </c>
      <c r="I25" s="1410">
        <v>3.25</v>
      </c>
      <c r="J25" s="1410">
        <v>3.75</v>
      </c>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42064</v>
      </c>
      <c r="D26" s="1410">
        <v>5.35</v>
      </c>
      <c r="E26" s="1410">
        <v>5.35</v>
      </c>
      <c r="F26" s="1410">
        <v>5.75</v>
      </c>
      <c r="G26" s="1410">
        <v>5.75</v>
      </c>
      <c r="H26" s="1410">
        <v>5.9</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41965</v>
      </c>
      <c r="D27" s="1410">
        <v>5.6</v>
      </c>
      <c r="E27" s="1410">
        <v>5.6</v>
      </c>
      <c r="F27" s="1410">
        <v>6</v>
      </c>
      <c r="G27" s="1410">
        <v>6</v>
      </c>
      <c r="H27" s="1410">
        <v>6.15</v>
      </c>
      <c r="I27" s="1410"/>
      <c r="J27" s="1410"/>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41096</v>
      </c>
      <c r="D28" s="1410">
        <v>5.6</v>
      </c>
      <c r="E28" s="1410">
        <v>6</v>
      </c>
      <c r="F28" s="1410">
        <v>6.15</v>
      </c>
      <c r="G28" s="1410">
        <v>6.4</v>
      </c>
      <c r="H28" s="1410">
        <v>6.55</v>
      </c>
      <c r="I28" s="1410">
        <v>4</v>
      </c>
      <c r="J28" s="1410">
        <v>4.5</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41068</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40731</v>
      </c>
      <c r="D30" s="1410">
        <v>6.1</v>
      </c>
      <c r="E30" s="1410">
        <v>6.56</v>
      </c>
      <c r="F30" s="1410">
        <v>6.65</v>
      </c>
      <c r="G30" s="1410">
        <v>6.9</v>
      </c>
      <c r="H30" s="1410">
        <v>7.05</v>
      </c>
      <c r="I30" s="1410">
        <v>4.45</v>
      </c>
      <c r="J30" s="1410">
        <v>4.9000000000000004</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40639</v>
      </c>
      <c r="D31" s="1410">
        <v>5.85</v>
      </c>
      <c r="E31" s="1410">
        <v>6.31</v>
      </c>
      <c r="F31" s="1410">
        <v>6.4</v>
      </c>
      <c r="G31" s="1410">
        <v>6.65</v>
      </c>
      <c r="H31" s="1410">
        <v>6.8</v>
      </c>
      <c r="I31" s="1410">
        <v>4.2</v>
      </c>
      <c r="J31" s="1410">
        <v>4.7</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40583</v>
      </c>
      <c r="D32" s="1410">
        <v>5.6</v>
      </c>
      <c r="E32" s="1410">
        <v>6.06</v>
      </c>
      <c r="F32" s="1410">
        <v>6.1</v>
      </c>
      <c r="G32" s="1410">
        <v>6.45</v>
      </c>
      <c r="H32" s="1410">
        <v>6.6</v>
      </c>
      <c r="I32" s="1410">
        <v>4</v>
      </c>
      <c r="J32" s="1410">
        <v>4.5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40538</v>
      </c>
      <c r="D33" s="1410">
        <v>5.35</v>
      </c>
      <c r="E33" s="1410">
        <v>5.81</v>
      </c>
      <c r="F33" s="1410">
        <v>5.85</v>
      </c>
      <c r="G33" s="1410">
        <v>6.22</v>
      </c>
      <c r="H33" s="1410">
        <v>6.4</v>
      </c>
      <c r="I33" s="1410">
        <v>3.75</v>
      </c>
      <c r="J33" s="1410">
        <v>4.3</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40471</v>
      </c>
      <c r="D34" s="1410">
        <v>5.0999999999999996</v>
      </c>
      <c r="E34" s="1410">
        <v>5.56</v>
      </c>
      <c r="F34" s="1410">
        <v>5.6</v>
      </c>
      <c r="G34" s="1410">
        <v>5.96</v>
      </c>
      <c r="H34" s="1410">
        <v>6.14</v>
      </c>
      <c r="I34" s="1410">
        <v>3.5</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39805</v>
      </c>
      <c r="D35" s="1410">
        <v>4.8600000000000003</v>
      </c>
      <c r="E35" s="1410">
        <v>5.31</v>
      </c>
      <c r="F35" s="1410">
        <v>5.4</v>
      </c>
      <c r="G35" s="1410">
        <v>5.76</v>
      </c>
      <c r="H35" s="1410">
        <v>5.94</v>
      </c>
      <c r="I35" s="1410">
        <v>3.33</v>
      </c>
      <c r="J35" s="1410">
        <v>3.87</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39779</v>
      </c>
      <c r="D36" s="1410">
        <v>5.04</v>
      </c>
      <c r="E36" s="1410">
        <v>5.58</v>
      </c>
      <c r="F36" s="1410">
        <v>5.67</v>
      </c>
      <c r="G36" s="1410">
        <v>5.94</v>
      </c>
      <c r="H36" s="1410">
        <v>6.12</v>
      </c>
      <c r="I36" s="1410">
        <v>3.51</v>
      </c>
      <c r="J36" s="1410">
        <v>4.05</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39751</v>
      </c>
      <c r="D37" s="1410">
        <v>6.03</v>
      </c>
      <c r="E37" s="1410">
        <v>6.66</v>
      </c>
      <c r="F37" s="1410">
        <v>6.75</v>
      </c>
      <c r="G37" s="1410">
        <v>7.02</v>
      </c>
      <c r="H37" s="1410">
        <v>7.2</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2">
        <v>39748</v>
      </c>
      <c r="D38" s="1410">
        <v>6.12</v>
      </c>
      <c r="E38" s="1410">
        <v>6.93</v>
      </c>
      <c r="F38" s="1410">
        <v>7.02</v>
      </c>
      <c r="G38" s="1410">
        <v>7.29</v>
      </c>
      <c r="H38" s="1410">
        <v>7.47</v>
      </c>
      <c r="I38" s="1410">
        <v>4.05</v>
      </c>
      <c r="J38" s="1410">
        <v>4.59</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39730</v>
      </c>
      <c r="D39" s="1410">
        <v>6.12</v>
      </c>
      <c r="E39" s="1410">
        <v>6.93</v>
      </c>
      <c r="F39" s="1410">
        <v>7.02</v>
      </c>
      <c r="G39" s="1410">
        <v>7.29</v>
      </c>
      <c r="H39" s="1410">
        <v>7.47</v>
      </c>
      <c r="I39" s="1410">
        <v>4.32</v>
      </c>
      <c r="J39" s="1410">
        <v>4.8600000000000003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39707</v>
      </c>
      <c r="D40" s="1410">
        <v>6.21</v>
      </c>
      <c r="E40" s="1410">
        <v>7.2</v>
      </c>
      <c r="F40" s="1410">
        <v>7.29</v>
      </c>
      <c r="G40" s="1410">
        <v>7.56</v>
      </c>
      <c r="H40" s="1410">
        <v>7.74</v>
      </c>
      <c r="I40" s="1410">
        <v>4.59</v>
      </c>
      <c r="J40" s="1410">
        <v>5.13</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39437</v>
      </c>
      <c r="D41" s="1410">
        <v>6.57</v>
      </c>
      <c r="E41" s="1410">
        <v>7.47</v>
      </c>
      <c r="F41" s="1410">
        <v>7.56</v>
      </c>
      <c r="G41" s="1410">
        <v>7.74</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39340</v>
      </c>
      <c r="D42" s="1410">
        <v>6.48</v>
      </c>
      <c r="E42" s="1410">
        <v>7.29</v>
      </c>
      <c r="F42" s="1410">
        <v>7.47</v>
      </c>
      <c r="G42" s="1410">
        <v>7.65</v>
      </c>
      <c r="H42" s="1410">
        <v>7.83</v>
      </c>
      <c r="I42" s="1410">
        <v>4.7699999999999996</v>
      </c>
      <c r="J42" s="1410">
        <v>5.22</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39316</v>
      </c>
      <c r="D43" s="1410">
        <v>6.21</v>
      </c>
      <c r="E43" s="1410">
        <v>7.02</v>
      </c>
      <c r="F43" s="1410">
        <v>7.2</v>
      </c>
      <c r="G43" s="1410">
        <v>7.38</v>
      </c>
      <c r="H43" s="1410">
        <v>7.56</v>
      </c>
      <c r="I43" s="1410">
        <v>4.59</v>
      </c>
      <c r="J43" s="1410">
        <v>5.04</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39284</v>
      </c>
      <c r="D44" s="1410">
        <v>6.03</v>
      </c>
      <c r="E44" s="1410">
        <v>6.84</v>
      </c>
      <c r="F44" s="1410">
        <v>7.02</v>
      </c>
      <c r="G44" s="1410">
        <v>7.2</v>
      </c>
      <c r="H44" s="1410">
        <v>7.38</v>
      </c>
      <c r="I44" s="1410">
        <v>4.5</v>
      </c>
      <c r="J44" s="1410">
        <v>4.95</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39221</v>
      </c>
      <c r="D45" s="1410">
        <v>5.85</v>
      </c>
      <c r="E45" s="1410">
        <v>6.57</v>
      </c>
      <c r="F45" s="1410">
        <v>6.75</v>
      </c>
      <c r="G45" s="1410">
        <v>6.93</v>
      </c>
      <c r="H45" s="1410">
        <v>7.2</v>
      </c>
      <c r="I45" s="1410">
        <v>4.41</v>
      </c>
      <c r="J45" s="1410">
        <v>4.8600000000000003</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39159</v>
      </c>
      <c r="D46" s="1410">
        <v>5.67</v>
      </c>
      <c r="E46" s="1410">
        <v>6.39</v>
      </c>
      <c r="F46" s="1410">
        <v>6.57</v>
      </c>
      <c r="G46" s="1410">
        <v>6.75</v>
      </c>
      <c r="H46" s="1410">
        <v>7.11</v>
      </c>
      <c r="I46" s="1410">
        <v>4.32</v>
      </c>
      <c r="J46" s="1410">
        <v>4.7699999999999996</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38948</v>
      </c>
      <c r="D47" s="1410">
        <v>5.58</v>
      </c>
      <c r="E47" s="1410">
        <v>6.12</v>
      </c>
      <c r="F47" s="1410">
        <v>6.3</v>
      </c>
      <c r="G47" s="1410">
        <v>6.48</v>
      </c>
      <c r="H47" s="1410">
        <v>6.84</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38835</v>
      </c>
      <c r="D48" s="1410">
        <v>5.4</v>
      </c>
      <c r="E48" s="1410">
        <v>5.85</v>
      </c>
      <c r="F48" s="1410">
        <v>6.03</v>
      </c>
      <c r="G48" s="1410">
        <v>6.12</v>
      </c>
      <c r="H48" s="1410">
        <v>6.39</v>
      </c>
      <c r="I48" s="1410">
        <v>4.1399999999999997</v>
      </c>
      <c r="J48" s="1410">
        <v>4.59</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38428</v>
      </c>
      <c r="D49" s="1410">
        <v>5.22</v>
      </c>
      <c r="E49" s="1410">
        <v>5.58</v>
      </c>
      <c r="F49" s="1410">
        <v>5.76</v>
      </c>
      <c r="G49" s="1410">
        <v>5.85</v>
      </c>
      <c r="H49" s="1410">
        <v>6.12</v>
      </c>
      <c r="I49" s="1410">
        <v>3.96</v>
      </c>
      <c r="J49" s="1410">
        <v>4.41</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38289</v>
      </c>
      <c r="D50" s="1410">
        <v>5.22</v>
      </c>
      <c r="E50" s="1410">
        <v>5.58</v>
      </c>
      <c r="F50" s="1410">
        <v>5.76</v>
      </c>
      <c r="G50" s="1410">
        <v>5.85</v>
      </c>
      <c r="H50" s="1410">
        <v>6.12</v>
      </c>
      <c r="I50" s="1410">
        <v>3.78</v>
      </c>
      <c r="J50" s="1410">
        <v>4.2300000000000004</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37308</v>
      </c>
      <c r="D51" s="1410">
        <v>5.04</v>
      </c>
      <c r="E51" s="1410">
        <v>5.31</v>
      </c>
      <c r="F51" s="1410">
        <v>5.49</v>
      </c>
      <c r="G51" s="1410">
        <v>5.58</v>
      </c>
      <c r="H51" s="1410">
        <v>5.76</v>
      </c>
      <c r="I51" s="1410">
        <v>3.6</v>
      </c>
      <c r="J51" s="1410">
        <v>4.05</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36321</v>
      </c>
      <c r="D52" s="1410">
        <v>5.58</v>
      </c>
      <c r="E52" s="1410">
        <v>5.85</v>
      </c>
      <c r="F52" s="1410">
        <v>5.94</v>
      </c>
      <c r="G52" s="1410">
        <v>6.03</v>
      </c>
      <c r="H52" s="1410">
        <v>6.21</v>
      </c>
      <c r="I52" s="1410">
        <v>4.1399999999999997</v>
      </c>
      <c r="J52" s="1410">
        <v>4.59</v>
      </c>
      <c r="L52" s="1410"/>
      <c r="M52" s="1411"/>
      <c r="N52" s="1410"/>
      <c r="O52" s="1410"/>
      <c r="P52" s="1410"/>
      <c r="Q52" s="1410"/>
      <c r="R52" s="1410"/>
      <c r="S52" s="1410"/>
      <c r="T52" s="1410"/>
      <c r="U52" s="1410"/>
      <c r="V52" s="1410"/>
      <c r="W52" s="1410"/>
      <c r="X52" s="1410"/>
      <c r="Y52" s="1410"/>
      <c r="Z52" s="1410"/>
    </row>
    <row r="53" spans="2:26">
      <c r="B53" s="1410"/>
      <c r="C53" s="1411">
        <v>36136</v>
      </c>
      <c r="D53" s="1410">
        <v>6.12</v>
      </c>
      <c r="E53" s="1410">
        <v>6.39</v>
      </c>
      <c r="F53" s="1410">
        <v>6.66</v>
      </c>
      <c r="G53" s="1410">
        <v>7.2</v>
      </c>
      <c r="H53" s="1410">
        <v>7.56</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35977</v>
      </c>
      <c r="D54" s="1410">
        <v>6.57</v>
      </c>
      <c r="E54" s="1410">
        <v>6.93</v>
      </c>
      <c r="F54" s="1410">
        <v>7.11</v>
      </c>
      <c r="G54" s="1410">
        <v>7.65</v>
      </c>
      <c r="H54" s="1410">
        <v>8.01</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35879</v>
      </c>
      <c r="D55" s="1410">
        <v>7.02</v>
      </c>
      <c r="E55" s="1410">
        <v>7.92</v>
      </c>
      <c r="F55" s="1410">
        <v>9</v>
      </c>
      <c r="G55" s="1410">
        <v>9.7200000000000006</v>
      </c>
      <c r="H55" s="1410">
        <v>10.35</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35726</v>
      </c>
      <c r="D56" s="1410">
        <v>7.65</v>
      </c>
      <c r="E56" s="1410">
        <v>8.64</v>
      </c>
      <c r="F56" s="1410">
        <v>9.36</v>
      </c>
      <c r="G56" s="1410">
        <v>9.9</v>
      </c>
      <c r="H56" s="1410">
        <v>10.53</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35300</v>
      </c>
      <c r="D57" s="1410">
        <v>9.18</v>
      </c>
      <c r="E57" s="1410">
        <v>10.08</v>
      </c>
      <c r="F57" s="1410">
        <v>10.98</v>
      </c>
      <c r="G57" s="1410">
        <v>11.7</v>
      </c>
      <c r="H57" s="1410">
        <v>12.42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35186</v>
      </c>
      <c r="D58" s="1410">
        <v>9.7200000000000006</v>
      </c>
      <c r="E58" s="1410">
        <v>10.98</v>
      </c>
      <c r="F58" s="1410">
        <v>13.14</v>
      </c>
      <c r="G58" s="1410">
        <v>14.94</v>
      </c>
      <c r="H58" s="1410">
        <v>15.12</v>
      </c>
      <c r="I58" s="1410">
        <v>0</v>
      </c>
      <c r="J58" s="1410">
        <v>0</v>
      </c>
    </row>
    <row r="59" spans="2:26">
      <c r="B59" s="1410"/>
      <c r="C59" s="1411">
        <v>34881</v>
      </c>
      <c r="D59" s="1410">
        <v>10.08</v>
      </c>
      <c r="E59" s="1410">
        <v>12.06</v>
      </c>
      <c r="F59" s="1410">
        <v>13.5</v>
      </c>
      <c r="G59" s="1410">
        <v>15.12</v>
      </c>
      <c r="H59" s="1410">
        <v>15.3</v>
      </c>
      <c r="I59" s="1410">
        <v>0</v>
      </c>
      <c r="J59" s="1410">
        <v>0</v>
      </c>
    </row>
    <row r="60" spans="2:26">
      <c r="B60" s="1410"/>
      <c r="C60" s="1411">
        <v>34700</v>
      </c>
      <c r="D60" s="1410">
        <v>9</v>
      </c>
      <c r="E60" s="1410">
        <v>10.98</v>
      </c>
      <c r="F60" s="1410">
        <v>12.96</v>
      </c>
      <c r="G60" s="1410">
        <v>14.58</v>
      </c>
      <c r="H60" s="1410">
        <v>14.76</v>
      </c>
      <c r="I60" s="1410">
        <v>0</v>
      </c>
      <c r="J60" s="1410">
        <v>0</v>
      </c>
    </row>
    <row r="61" spans="2:26">
      <c r="B61" s="1410"/>
      <c r="C61" s="1411">
        <v>34161</v>
      </c>
      <c r="D61" s="1410">
        <v>9</v>
      </c>
      <c r="E61" s="1410">
        <v>10.98</v>
      </c>
      <c r="F61" s="1410">
        <v>12.24</v>
      </c>
      <c r="G61" s="1410">
        <v>13.86</v>
      </c>
      <c r="H61" s="1410">
        <v>14.04</v>
      </c>
      <c r="I61" s="1410">
        <v>0</v>
      </c>
      <c r="J61" s="1410">
        <v>0</v>
      </c>
    </row>
    <row r="62" spans="2:26">
      <c r="B62" s="1410"/>
      <c r="C62" s="1411">
        <v>34104</v>
      </c>
      <c r="D62" s="1410">
        <v>8.82</v>
      </c>
      <c r="E62" s="1410">
        <v>9.36</v>
      </c>
      <c r="F62" s="1410">
        <v>10.8</v>
      </c>
      <c r="G62" s="1410">
        <v>12.06</v>
      </c>
      <c r="H62" s="1410">
        <v>12.24</v>
      </c>
      <c r="I62" s="1410">
        <v>0</v>
      </c>
      <c r="J62" s="1410">
        <v>0</v>
      </c>
    </row>
    <row r="63" spans="2:26">
      <c r="B63" s="1410"/>
      <c r="C63" s="1411">
        <v>33349</v>
      </c>
      <c r="D63" s="1410">
        <v>8.1</v>
      </c>
      <c r="E63" s="1410">
        <v>8.64</v>
      </c>
      <c r="F63" s="1410">
        <v>9</v>
      </c>
      <c r="G63" s="1410">
        <v>9.5399999999999991</v>
      </c>
      <c r="H63" s="1410">
        <v>9.7200000000000006</v>
      </c>
      <c r="I63" s="1410">
        <v>0</v>
      </c>
      <c r="J63" s="1410">
        <v>0</v>
      </c>
    </row>
    <row r="64" spans="2:26">
      <c r="B64" s="1410"/>
      <c r="C64" s="1411">
        <v>33318</v>
      </c>
      <c r="D64" s="1410">
        <v>9</v>
      </c>
      <c r="E64" s="1410">
        <v>10.08</v>
      </c>
      <c r="F64" s="1410">
        <v>10.8</v>
      </c>
      <c r="G64" s="1410">
        <v>11.52</v>
      </c>
      <c r="H64" s="1410">
        <v>11.88</v>
      </c>
      <c r="I64" s="1410" t="s">
        <v>1058</v>
      </c>
      <c r="J64" s="1410" t="s">
        <v>1058</v>
      </c>
    </row>
    <row r="65" spans="2:10">
      <c r="B65" s="1410"/>
      <c r="C65" s="1411">
        <v>33106</v>
      </c>
      <c r="D65" s="1410">
        <v>8.64</v>
      </c>
      <c r="E65" s="1410">
        <v>9.36</v>
      </c>
      <c r="F65" s="1410">
        <v>10.08</v>
      </c>
      <c r="G65" s="1410">
        <v>10.8</v>
      </c>
      <c r="H65" s="1410">
        <v>11.16</v>
      </c>
      <c r="I65" s="1410">
        <v>0</v>
      </c>
      <c r="J65" s="1410">
        <v>0</v>
      </c>
    </row>
    <row r="66" spans="2:10">
      <c r="B66" s="1410"/>
      <c r="C66" s="1411">
        <v>32540</v>
      </c>
      <c r="D66" s="1410">
        <v>11.34</v>
      </c>
      <c r="E66" s="1410">
        <v>11.34</v>
      </c>
      <c r="F66" s="1410">
        <v>12.78</v>
      </c>
      <c r="G66" s="1410">
        <v>14.4</v>
      </c>
      <c r="H66" s="1410">
        <v>19.260000000000002</v>
      </c>
      <c r="I66" s="1410">
        <v>0</v>
      </c>
      <c r="J66" s="1410">
        <v>0</v>
      </c>
    </row>
    <row r="67" spans="2:10">
      <c r="B67" s="1410"/>
      <c r="C67" s="1411"/>
      <c r="D67" s="1410"/>
      <c r="E67" s="1410"/>
      <c r="F67" s="1410"/>
      <c r="G67" s="1410"/>
      <c r="H67" s="1410"/>
      <c r="I67" s="1410"/>
      <c r="J67" s="1410"/>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413"/>
      <c r="C70" s="1414"/>
      <c r="D70" s="1413"/>
      <c r="E70" s="1413"/>
      <c r="F70" s="1413"/>
      <c r="G70" s="1413"/>
      <c r="H70" s="1413"/>
      <c r="I70" s="1413"/>
      <c r="J70" s="1413"/>
    </row>
    <row r="71" spans="2:10">
      <c r="B71" s="1362"/>
      <c r="C71" s="1362"/>
      <c r="D71" s="1362"/>
      <c r="E71" s="1362"/>
      <c r="F71" s="1362"/>
      <c r="G71" s="1362"/>
      <c r="H71" s="1362"/>
      <c r="I71" s="1362"/>
      <c r="J71" s="1362"/>
    </row>
    <row r="72" spans="2:10">
      <c r="B72" s="1362"/>
      <c r="C72" s="1362"/>
      <c r="D72" s="1362"/>
      <c r="E72" s="1362"/>
      <c r="F72" s="1362"/>
      <c r="G72" s="1362"/>
      <c r="H72" s="1362"/>
      <c r="I72" s="1362"/>
      <c r="J72" s="1362"/>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85" zoomScaleNormal="60" zoomScaleSheetLayoutView="85" workbookViewId="0">
      <selection activeCell="L50" sqref="L5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2106</v>
      </c>
      <c r="B1" s="2014" t="s">
        <v>2107</v>
      </c>
      <c r="C1" s="1358" t="s">
        <v>2108</v>
      </c>
      <c r="D1" s="1345" t="s">
        <v>3478</v>
      </c>
      <c r="E1" s="2493"/>
      <c r="F1" s="2015" t="s">
        <v>2109</v>
      </c>
      <c r="G1" s="1355" t="s">
        <v>2110</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f>IF(C2="——",ROUND(C49*D3/10000,0),ROUND(C49*D3/10000,0)-D2)</f>
        <v>3425</v>
      </c>
      <c r="C2" s="2017" t="s">
        <v>70</v>
      </c>
      <c r="D2" s="1228" t="e">
        <f ca="1">SUMIF(INDIRECT("'"&amp;F2&amp;"'"&amp;"!A:A"),"承租人权益价值",INDIRECT("'"&amp;F2&amp;"'"&amp;"!c:c"))</f>
        <v>#REF!</v>
      </c>
      <c r="E2" s="2018" t="s">
        <v>1909</v>
      </c>
      <c r="F2" s="2019"/>
      <c r="G2" s="1019"/>
      <c r="H2" s="1019"/>
      <c r="I2" s="1019"/>
      <c r="J2" s="1019"/>
      <c r="K2" s="2020"/>
      <c r="L2" s="2890"/>
      <c r="M2" s="2891"/>
      <c r="N2" s="2891"/>
      <c r="O2" s="2891"/>
      <c r="P2" s="2021"/>
      <c r="Q2" s="2022"/>
      <c r="R2" s="2022"/>
      <c r="S2" s="2022"/>
      <c r="T2" s="2022"/>
      <c r="U2" s="2022"/>
      <c r="V2" s="2022"/>
      <c r="W2" s="2022"/>
      <c r="X2" s="2022"/>
      <c r="Y2" s="2022"/>
      <c r="Z2" s="2022"/>
      <c r="AA2" s="2022"/>
      <c r="AB2" s="2022"/>
      <c r="AC2" s="2023"/>
    </row>
    <row r="3" spans="1:29" s="353" customFormat="1" ht="28.5" customHeight="1" thickBot="1">
      <c r="A3" s="209" t="s">
        <v>1119</v>
      </c>
      <c r="B3" s="359">
        <f>IF(C2="——",C49,ROUND(B2*10000/D3,0))</f>
        <v>21720</v>
      </c>
      <c r="C3" s="360" t="s">
        <v>2112</v>
      </c>
      <c r="D3" s="359">
        <f>IF(D1="",'数据-汇总表'!E3,SUMIF('数据-汇总表'!$C19:$C33,D1,'数据-汇总表'!$E19:$E33))</f>
        <v>1576.91</v>
      </c>
      <c r="E3" s="1019"/>
      <c r="F3" s="2024"/>
      <c r="G3" s="1019"/>
      <c r="H3" s="1019"/>
      <c r="I3" s="1019"/>
      <c r="J3" s="1019"/>
      <c r="K3" s="2020"/>
      <c r="L3" s="2890"/>
      <c r="M3" s="2891"/>
      <c r="N3" s="2891"/>
      <c r="O3" s="2891"/>
      <c r="P3" s="2021"/>
      <c r="Q3" s="2022"/>
      <c r="R3" s="2022"/>
      <c r="S3" s="2022"/>
      <c r="T3" s="2022"/>
      <c r="U3" s="2022"/>
      <c r="V3" s="2022"/>
      <c r="W3" s="2022"/>
      <c r="X3" s="2022"/>
      <c r="Y3" s="2022"/>
      <c r="Z3" s="2022"/>
      <c r="AA3" s="2022"/>
      <c r="AB3" s="2022"/>
      <c r="AC3" s="1173"/>
    </row>
    <row r="4" spans="1:29" ht="15">
      <c r="A4" s="361" t="s">
        <v>2113</v>
      </c>
      <c r="B4" s="362"/>
      <c r="C4" s="3468" t="s">
        <v>2114</v>
      </c>
      <c r="D4" s="3469"/>
      <c r="E4" s="3470" t="s">
        <v>2115</v>
      </c>
      <c r="F4" s="3471"/>
      <c r="G4" s="3468" t="s">
        <v>2116</v>
      </c>
      <c r="H4" s="3469"/>
      <c r="I4" s="3468" t="s">
        <v>2117</v>
      </c>
      <c r="J4" s="3469"/>
      <c r="K4" s="2025" t="s">
        <v>2118</v>
      </c>
      <c r="L4" s="2892"/>
      <c r="M4" s="2893"/>
      <c r="N4" s="2893"/>
      <c r="O4" s="2893"/>
      <c r="P4" s="3472" t="s">
        <v>2119</v>
      </c>
      <c r="Q4" s="3473"/>
      <c r="R4" s="3455" t="s">
        <v>2115</v>
      </c>
      <c r="S4" s="3456"/>
      <c r="T4" s="3455" t="s">
        <v>2116</v>
      </c>
      <c r="U4" s="3456"/>
      <c r="V4" s="3480" t="s">
        <v>2117</v>
      </c>
      <c r="W4" s="3480"/>
      <c r="X4" s="3238"/>
      <c r="Y4" s="3455" t="s">
        <v>2119</v>
      </c>
      <c r="Z4" s="3456"/>
      <c r="AA4" s="3450" t="s">
        <v>2115</v>
      </c>
      <c r="AB4" s="3450" t="s">
        <v>2116</v>
      </c>
      <c r="AC4" s="3450" t="s">
        <v>2117</v>
      </c>
    </row>
    <row r="5" spans="1:29" ht="15">
      <c r="A5" s="364"/>
      <c r="B5" s="365"/>
      <c r="C5" s="3461" t="s">
        <v>2120</v>
      </c>
      <c r="D5" s="3462"/>
      <c r="E5" s="3518" t="s">
        <v>3482</v>
      </c>
      <c r="F5" s="3460"/>
      <c r="G5" s="3519" t="s">
        <v>3481</v>
      </c>
      <c r="H5" s="3462"/>
      <c r="I5" s="3519" t="s">
        <v>3367</v>
      </c>
      <c r="J5" s="3462"/>
      <c r="K5" s="2026"/>
      <c r="L5" s="2892"/>
      <c r="M5" s="2893"/>
      <c r="N5" s="2893"/>
      <c r="O5" s="2893"/>
      <c r="P5" s="3474"/>
      <c r="Q5" s="3475"/>
      <c r="R5" s="3457"/>
      <c r="S5" s="3458"/>
      <c r="T5" s="3457"/>
      <c r="U5" s="3458"/>
      <c r="V5" s="3480"/>
      <c r="W5" s="3480"/>
      <c r="X5" s="3238"/>
      <c r="Y5" s="3457"/>
      <c r="Z5" s="3458"/>
      <c r="AA5" s="3451"/>
      <c r="AB5" s="3451"/>
      <c r="AC5" s="3451"/>
    </row>
    <row r="6" spans="1:29" ht="15.75" thickBot="1">
      <c r="A6" s="366"/>
      <c r="B6" s="367"/>
      <c r="C6" s="3463" t="s">
        <v>2124</v>
      </c>
      <c r="D6" s="3464"/>
      <c r="E6" s="3465" t="s">
        <v>2124</v>
      </c>
      <c r="F6" s="3466"/>
      <c r="G6" s="3463" t="s">
        <v>2124</v>
      </c>
      <c r="H6" s="3464"/>
      <c r="I6" s="3463" t="s">
        <v>2124</v>
      </c>
      <c r="J6" s="3464"/>
      <c r="K6" s="2026" t="s">
        <v>2125</v>
      </c>
      <c r="L6" s="2892"/>
      <c r="M6" s="2893"/>
      <c r="N6" s="2893"/>
      <c r="O6" s="2893"/>
      <c r="P6" s="3476"/>
      <c r="Q6" s="3477"/>
      <c r="R6" s="3457"/>
      <c r="S6" s="3458"/>
      <c r="T6" s="3478"/>
      <c r="U6" s="3479"/>
      <c r="V6" s="3480"/>
      <c r="W6" s="3480"/>
      <c r="X6" s="3238"/>
      <c r="Y6" s="3478"/>
      <c r="Z6" s="3479"/>
      <c r="AA6" s="3452"/>
      <c r="AB6" s="3452"/>
      <c r="AC6" s="3452"/>
    </row>
    <row r="7" spans="1:29" s="113" customFormat="1" ht="15.75" thickBot="1">
      <c r="A7" s="368" t="s">
        <v>2126</v>
      </c>
      <c r="B7" s="369"/>
      <c r="C7" s="370">
        <f>'数据-取费表'!B2</f>
        <v>44915</v>
      </c>
      <c r="D7" s="371">
        <v>100</v>
      </c>
      <c r="E7" s="372">
        <f>C7</f>
        <v>44915</v>
      </c>
      <c r="F7" s="373">
        <f>SUMIF(58:58,YEAR(E7)&amp;"-"&amp;MONTH(E7),59:59)</f>
        <v>100</v>
      </c>
      <c r="G7" s="372">
        <f>C7</f>
        <v>44915</v>
      </c>
      <c r="H7" s="371">
        <f>SUMIF(58:58,YEAR(G7)&amp;"-"&amp;MONTH(G7),59:59)</f>
        <v>100</v>
      </c>
      <c r="I7" s="372">
        <f>C7</f>
        <v>44915</v>
      </c>
      <c r="J7" s="371">
        <f>SUMIF(58:58,YEAR(I7)&amp;"-"&amp;MONTH(I7),59:59)</f>
        <v>100</v>
      </c>
      <c r="K7" s="2027"/>
      <c r="L7" s="2894"/>
      <c r="M7" s="2895"/>
      <c r="N7" s="2895"/>
      <c r="O7" s="2895"/>
      <c r="P7" s="3453" t="s">
        <v>2127</v>
      </c>
      <c r="Q7" s="3481"/>
      <c r="R7" s="710" t="s">
        <v>23</v>
      </c>
      <c r="S7" s="711">
        <f t="shared" ref="S7:S15" si="0">F7</f>
        <v>100</v>
      </c>
      <c r="T7" s="710" t="s">
        <v>23</v>
      </c>
      <c r="U7" s="711">
        <f t="shared" ref="U7:U15" si="1">H7</f>
        <v>100</v>
      </c>
      <c r="V7" s="710" t="s">
        <v>23</v>
      </c>
      <c r="W7" s="711">
        <f t="shared" ref="W7:W15" si="2">J7</f>
        <v>100</v>
      </c>
      <c r="X7" s="712"/>
      <c r="Y7" s="3453" t="s">
        <v>2127</v>
      </c>
      <c r="Z7" s="3454"/>
      <c r="AA7" s="713">
        <f>D7/F7</f>
        <v>1</v>
      </c>
      <c r="AB7" s="713">
        <f>D7/H7</f>
        <v>1</v>
      </c>
      <c r="AC7" s="713">
        <f>D7/J7</f>
        <v>1</v>
      </c>
    </row>
    <row r="8" spans="1:29" s="113" customFormat="1" ht="15.75" thickBot="1">
      <c r="A8" s="368" t="s">
        <v>2128</v>
      </c>
      <c r="B8" s="369"/>
      <c r="C8" s="374" t="s">
        <v>2129</v>
      </c>
      <c r="D8" s="371">
        <v>100</v>
      </c>
      <c r="E8" s="2028" t="s">
        <v>3356</v>
      </c>
      <c r="F8" s="373">
        <f>SUMIF(61:61,E8,62:62)-SUMIF(61:61,C8,62:62)+100</f>
        <v>100</v>
      </c>
      <c r="G8" s="374" t="s">
        <v>3356</v>
      </c>
      <c r="H8" s="371">
        <f>SUMIF(61:61,G8,62:62)-SUMIF(61:61,C8,62:62)+100</f>
        <v>100</v>
      </c>
      <c r="I8" s="2028" t="s">
        <v>3356</v>
      </c>
      <c r="J8" s="371">
        <f>SUMIF(61:61,I8,62:62)-SUMIF(61:61,C8,62:62)+100</f>
        <v>100</v>
      </c>
      <c r="K8" s="2027"/>
      <c r="L8" s="2894"/>
      <c r="M8" s="2895"/>
      <c r="N8" s="2895"/>
      <c r="O8" s="2895"/>
      <c r="P8" s="3453" t="s">
        <v>2130</v>
      </c>
      <c r="Q8" s="3454"/>
      <c r="R8" s="710" t="s">
        <v>23</v>
      </c>
      <c r="S8" s="711">
        <f t="shared" si="0"/>
        <v>100</v>
      </c>
      <c r="T8" s="710" t="s">
        <v>23</v>
      </c>
      <c r="U8" s="711">
        <f t="shared" si="1"/>
        <v>100</v>
      </c>
      <c r="V8" s="710" t="s">
        <v>23</v>
      </c>
      <c r="W8" s="711">
        <f t="shared" si="2"/>
        <v>100</v>
      </c>
      <c r="X8" s="712"/>
      <c r="Y8" s="3453" t="s">
        <v>2130</v>
      </c>
      <c r="Z8" s="3454"/>
      <c r="AA8" s="713">
        <f t="shared" ref="AA8:AA19" si="3">D8/F8</f>
        <v>1</v>
      </c>
      <c r="AB8" s="713">
        <f t="shared" ref="AB8:AB19" si="4">D8/H8</f>
        <v>1</v>
      </c>
      <c r="AC8" s="713">
        <f t="shared" ref="AC8:AC19" si="5">D8/J8</f>
        <v>1</v>
      </c>
    </row>
    <row r="9" spans="1:29" s="113" customFormat="1">
      <c r="A9" s="375" t="s">
        <v>2131</v>
      </c>
      <c r="B9" s="67" t="s">
        <v>2132</v>
      </c>
      <c r="C9" s="3256" t="s">
        <v>3467</v>
      </c>
      <c r="D9" s="131">
        <v>100</v>
      </c>
      <c r="E9" s="377" t="s">
        <v>3357</v>
      </c>
      <c r="F9" s="378">
        <f>SUMIF(63:63,E9,64:64)-SUMIF(63:63,C9,64:64)+100</f>
        <v>100</v>
      </c>
      <c r="G9" s="379" t="s">
        <v>3357</v>
      </c>
      <c r="H9" s="131">
        <f>SUMIF(63:63,G9,64:64)-SUMIF(63:63,C9,64:64)+100</f>
        <v>100</v>
      </c>
      <c r="I9" s="379" t="s">
        <v>3357</v>
      </c>
      <c r="J9" s="131">
        <f>SUMIF(63:63,I9,64:64)-SUMIF(63:63,C9,64:64)+100</f>
        <v>100</v>
      </c>
      <c r="K9" s="2027"/>
      <c r="L9" s="2894"/>
      <c r="M9" s="2895"/>
      <c r="N9" s="2895"/>
      <c r="O9" s="2895"/>
      <c r="P9" s="3491" t="s">
        <v>2133</v>
      </c>
      <c r="Q9" s="3235" t="str">
        <f t="shared" ref="Q9:Q15" si="6">B9</f>
        <v>用途</v>
      </c>
      <c r="R9" s="710" t="s">
        <v>17</v>
      </c>
      <c r="S9" s="711">
        <f t="shared" si="0"/>
        <v>100</v>
      </c>
      <c r="T9" s="710" t="s">
        <v>17</v>
      </c>
      <c r="U9" s="711">
        <f t="shared" si="1"/>
        <v>100</v>
      </c>
      <c r="V9" s="710" t="s">
        <v>17</v>
      </c>
      <c r="W9" s="711">
        <f t="shared" si="2"/>
        <v>100</v>
      </c>
      <c r="X9" s="712"/>
      <c r="Y9" s="3423" t="s">
        <v>2134</v>
      </c>
      <c r="Z9" s="3234" t="str">
        <f t="shared" ref="Z9:Z15" si="7">Q9</f>
        <v>用途</v>
      </c>
      <c r="AA9" s="713">
        <f t="shared" si="3"/>
        <v>1</v>
      </c>
      <c r="AB9" s="713">
        <f t="shared" si="4"/>
        <v>1</v>
      </c>
      <c r="AC9" s="713">
        <f t="shared" si="5"/>
        <v>1</v>
      </c>
    </row>
    <row r="10" spans="1:29" s="386" customFormat="1" ht="27">
      <c r="A10" s="380"/>
      <c r="B10" s="381" t="s">
        <v>2135</v>
      </c>
      <c r="C10" s="382" t="s">
        <v>3468</v>
      </c>
      <c r="D10" s="132">
        <v>100</v>
      </c>
      <c r="E10" s="383" t="s">
        <v>3468</v>
      </c>
      <c r="F10" s="384">
        <f>SUMIF(65:65,E10,66:66)-SUMIF(65:65,C10,66:66)+100</f>
        <v>100</v>
      </c>
      <c r="G10" s="382" t="s">
        <v>3468</v>
      </c>
      <c r="H10" s="132">
        <f>SUMIF(65:65,G10,66:66)-SUMIF(65:65,C10,66:66)+100</f>
        <v>100</v>
      </c>
      <c r="I10" s="382" t="s">
        <v>3468</v>
      </c>
      <c r="J10" s="132">
        <f>SUMIF(65:65,I10,66:66)-SUMIF(65:65,C10,66:66)+100</f>
        <v>100</v>
      </c>
      <c r="K10" s="385">
        <v>2</v>
      </c>
      <c r="L10" s="2896"/>
      <c r="M10" s="2897"/>
      <c r="N10" s="2897"/>
      <c r="O10" s="2897"/>
      <c r="P10" s="3491"/>
      <c r="Q10" s="3235" t="str">
        <f t="shared" si="6"/>
        <v>土地使用年限（年）</v>
      </c>
      <c r="R10" s="710" t="s">
        <v>17</v>
      </c>
      <c r="S10" s="711">
        <f t="shared" si="0"/>
        <v>100</v>
      </c>
      <c r="T10" s="710" t="s">
        <v>17</v>
      </c>
      <c r="U10" s="711">
        <f t="shared" si="1"/>
        <v>100</v>
      </c>
      <c r="V10" s="710" t="s">
        <v>17</v>
      </c>
      <c r="W10" s="711">
        <f t="shared" si="2"/>
        <v>100</v>
      </c>
      <c r="X10" s="712"/>
      <c r="Y10" s="3423"/>
      <c r="Z10" s="3234" t="str">
        <f t="shared" si="7"/>
        <v>土地使用年限（年）</v>
      </c>
      <c r="AA10" s="713">
        <f t="shared" si="3"/>
        <v>1</v>
      </c>
      <c r="AB10" s="713">
        <f t="shared" si="4"/>
        <v>1</v>
      </c>
      <c r="AC10" s="713">
        <f t="shared" si="5"/>
        <v>1</v>
      </c>
    </row>
    <row r="11" spans="1:29" ht="15.75" thickBot="1">
      <c r="A11" s="387"/>
      <c r="B11" s="381" t="s">
        <v>2136</v>
      </c>
      <c r="C11" s="388">
        <f>'数据-汇总表'!I6</f>
        <v>1.5</v>
      </c>
      <c r="D11" s="132">
        <v>100</v>
      </c>
      <c r="E11" s="389">
        <v>2.2000000000000002</v>
      </c>
      <c r="F11" s="384">
        <f>LOOKUP(E11,68:68,69:69)-LOOKUP(C11,68:68,69:69)+100</f>
        <v>97</v>
      </c>
      <c r="G11" s="388">
        <v>2.2000000000000002</v>
      </c>
      <c r="H11" s="132">
        <f>LOOKUP(G11,68:68,69:69)-LOOKUP(C11,68:68,69:69)+100</f>
        <v>97</v>
      </c>
      <c r="I11" s="388">
        <v>1.8</v>
      </c>
      <c r="J11" s="132">
        <f>LOOKUP(I11,68:68,69:69)-LOOKUP(C11,68:68,69:69)+100</f>
        <v>100</v>
      </c>
      <c r="K11" s="385">
        <v>3</v>
      </c>
      <c r="L11" s="2898"/>
      <c r="M11" s="2893"/>
      <c r="N11" s="2893"/>
      <c r="O11" s="2893"/>
      <c r="P11" s="3491"/>
      <c r="Q11" s="3235" t="str">
        <f t="shared" si="6"/>
        <v>容积率</v>
      </c>
      <c r="R11" s="710" t="s">
        <v>21</v>
      </c>
      <c r="S11" s="711">
        <f t="shared" si="0"/>
        <v>97</v>
      </c>
      <c r="T11" s="710" t="s">
        <v>21</v>
      </c>
      <c r="U11" s="711">
        <f t="shared" si="1"/>
        <v>97</v>
      </c>
      <c r="V11" s="710" t="s">
        <v>21</v>
      </c>
      <c r="W11" s="711">
        <f t="shared" si="2"/>
        <v>100</v>
      </c>
      <c r="X11" s="712"/>
      <c r="Y11" s="3423"/>
      <c r="Z11" s="3234" t="str">
        <f t="shared" si="7"/>
        <v>容积率</v>
      </c>
      <c r="AA11" s="713">
        <f t="shared" si="3"/>
        <v>1.0309278350515463</v>
      </c>
      <c r="AB11" s="713">
        <f t="shared" si="4"/>
        <v>1.0309278350515463</v>
      </c>
      <c r="AC11" s="713">
        <f t="shared" si="5"/>
        <v>1</v>
      </c>
    </row>
    <row r="12" spans="1:29" s="113" customFormat="1" ht="15.75" hidden="1" thickBot="1">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4"/>
      <c r="M12" s="2895"/>
      <c r="N12" s="2895"/>
      <c r="O12" s="2895"/>
      <c r="P12" s="3491"/>
      <c r="Q12" s="3235">
        <f t="shared" si="6"/>
        <v>111</v>
      </c>
      <c r="R12" s="710" t="s">
        <v>21</v>
      </c>
      <c r="S12" s="711">
        <f t="shared" si="0"/>
        <v>100</v>
      </c>
      <c r="T12" s="710" t="s">
        <v>21</v>
      </c>
      <c r="U12" s="711">
        <f t="shared" si="1"/>
        <v>100</v>
      </c>
      <c r="V12" s="710" t="s">
        <v>21</v>
      </c>
      <c r="W12" s="711">
        <f t="shared" si="2"/>
        <v>100</v>
      </c>
      <c r="X12" s="712"/>
      <c r="Y12" s="3423"/>
      <c r="Z12" s="3234">
        <f t="shared" si="7"/>
        <v>111</v>
      </c>
      <c r="AA12" s="713">
        <f>D12/F12</f>
        <v>1</v>
      </c>
      <c r="AB12" s="713">
        <f>D12/H12</f>
        <v>1</v>
      </c>
      <c r="AC12" s="713">
        <f>D12/J12</f>
        <v>1</v>
      </c>
    </row>
    <row r="13" spans="1:29" ht="15.75" hidden="1" thickBot="1">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9"/>
      <c r="M13" s="2893"/>
      <c r="N13" s="2893"/>
      <c r="O13" s="2893"/>
      <c r="P13" s="3491"/>
      <c r="Q13" s="3235">
        <f t="shared" si="6"/>
        <v>111</v>
      </c>
      <c r="R13" s="710" t="s">
        <v>21</v>
      </c>
      <c r="S13" s="711">
        <f t="shared" si="0"/>
        <v>100</v>
      </c>
      <c r="T13" s="710" t="s">
        <v>21</v>
      </c>
      <c r="U13" s="711">
        <f t="shared" si="1"/>
        <v>100</v>
      </c>
      <c r="V13" s="710" t="s">
        <v>21</v>
      </c>
      <c r="W13" s="711">
        <f t="shared" si="2"/>
        <v>100</v>
      </c>
      <c r="X13" s="712"/>
      <c r="Y13" s="3423"/>
      <c r="Z13" s="3234">
        <f t="shared" si="7"/>
        <v>111</v>
      </c>
      <c r="AA13" s="713">
        <f t="shared" si="3"/>
        <v>1</v>
      </c>
      <c r="AB13" s="713">
        <f t="shared" si="4"/>
        <v>1</v>
      </c>
      <c r="AC13" s="713">
        <f t="shared" si="5"/>
        <v>1</v>
      </c>
    </row>
    <row r="14" spans="1:29" ht="15.75" hidden="1"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9"/>
      <c r="M14" s="2893"/>
      <c r="N14" s="2893"/>
      <c r="O14" s="2893"/>
      <c r="P14" s="3491"/>
      <c r="Q14" s="3235">
        <f t="shared" si="6"/>
        <v>111</v>
      </c>
      <c r="R14" s="710" t="s">
        <v>21</v>
      </c>
      <c r="S14" s="711">
        <f t="shared" si="0"/>
        <v>100</v>
      </c>
      <c r="T14" s="710" t="s">
        <v>21</v>
      </c>
      <c r="U14" s="711">
        <f t="shared" si="1"/>
        <v>100</v>
      </c>
      <c r="V14" s="710" t="s">
        <v>21</v>
      </c>
      <c r="W14" s="711">
        <f t="shared" si="2"/>
        <v>100</v>
      </c>
      <c r="X14" s="712"/>
      <c r="Y14" s="3423"/>
      <c r="Z14" s="3234">
        <f t="shared" si="7"/>
        <v>111</v>
      </c>
      <c r="AA14" s="713">
        <f t="shared" si="3"/>
        <v>1</v>
      </c>
      <c r="AB14" s="713">
        <f t="shared" si="4"/>
        <v>1</v>
      </c>
      <c r="AC14" s="713">
        <f t="shared" si="5"/>
        <v>1</v>
      </c>
    </row>
    <row r="15" spans="1:29" ht="15">
      <c r="A15" s="399" t="s">
        <v>2137</v>
      </c>
      <c r="B15" s="65" t="s">
        <v>1703</v>
      </c>
      <c r="C15" s="2032">
        <f>估价对象房地状况!C3</f>
        <v>0</v>
      </c>
      <c r="D15" s="400">
        <v>100</v>
      </c>
      <c r="E15" s="403"/>
      <c r="F15" s="400">
        <f>SUMIF(76:76,E16,77:77)-SUMIF(76:76,C16,77:77)+100</f>
        <v>100</v>
      </c>
      <c r="G15" s="401"/>
      <c r="H15" s="400">
        <f>SUMIF(76:76,G16,77:77)-SUMIF(76:76,C16,77:77)+100</f>
        <v>100</v>
      </c>
      <c r="I15" s="401"/>
      <c r="J15" s="400">
        <f>SUMIF(76:76,I16,77:77)-SUMIF(76:76,C16,77:77)+100</f>
        <v>100</v>
      </c>
      <c r="K15" s="404">
        <v>3</v>
      </c>
      <c r="L15" s="2899"/>
      <c r="M15" s="2893"/>
      <c r="N15" s="2893"/>
      <c r="O15" s="2893"/>
      <c r="P15" s="3526" t="s">
        <v>2138</v>
      </c>
      <c r="Q15" s="3236" t="str">
        <f t="shared" si="6"/>
        <v>居住社区成熟度</v>
      </c>
      <c r="R15" s="714" t="s">
        <v>21</v>
      </c>
      <c r="S15" s="715">
        <f t="shared" si="0"/>
        <v>100</v>
      </c>
      <c r="T15" s="714" t="s">
        <v>21</v>
      </c>
      <c r="U15" s="715">
        <f t="shared" si="1"/>
        <v>100</v>
      </c>
      <c r="V15" s="714" t="s">
        <v>21</v>
      </c>
      <c r="W15" s="715">
        <f t="shared" si="2"/>
        <v>100</v>
      </c>
      <c r="X15" s="3238"/>
      <c r="Y15" s="3482" t="s">
        <v>2138</v>
      </c>
      <c r="Z15" s="3237" t="str">
        <f t="shared" si="7"/>
        <v>居住社区成熟度</v>
      </c>
      <c r="AA15" s="3239">
        <f t="shared" si="3"/>
        <v>1</v>
      </c>
      <c r="AB15" s="3239">
        <f t="shared" si="4"/>
        <v>1</v>
      </c>
      <c r="AC15" s="3239">
        <f t="shared" si="5"/>
        <v>1</v>
      </c>
    </row>
    <row r="16" spans="1:29" ht="15">
      <c r="A16" s="387"/>
      <c r="B16" s="405"/>
      <c r="C16" s="406" t="s">
        <v>3365</v>
      </c>
      <c r="D16" s="407"/>
      <c r="E16" s="406" t="s">
        <v>3365</v>
      </c>
      <c r="F16" s="407"/>
      <c r="G16" s="406" t="s">
        <v>3365</v>
      </c>
      <c r="H16" s="409"/>
      <c r="I16" s="406" t="s">
        <v>3365</v>
      </c>
      <c r="J16" s="407"/>
      <c r="K16" s="2035"/>
      <c r="L16" s="2899"/>
      <c r="M16" s="2893"/>
      <c r="N16" s="2893"/>
      <c r="O16" s="2893"/>
      <c r="P16" s="3527"/>
      <c r="Q16" s="3236"/>
      <c r="R16" s="714"/>
      <c r="S16" s="715"/>
      <c r="T16" s="714"/>
      <c r="U16" s="715"/>
      <c r="V16" s="714"/>
      <c r="W16" s="715"/>
      <c r="X16" s="3238"/>
      <c r="Y16" s="3483"/>
      <c r="Z16" s="3237"/>
      <c r="AA16" s="3239">
        <v>1</v>
      </c>
      <c r="AB16" s="3239">
        <v>1</v>
      </c>
      <c r="AC16" s="3239">
        <v>1</v>
      </c>
    </row>
    <row r="17" spans="1:29" ht="15">
      <c r="A17" s="387"/>
      <c r="B17" s="410" t="s">
        <v>1705</v>
      </c>
      <c r="C17" s="2036">
        <f>估价对象房地状况!C6</f>
        <v>0</v>
      </c>
      <c r="D17" s="409">
        <v>100</v>
      </c>
      <c r="E17" s="413"/>
      <c r="F17" s="409">
        <f>SUMIF(78:78,E18,79:79)-SUMIF(78:78,C18,79:79)+100</f>
        <v>100</v>
      </c>
      <c r="G17" s="411"/>
      <c r="H17" s="414">
        <f>SUMIF(78:78,G18,79:79)-SUMIF(78:78,C18,79:79)+100</f>
        <v>100</v>
      </c>
      <c r="I17" s="411"/>
      <c r="J17" s="414">
        <f>SUMIF(78:78,I18,79:79)-SUMIF(78:78,C18,79:79)+100</f>
        <v>100</v>
      </c>
      <c r="K17" s="404">
        <v>3</v>
      </c>
      <c r="L17" s="2899"/>
      <c r="M17" s="2893"/>
      <c r="N17" s="2893"/>
      <c r="O17" s="2893"/>
      <c r="P17" s="3527"/>
      <c r="Q17" s="3236" t="str">
        <f>B17</f>
        <v>交通便捷度</v>
      </c>
      <c r="R17" s="714" t="s">
        <v>21</v>
      </c>
      <c r="S17" s="715">
        <f>F17</f>
        <v>100</v>
      </c>
      <c r="T17" s="714" t="s">
        <v>21</v>
      </c>
      <c r="U17" s="715">
        <f>H17</f>
        <v>100</v>
      </c>
      <c r="V17" s="714" t="s">
        <v>21</v>
      </c>
      <c r="W17" s="715">
        <f>J17</f>
        <v>100</v>
      </c>
      <c r="X17" s="3238"/>
      <c r="Y17" s="3483"/>
      <c r="Z17" s="3237" t="str">
        <f>Q17</f>
        <v>交通便捷度</v>
      </c>
      <c r="AA17" s="3239">
        <f t="shared" si="3"/>
        <v>1</v>
      </c>
      <c r="AB17" s="3239">
        <f t="shared" si="4"/>
        <v>1</v>
      </c>
      <c r="AC17" s="3239">
        <f t="shared" si="5"/>
        <v>1</v>
      </c>
    </row>
    <row r="18" spans="1:29" ht="15">
      <c r="A18" s="387"/>
      <c r="B18" s="415"/>
      <c r="C18" s="406" t="s">
        <v>3365</v>
      </c>
      <c r="D18" s="409"/>
      <c r="E18" s="406" t="s">
        <v>3365</v>
      </c>
      <c r="F18" s="409"/>
      <c r="G18" s="406" t="s">
        <v>3365</v>
      </c>
      <c r="H18" s="407"/>
      <c r="I18" s="406" t="s">
        <v>3365</v>
      </c>
      <c r="J18" s="407"/>
      <c r="K18" s="2035"/>
      <c r="L18" s="2899"/>
      <c r="M18" s="2893"/>
      <c r="N18" s="2893"/>
      <c r="O18" s="2893"/>
      <c r="P18" s="3527"/>
      <c r="Q18" s="3236"/>
      <c r="R18" s="714"/>
      <c r="S18" s="715"/>
      <c r="T18" s="714"/>
      <c r="U18" s="715"/>
      <c r="V18" s="714"/>
      <c r="W18" s="715"/>
      <c r="X18" s="3238"/>
      <c r="Y18" s="3483"/>
      <c r="Z18" s="3237"/>
      <c r="AA18" s="3239">
        <v>1</v>
      </c>
      <c r="AB18" s="3239">
        <v>1</v>
      </c>
      <c r="AC18" s="3239">
        <v>1</v>
      </c>
    </row>
    <row r="19" spans="1:29" ht="15">
      <c r="A19" s="387"/>
      <c r="B19" s="410" t="s">
        <v>1704</v>
      </c>
      <c r="C19" s="2036">
        <f>估价对象房地状况!C7</f>
        <v>0</v>
      </c>
      <c r="D19" s="414">
        <v>100</v>
      </c>
      <c r="E19" s="418"/>
      <c r="F19" s="414">
        <f>SUMIF(80:80,E20,81:81)-SUMIF(80:80,C20,81:81)+100</f>
        <v>100</v>
      </c>
      <c r="G19" s="416"/>
      <c r="H19" s="409">
        <f>SUMIF(80:80,G20,81:81)-SUMIF(80:80,C20,81:81)+100</f>
        <v>100</v>
      </c>
      <c r="I19" s="416"/>
      <c r="J19" s="409">
        <f>SUMIF(80:80,I20,81:81)-SUMIF(80:80,C20,81:81)+100</f>
        <v>100</v>
      </c>
      <c r="K19" s="404">
        <v>3</v>
      </c>
      <c r="L19" s="2899"/>
      <c r="M19" s="2893"/>
      <c r="N19" s="2893"/>
      <c r="O19" s="2893"/>
      <c r="P19" s="3527"/>
      <c r="Q19" s="3236" t="str">
        <f>B19</f>
        <v>公共配套设施</v>
      </c>
      <c r="R19" s="714" t="s">
        <v>21</v>
      </c>
      <c r="S19" s="715">
        <f>F19</f>
        <v>100</v>
      </c>
      <c r="T19" s="714" t="s">
        <v>21</v>
      </c>
      <c r="U19" s="715">
        <f>H19</f>
        <v>100</v>
      </c>
      <c r="V19" s="714" t="s">
        <v>21</v>
      </c>
      <c r="W19" s="715">
        <f>J19</f>
        <v>100</v>
      </c>
      <c r="X19" s="3238"/>
      <c r="Y19" s="3483"/>
      <c r="Z19" s="3237" t="str">
        <f>Q19</f>
        <v>公共配套设施</v>
      </c>
      <c r="AA19" s="3239">
        <f t="shared" si="3"/>
        <v>1</v>
      </c>
      <c r="AB19" s="3239">
        <f t="shared" si="4"/>
        <v>1</v>
      </c>
      <c r="AC19" s="3239">
        <f t="shared" si="5"/>
        <v>1</v>
      </c>
    </row>
    <row r="20" spans="1:29" ht="15">
      <c r="A20" s="387"/>
      <c r="B20" s="415"/>
      <c r="C20" s="406" t="s">
        <v>3365</v>
      </c>
      <c r="D20" s="407"/>
      <c r="E20" s="406" t="s">
        <v>3365</v>
      </c>
      <c r="F20" s="407"/>
      <c r="G20" s="406" t="s">
        <v>3365</v>
      </c>
      <c r="H20" s="407"/>
      <c r="I20" s="406" t="s">
        <v>3365</v>
      </c>
      <c r="J20" s="407"/>
      <c r="K20" s="2035"/>
      <c r="L20" s="2899"/>
      <c r="M20" s="2893"/>
      <c r="N20" s="2893"/>
      <c r="O20" s="2893"/>
      <c r="P20" s="3527"/>
      <c r="Q20" s="3236"/>
      <c r="R20" s="714"/>
      <c r="S20" s="715"/>
      <c r="T20" s="714"/>
      <c r="U20" s="715"/>
      <c r="V20" s="714"/>
      <c r="W20" s="715"/>
      <c r="X20" s="3238"/>
      <c r="Y20" s="3483"/>
      <c r="Z20" s="3237"/>
      <c r="AA20" s="3239">
        <v>1</v>
      </c>
      <c r="AB20" s="3239">
        <v>1</v>
      </c>
      <c r="AC20" s="3239">
        <v>1</v>
      </c>
    </row>
    <row r="21" spans="1:29" ht="15">
      <c r="A21" s="387"/>
      <c r="B21" s="1246" t="s">
        <v>1706</v>
      </c>
      <c r="C21" s="2036">
        <f>估价对象房地状况!C8</f>
        <v>0</v>
      </c>
      <c r="D21" s="409">
        <v>100</v>
      </c>
      <c r="E21" s="418"/>
      <c r="F21" s="414">
        <f>SUMIF(82:82,E22,83:83)-SUMIF(82:82,C22,83:83)+100</f>
        <v>100</v>
      </c>
      <c r="G21" s="416"/>
      <c r="H21" s="409">
        <f>SUMIF(82:82,G22,83:83)-SUMIF(82:82,C22,83:83)+100</f>
        <v>100</v>
      </c>
      <c r="I21" s="416"/>
      <c r="J21" s="409">
        <f>SUMIF(82:82,I22,83:83)-SUMIF(82:82,C22,83:83)+100</f>
        <v>100</v>
      </c>
      <c r="K21" s="404">
        <v>3</v>
      </c>
      <c r="L21" s="2899"/>
      <c r="M21" s="2893"/>
      <c r="N21" s="2893"/>
      <c r="O21" s="2893"/>
      <c r="P21" s="3527"/>
      <c r="Q21" s="3236" t="str">
        <f>B21</f>
        <v>基础设施水平</v>
      </c>
      <c r="R21" s="714" t="s">
        <v>17</v>
      </c>
      <c r="S21" s="715">
        <f>F21</f>
        <v>100</v>
      </c>
      <c r="T21" s="714" t="s">
        <v>17</v>
      </c>
      <c r="U21" s="715">
        <f>H21</f>
        <v>100</v>
      </c>
      <c r="V21" s="714" t="s">
        <v>17</v>
      </c>
      <c r="W21" s="715">
        <f>J21</f>
        <v>100</v>
      </c>
      <c r="X21" s="3238"/>
      <c r="Y21" s="3483"/>
      <c r="Z21" s="3237" t="str">
        <f>Q21</f>
        <v>基础设施水平</v>
      </c>
      <c r="AA21" s="3239">
        <f t="shared" ref="AA21" si="8">D21/F21</f>
        <v>1</v>
      </c>
      <c r="AB21" s="3239">
        <f t="shared" ref="AB21" si="9">D21/H21</f>
        <v>1</v>
      </c>
      <c r="AC21" s="3239">
        <f t="shared" ref="AC21" si="10">D21/J21</f>
        <v>1</v>
      </c>
    </row>
    <row r="22" spans="1:29" ht="15">
      <c r="A22" s="387"/>
      <c r="B22" s="1246"/>
      <c r="C22" s="2037" t="s">
        <v>3363</v>
      </c>
      <c r="D22" s="407"/>
      <c r="E22" s="2037" t="s">
        <v>3363</v>
      </c>
      <c r="F22" s="407"/>
      <c r="G22" s="2037" t="s">
        <v>3363</v>
      </c>
      <c r="H22" s="407"/>
      <c r="I22" s="2037" t="s">
        <v>3363</v>
      </c>
      <c r="J22" s="407"/>
      <c r="K22" s="2041"/>
      <c r="L22" s="2899"/>
      <c r="M22" s="2893"/>
      <c r="N22" s="2893"/>
      <c r="O22" s="2893"/>
      <c r="P22" s="3527"/>
      <c r="Q22" s="3236"/>
      <c r="R22" s="714"/>
      <c r="S22" s="715"/>
      <c r="T22" s="714"/>
      <c r="U22" s="715"/>
      <c r="V22" s="714"/>
      <c r="W22" s="715"/>
      <c r="X22" s="3238"/>
      <c r="Y22" s="3483"/>
      <c r="Z22" s="3237"/>
      <c r="AA22" s="3239">
        <v>1</v>
      </c>
      <c r="AB22" s="3239">
        <v>1</v>
      </c>
      <c r="AC22" s="3239">
        <v>1</v>
      </c>
    </row>
    <row r="23" spans="1:29" ht="15">
      <c r="A23" s="387"/>
      <c r="B23" s="410" t="s">
        <v>1707</v>
      </c>
      <c r="C23" s="2036">
        <f>估价对象房地状况!C9</f>
        <v>0</v>
      </c>
      <c r="D23" s="409">
        <v>100</v>
      </c>
      <c r="E23" s="413"/>
      <c r="F23" s="409">
        <f>SUMIF(84:84,E24,85:85)-SUMIF(84:84,C24,85:85)+100</f>
        <v>100</v>
      </c>
      <c r="G23" s="411"/>
      <c r="H23" s="409">
        <f>SUMIF(84:84,G24,85:85)-SUMIF(84:84,C24,85:85)+100</f>
        <v>100</v>
      </c>
      <c r="I23" s="411"/>
      <c r="J23" s="409">
        <f>SUMIF(84:84,I24,85:85)-SUMIF(84:84,C24,85:85)+100</f>
        <v>100</v>
      </c>
      <c r="K23" s="404">
        <v>3</v>
      </c>
      <c r="L23" s="2899"/>
      <c r="M23" s="2893"/>
      <c r="N23" s="2893"/>
      <c r="O23" s="2893"/>
      <c r="P23" s="3527"/>
      <c r="Q23" s="3236" t="str">
        <f>B23</f>
        <v>自然及人文环境</v>
      </c>
      <c r="R23" s="714" t="s">
        <v>21</v>
      </c>
      <c r="S23" s="715">
        <f>F23</f>
        <v>100</v>
      </c>
      <c r="T23" s="714" t="s">
        <v>21</v>
      </c>
      <c r="U23" s="715">
        <f>H23</f>
        <v>100</v>
      </c>
      <c r="V23" s="714" t="s">
        <v>21</v>
      </c>
      <c r="W23" s="715">
        <f>J23</f>
        <v>100</v>
      </c>
      <c r="X23" s="3238"/>
      <c r="Y23" s="3483"/>
      <c r="Z23" s="3237" t="str">
        <f>Q23</f>
        <v>自然及人文环境</v>
      </c>
      <c r="AA23" s="3239">
        <f>D23/F23</f>
        <v>1</v>
      </c>
      <c r="AB23" s="3239">
        <f>D23/H23</f>
        <v>1</v>
      </c>
      <c r="AC23" s="3239">
        <f>D23/J23</f>
        <v>1</v>
      </c>
    </row>
    <row r="24" spans="1:29" ht="15.75" thickBot="1">
      <c r="A24" s="387"/>
      <c r="B24" s="415"/>
      <c r="C24" s="406" t="s">
        <v>3365</v>
      </c>
      <c r="D24" s="407"/>
      <c r="E24" s="406" t="s">
        <v>3365</v>
      </c>
      <c r="F24" s="407"/>
      <c r="G24" s="406" t="s">
        <v>3365</v>
      </c>
      <c r="H24" s="407"/>
      <c r="I24" s="406" t="s">
        <v>3365</v>
      </c>
      <c r="J24" s="407"/>
      <c r="K24" s="2035"/>
      <c r="L24" s="2899"/>
      <c r="M24" s="2893"/>
      <c r="N24" s="2893"/>
      <c r="O24" s="2893"/>
      <c r="P24" s="3527"/>
      <c r="Q24" s="3236"/>
      <c r="R24" s="714"/>
      <c r="S24" s="715"/>
      <c r="T24" s="714"/>
      <c r="U24" s="715"/>
      <c r="V24" s="714"/>
      <c r="W24" s="715"/>
      <c r="X24" s="3238"/>
      <c r="Y24" s="3483"/>
      <c r="Z24" s="3237"/>
      <c r="AA24" s="3239">
        <v>1</v>
      </c>
      <c r="AB24" s="3239">
        <v>1</v>
      </c>
      <c r="AC24" s="3239">
        <v>1</v>
      </c>
    </row>
    <row r="25" spans="1:29" ht="15.75" hidden="1" thickBot="1">
      <c r="A25" s="387"/>
      <c r="B25" s="381" t="s">
        <v>2139</v>
      </c>
      <c r="C25" s="419"/>
      <c r="D25" s="394">
        <v>100</v>
      </c>
      <c r="E25" s="2042"/>
      <c r="F25" s="394">
        <f>SUMIF(86:86,E25,87:87)-SUMIF(86:86,C25,87:87)+100</f>
        <v>100</v>
      </c>
      <c r="G25" s="2043"/>
      <c r="H25" s="394">
        <f>SUMIF(86:86,G25,87:87)-SUMIF(86:86,C25,87:87)+100</f>
        <v>100</v>
      </c>
      <c r="I25" s="2043"/>
      <c r="J25" s="394">
        <f>SUMIF(86:86,I25,87:87)-SUMIF(86:86,C25,87:87)+100</f>
        <v>100</v>
      </c>
      <c r="K25" s="385"/>
      <c r="L25" s="2899"/>
      <c r="M25" s="2893"/>
      <c r="N25" s="2893"/>
      <c r="O25" s="2893"/>
      <c r="P25" s="3527"/>
      <c r="Q25" s="3236" t="str">
        <f t="shared" ref="Q25:Q46" si="11">B25</f>
        <v>楼层-1</v>
      </c>
      <c r="R25" s="714" t="s">
        <v>21</v>
      </c>
      <c r="S25" s="715">
        <f t="shared" ref="S25:S46" si="12">F25</f>
        <v>100</v>
      </c>
      <c r="T25" s="714" t="s">
        <v>21</v>
      </c>
      <c r="U25" s="715">
        <f t="shared" ref="U25:U46" si="13">H25</f>
        <v>100</v>
      </c>
      <c r="V25" s="714" t="s">
        <v>21</v>
      </c>
      <c r="W25" s="715">
        <f t="shared" ref="W25:W46" si="14">J25</f>
        <v>100</v>
      </c>
      <c r="X25" s="3238"/>
      <c r="Y25" s="3483"/>
      <c r="Z25" s="3237" t="str">
        <f>Q25</f>
        <v>楼层-1</v>
      </c>
      <c r="AA25" s="3239">
        <f t="shared" ref="AA25:AA46" si="15">D25/F25</f>
        <v>1</v>
      </c>
      <c r="AB25" s="3239">
        <f t="shared" ref="AB25:AB46" si="16">D25/H25</f>
        <v>1</v>
      </c>
      <c r="AC25" s="3239">
        <f t="shared" ref="AC25:AC46" si="17">D25/J25</f>
        <v>1</v>
      </c>
    </row>
    <row r="26" spans="1:29" ht="15.75" hidden="1" thickBot="1">
      <c r="A26" s="387"/>
      <c r="B26" s="381" t="s">
        <v>2140</v>
      </c>
      <c r="C26" s="419"/>
      <c r="D26" s="394">
        <v>100</v>
      </c>
      <c r="E26" s="2042"/>
      <c r="F26" s="394">
        <f>SUMIF(88:88,E26,89:89)-SUMIF(88:88,C26,89:89)+100</f>
        <v>100</v>
      </c>
      <c r="G26" s="2043"/>
      <c r="H26" s="394">
        <f>SUMIF(88:88,G26,89:89)-SUMIF(88:88,C26,89:89)+100</f>
        <v>100</v>
      </c>
      <c r="I26" s="2043"/>
      <c r="J26" s="394">
        <f>SUMIF(88:88,I26,89:89)-SUMIF(88:88,C26,89:89)+100</f>
        <v>100</v>
      </c>
      <c r="K26" s="385"/>
      <c r="L26" s="2899"/>
      <c r="M26" s="2893"/>
      <c r="N26" s="2893"/>
      <c r="O26" s="2893"/>
      <c r="P26" s="3527"/>
      <c r="Q26" s="3236" t="str">
        <f t="shared" si="11"/>
        <v>朝向</v>
      </c>
      <c r="R26" s="714" t="s">
        <v>21</v>
      </c>
      <c r="S26" s="715">
        <f t="shared" si="12"/>
        <v>100</v>
      </c>
      <c r="T26" s="714" t="s">
        <v>21</v>
      </c>
      <c r="U26" s="715">
        <f t="shared" si="13"/>
        <v>100</v>
      </c>
      <c r="V26" s="714" t="s">
        <v>21</v>
      </c>
      <c r="W26" s="715">
        <f t="shared" si="14"/>
        <v>100</v>
      </c>
      <c r="X26" s="3238"/>
      <c r="Y26" s="3483"/>
      <c r="Z26" s="3237" t="str">
        <f>Q26</f>
        <v>朝向</v>
      </c>
      <c r="AA26" s="3239">
        <f t="shared" si="15"/>
        <v>1</v>
      </c>
      <c r="AB26" s="3239">
        <f t="shared" si="16"/>
        <v>1</v>
      </c>
      <c r="AC26" s="3239">
        <f t="shared" si="17"/>
        <v>1</v>
      </c>
    </row>
    <row r="27" spans="1:29" s="113" customFormat="1" ht="15.75" hidden="1" thickBot="1">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4"/>
      <c r="M27" s="2895"/>
      <c r="N27" s="2895"/>
      <c r="O27" s="2895"/>
      <c r="P27" s="3527"/>
      <c r="Q27" s="3235">
        <f t="shared" si="11"/>
        <v>111</v>
      </c>
      <c r="R27" s="710" t="s">
        <v>21</v>
      </c>
      <c r="S27" s="711">
        <f t="shared" si="12"/>
        <v>100</v>
      </c>
      <c r="T27" s="710" t="s">
        <v>21</v>
      </c>
      <c r="U27" s="711">
        <f t="shared" si="13"/>
        <v>100</v>
      </c>
      <c r="V27" s="710" t="s">
        <v>21</v>
      </c>
      <c r="W27" s="711">
        <f t="shared" si="14"/>
        <v>100</v>
      </c>
      <c r="X27" s="712"/>
      <c r="Y27" s="3483"/>
      <c r="Z27" s="3234">
        <f>Q27</f>
        <v>111</v>
      </c>
      <c r="AA27" s="3239">
        <f t="shared" si="15"/>
        <v>1</v>
      </c>
      <c r="AB27" s="3239">
        <f t="shared" si="16"/>
        <v>1</v>
      </c>
      <c r="AC27" s="3239">
        <f t="shared" si="17"/>
        <v>1</v>
      </c>
    </row>
    <row r="28" spans="1:29" ht="15.75" hidden="1" thickBot="1">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9"/>
      <c r="M28" s="2893"/>
      <c r="N28" s="2893"/>
      <c r="O28" s="2893"/>
      <c r="P28" s="3527"/>
      <c r="Q28" s="3236">
        <f t="shared" si="11"/>
        <v>111</v>
      </c>
      <c r="R28" s="714" t="s">
        <v>21</v>
      </c>
      <c r="S28" s="715">
        <f t="shared" si="12"/>
        <v>100</v>
      </c>
      <c r="T28" s="714" t="s">
        <v>21</v>
      </c>
      <c r="U28" s="715">
        <f t="shared" si="13"/>
        <v>100</v>
      </c>
      <c r="V28" s="714" t="s">
        <v>21</v>
      </c>
      <c r="W28" s="715">
        <f t="shared" si="14"/>
        <v>100</v>
      </c>
      <c r="X28" s="3238"/>
      <c r="Y28" s="3483"/>
      <c r="Z28" s="3237">
        <f t="shared" ref="Z28:Z46" si="18">Q28</f>
        <v>111</v>
      </c>
      <c r="AA28" s="3239">
        <f t="shared" si="15"/>
        <v>1</v>
      </c>
      <c r="AB28" s="3239">
        <f t="shared" si="16"/>
        <v>1</v>
      </c>
      <c r="AC28" s="3239">
        <f t="shared" si="17"/>
        <v>1</v>
      </c>
    </row>
    <row r="29" spans="1:29" ht="15.75" hidden="1" thickBot="1">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9"/>
      <c r="M29" s="2893"/>
      <c r="N29" s="2893"/>
      <c r="O29" s="2893"/>
      <c r="P29" s="3527"/>
      <c r="Q29" s="3236">
        <f t="shared" si="11"/>
        <v>111</v>
      </c>
      <c r="R29" s="714" t="s">
        <v>21</v>
      </c>
      <c r="S29" s="715">
        <f t="shared" si="12"/>
        <v>100</v>
      </c>
      <c r="T29" s="714" t="s">
        <v>21</v>
      </c>
      <c r="U29" s="715">
        <f t="shared" si="13"/>
        <v>100</v>
      </c>
      <c r="V29" s="714" t="s">
        <v>21</v>
      </c>
      <c r="W29" s="715">
        <f t="shared" si="14"/>
        <v>100</v>
      </c>
      <c r="X29" s="3238"/>
      <c r="Y29" s="3483"/>
      <c r="Z29" s="3237">
        <f t="shared" si="18"/>
        <v>111</v>
      </c>
      <c r="AA29" s="3239">
        <f t="shared" si="15"/>
        <v>1</v>
      </c>
      <c r="AB29" s="3239">
        <f t="shared" si="16"/>
        <v>1</v>
      </c>
      <c r="AC29" s="3239">
        <f t="shared" si="17"/>
        <v>1</v>
      </c>
    </row>
    <row r="30" spans="1:29" ht="15.75" hidden="1" thickBot="1">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9"/>
      <c r="M30" s="2893"/>
      <c r="N30" s="2893"/>
      <c r="O30" s="2893"/>
      <c r="P30" s="3527"/>
      <c r="Q30" s="3236">
        <f t="shared" si="11"/>
        <v>111</v>
      </c>
      <c r="R30" s="714" t="s">
        <v>21</v>
      </c>
      <c r="S30" s="715">
        <f t="shared" si="12"/>
        <v>100</v>
      </c>
      <c r="T30" s="714" t="s">
        <v>21</v>
      </c>
      <c r="U30" s="715">
        <f t="shared" si="13"/>
        <v>100</v>
      </c>
      <c r="V30" s="714" t="s">
        <v>21</v>
      </c>
      <c r="W30" s="715">
        <f t="shared" si="14"/>
        <v>100</v>
      </c>
      <c r="X30" s="3238"/>
      <c r="Y30" s="3483"/>
      <c r="Z30" s="3237">
        <f t="shared" si="18"/>
        <v>111</v>
      </c>
      <c r="AA30" s="3239">
        <f t="shared" si="15"/>
        <v>1</v>
      </c>
      <c r="AB30" s="3239">
        <f t="shared" si="16"/>
        <v>1</v>
      </c>
      <c r="AC30" s="3239">
        <f t="shared" si="17"/>
        <v>1</v>
      </c>
    </row>
    <row r="31" spans="1:29" ht="15.75" hidden="1"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9"/>
      <c r="M31" s="2893"/>
      <c r="N31" s="2893"/>
      <c r="O31" s="2893"/>
      <c r="P31" s="3527"/>
      <c r="Q31" s="3236">
        <f t="shared" si="11"/>
        <v>111</v>
      </c>
      <c r="R31" s="714" t="s">
        <v>21</v>
      </c>
      <c r="S31" s="715">
        <f t="shared" si="12"/>
        <v>100</v>
      </c>
      <c r="T31" s="714" t="s">
        <v>21</v>
      </c>
      <c r="U31" s="715">
        <f t="shared" si="13"/>
        <v>100</v>
      </c>
      <c r="V31" s="714" t="s">
        <v>21</v>
      </c>
      <c r="W31" s="715">
        <f t="shared" si="14"/>
        <v>100</v>
      </c>
      <c r="X31" s="3238"/>
      <c r="Y31" s="3483"/>
      <c r="Z31" s="3237">
        <f t="shared" si="18"/>
        <v>111</v>
      </c>
      <c r="AA31" s="3239">
        <f t="shared" si="15"/>
        <v>1</v>
      </c>
      <c r="AB31" s="3239">
        <f t="shared" si="16"/>
        <v>1</v>
      </c>
      <c r="AC31" s="3239">
        <f t="shared" si="17"/>
        <v>1</v>
      </c>
    </row>
    <row r="32" spans="1:29" ht="15">
      <c r="A32" s="399" t="s">
        <v>2141</v>
      </c>
      <c r="B32" s="67" t="s">
        <v>2142</v>
      </c>
      <c r="C32" s="2046" t="s">
        <v>3478</v>
      </c>
      <c r="D32" s="426">
        <v>100</v>
      </c>
      <c r="E32" s="2047" t="s">
        <v>3478</v>
      </c>
      <c r="F32" s="420">
        <f>SUMIF(100:100,E32,101:101)-SUMIF(100:100,C32,101:101)+100</f>
        <v>100</v>
      </c>
      <c r="G32" s="2046" t="s">
        <v>3478</v>
      </c>
      <c r="H32" s="426">
        <f>SUMIF(100:100,G32,101:101)-SUMIF(100:100,C32,101:101)+100</f>
        <v>100</v>
      </c>
      <c r="I32" s="2047" t="s">
        <v>3478</v>
      </c>
      <c r="J32" s="394">
        <f>SUMIF(100:100,I32,101:101)-SUMIF(100:100,C32,101:101)+100</f>
        <v>100</v>
      </c>
      <c r="K32" s="385">
        <v>2</v>
      </c>
      <c r="L32" s="2899"/>
      <c r="M32" s="2893"/>
      <c r="N32" s="2893"/>
      <c r="O32" s="2893"/>
      <c r="P32" s="3522" t="s">
        <v>2143</v>
      </c>
      <c r="Q32" s="3236" t="str">
        <f t="shared" si="11"/>
        <v>建筑类型</v>
      </c>
      <c r="R32" s="714" t="s">
        <v>21</v>
      </c>
      <c r="S32" s="715">
        <f t="shared" si="12"/>
        <v>100</v>
      </c>
      <c r="T32" s="714" t="s">
        <v>21</v>
      </c>
      <c r="U32" s="715">
        <f t="shared" si="13"/>
        <v>100</v>
      </c>
      <c r="V32" s="714" t="s">
        <v>21</v>
      </c>
      <c r="W32" s="715">
        <f t="shared" si="14"/>
        <v>100</v>
      </c>
      <c r="X32" s="3238"/>
      <c r="Y32" s="3485" t="s">
        <v>2143</v>
      </c>
      <c r="Z32" s="3237" t="str">
        <f t="shared" si="18"/>
        <v>建筑类型</v>
      </c>
      <c r="AA32" s="3239">
        <f t="shared" si="15"/>
        <v>1</v>
      </c>
      <c r="AB32" s="3239">
        <f t="shared" si="16"/>
        <v>1</v>
      </c>
      <c r="AC32" s="3239">
        <f t="shared" si="17"/>
        <v>1</v>
      </c>
    </row>
    <row r="33" spans="1:29" s="430" customFormat="1" ht="15">
      <c r="A33" s="427"/>
      <c r="B33" s="381" t="s">
        <v>2144</v>
      </c>
      <c r="C33" s="428">
        <f>'数据-基础表'!B3</f>
        <v>55369.5</v>
      </c>
      <c r="D33" s="132">
        <v>100</v>
      </c>
      <c r="E33" s="389">
        <v>225000</v>
      </c>
      <c r="F33" s="384">
        <f>LOOKUP(E33,103:103,104:104)-LOOKUP(C33,103:103,104:104)+100</f>
        <v>103</v>
      </c>
      <c r="G33" s="388">
        <v>377596</v>
      </c>
      <c r="H33" s="132">
        <f>LOOKUP(G33,103:103,104:104)-LOOKUP(C33,103:103,104:104)+100</f>
        <v>106</v>
      </c>
      <c r="I33" s="389">
        <v>117879</v>
      </c>
      <c r="J33" s="132">
        <f>LOOKUP(I33,103:103,104:104)-LOOKUP(C33,103:103,104:104)+100</f>
        <v>101</v>
      </c>
      <c r="K33" s="2030"/>
      <c r="L33" s="2898"/>
      <c r="M33" s="2900"/>
      <c r="N33" s="2900"/>
      <c r="O33" s="2900"/>
      <c r="P33" s="3523"/>
      <c r="Q33" s="716" t="str">
        <f t="shared" si="11"/>
        <v>项目建筑规模</v>
      </c>
      <c r="R33" s="717" t="s">
        <v>21</v>
      </c>
      <c r="S33" s="718">
        <f t="shared" si="12"/>
        <v>103</v>
      </c>
      <c r="T33" s="717" t="s">
        <v>21</v>
      </c>
      <c r="U33" s="718">
        <f t="shared" si="13"/>
        <v>106</v>
      </c>
      <c r="V33" s="717" t="s">
        <v>21</v>
      </c>
      <c r="W33" s="718">
        <f t="shared" si="14"/>
        <v>101</v>
      </c>
      <c r="X33" s="719"/>
      <c r="Y33" s="3485"/>
      <c r="Z33" s="720" t="str">
        <f t="shared" si="18"/>
        <v>项目建筑规模</v>
      </c>
      <c r="AA33" s="3239">
        <f t="shared" si="15"/>
        <v>0.970873786407767</v>
      </c>
      <c r="AB33" s="3239">
        <f t="shared" si="16"/>
        <v>0.94339622641509435</v>
      </c>
      <c r="AC33" s="3239">
        <f t="shared" si="17"/>
        <v>0.99009900990099009</v>
      </c>
    </row>
    <row r="34" spans="1:29" ht="15">
      <c r="A34" s="431"/>
      <c r="B34" s="381" t="s">
        <v>2145</v>
      </c>
      <c r="C34" s="2048" t="s">
        <v>3469</v>
      </c>
      <c r="D34" s="394">
        <v>100</v>
      </c>
      <c r="E34" s="2048" t="s">
        <v>3469</v>
      </c>
      <c r="F34" s="420">
        <f>SUMIF(105:105,E34,106:106)-SUMIF(105:105,C34,106:106)+100</f>
        <v>100</v>
      </c>
      <c r="G34" s="2048" t="s">
        <v>3469</v>
      </c>
      <c r="H34" s="394">
        <f>SUMIF(105:105,G34,106:106)-SUMIF(105:105,C34,106:106)+100</f>
        <v>100</v>
      </c>
      <c r="I34" s="2048" t="s">
        <v>3469</v>
      </c>
      <c r="J34" s="394">
        <f>SUMIF(105:105,I34,106:106)-SUMIF(105:105,C34,106:106)+100</f>
        <v>100</v>
      </c>
      <c r="K34" s="385">
        <v>1</v>
      </c>
      <c r="L34" s="2899"/>
      <c r="M34" s="2893"/>
      <c r="N34" s="2893"/>
      <c r="O34" s="2893"/>
      <c r="P34" s="3523"/>
      <c r="Q34" s="3236" t="str">
        <f t="shared" si="11"/>
        <v>建筑结构</v>
      </c>
      <c r="R34" s="714" t="s">
        <v>21</v>
      </c>
      <c r="S34" s="715">
        <f t="shared" si="12"/>
        <v>100</v>
      </c>
      <c r="T34" s="714" t="s">
        <v>21</v>
      </c>
      <c r="U34" s="715">
        <f t="shared" si="13"/>
        <v>100</v>
      </c>
      <c r="V34" s="714" t="s">
        <v>21</v>
      </c>
      <c r="W34" s="715">
        <f t="shared" si="14"/>
        <v>100</v>
      </c>
      <c r="X34" s="3238"/>
      <c r="Y34" s="3485"/>
      <c r="Z34" s="3237" t="str">
        <f t="shared" si="18"/>
        <v>建筑结构</v>
      </c>
      <c r="AA34" s="3239">
        <f t="shared" si="15"/>
        <v>1</v>
      </c>
      <c r="AB34" s="3239">
        <f t="shared" si="16"/>
        <v>1</v>
      </c>
      <c r="AC34" s="3239">
        <f t="shared" si="17"/>
        <v>1</v>
      </c>
    </row>
    <row r="35" spans="1:29" ht="15">
      <c r="A35" s="431"/>
      <c r="B35" s="381" t="s">
        <v>2146</v>
      </c>
      <c r="C35" s="2042" t="s">
        <v>3470</v>
      </c>
      <c r="D35" s="394">
        <v>100</v>
      </c>
      <c r="E35" s="2042" t="s">
        <v>3470</v>
      </c>
      <c r="F35" s="420">
        <f>SUMIF(107:107,E35,108:108)-SUMIF(107:107,C35,108:108)+100</f>
        <v>100</v>
      </c>
      <c r="G35" s="2042" t="s">
        <v>3470</v>
      </c>
      <c r="H35" s="394">
        <f>SUMIF(107:107,G35,108:108)-SUMIF(107:107,C35,108:108)+100</f>
        <v>100</v>
      </c>
      <c r="I35" s="2042" t="s">
        <v>3470</v>
      </c>
      <c r="J35" s="394">
        <f>SUMIF(107:107,I35,108:108)-SUMIF(107:107,C35,108:108)+100</f>
        <v>100</v>
      </c>
      <c r="K35" s="385">
        <v>1</v>
      </c>
      <c r="L35" s="2899"/>
      <c r="M35" s="2893"/>
      <c r="N35" s="2893"/>
      <c r="O35" s="2893"/>
      <c r="P35" s="3523"/>
      <c r="Q35" s="3236" t="str">
        <f t="shared" si="11"/>
        <v>建筑品质</v>
      </c>
      <c r="R35" s="714" t="s">
        <v>21</v>
      </c>
      <c r="S35" s="715">
        <f t="shared" si="12"/>
        <v>100</v>
      </c>
      <c r="T35" s="714" t="s">
        <v>21</v>
      </c>
      <c r="U35" s="715">
        <f t="shared" si="13"/>
        <v>100</v>
      </c>
      <c r="V35" s="714" t="s">
        <v>21</v>
      </c>
      <c r="W35" s="715">
        <f t="shared" si="14"/>
        <v>100</v>
      </c>
      <c r="X35" s="3238"/>
      <c r="Y35" s="3485"/>
      <c r="Z35" s="3237" t="str">
        <f t="shared" si="18"/>
        <v>建筑品质</v>
      </c>
      <c r="AA35" s="3239">
        <f t="shared" si="15"/>
        <v>1</v>
      </c>
      <c r="AB35" s="3239">
        <f t="shared" si="16"/>
        <v>1</v>
      </c>
      <c r="AC35" s="3239">
        <f t="shared" si="17"/>
        <v>1</v>
      </c>
    </row>
    <row r="36" spans="1:29" ht="15">
      <c r="A36" s="431"/>
      <c r="B36" s="381" t="s">
        <v>2147</v>
      </c>
      <c r="C36" s="2042" t="s">
        <v>3374</v>
      </c>
      <c r="D36" s="394">
        <v>100</v>
      </c>
      <c r="E36" s="2042" t="s">
        <v>3374</v>
      </c>
      <c r="F36" s="420">
        <f>SUMIF(109:109,E36,110:110)-SUMIF(109:109,C36,110:110)+100</f>
        <v>100</v>
      </c>
      <c r="G36" s="2042" t="s">
        <v>3374</v>
      </c>
      <c r="H36" s="394">
        <f>SUMIF(109:109,G36,110:110)-SUMIF(109:109,C36,110:110)+100</f>
        <v>100</v>
      </c>
      <c r="I36" s="2042" t="s">
        <v>3374</v>
      </c>
      <c r="J36" s="394">
        <f>SUMIF(109:109,I36,110:110)-SUMIF(109:109,C36,110:110)+100</f>
        <v>100</v>
      </c>
      <c r="K36" s="385">
        <v>1</v>
      </c>
      <c r="L36" s="2899"/>
      <c r="M36" s="2893"/>
      <c r="N36" s="2893"/>
      <c r="O36" s="2893"/>
      <c r="P36" s="3523"/>
      <c r="Q36" s="3236" t="str">
        <f t="shared" si="11"/>
        <v>公共部分装修</v>
      </c>
      <c r="R36" s="714" t="s">
        <v>21</v>
      </c>
      <c r="S36" s="715">
        <f t="shared" si="12"/>
        <v>100</v>
      </c>
      <c r="T36" s="714" t="s">
        <v>21</v>
      </c>
      <c r="U36" s="715">
        <f t="shared" si="13"/>
        <v>100</v>
      </c>
      <c r="V36" s="714" t="s">
        <v>21</v>
      </c>
      <c r="W36" s="715">
        <f t="shared" si="14"/>
        <v>100</v>
      </c>
      <c r="X36" s="3238"/>
      <c r="Y36" s="3485"/>
      <c r="Z36" s="3237" t="str">
        <f t="shared" si="18"/>
        <v>公共部分装修</v>
      </c>
      <c r="AA36" s="3239">
        <f t="shared" si="15"/>
        <v>1</v>
      </c>
      <c r="AB36" s="3239">
        <f t="shared" si="16"/>
        <v>1</v>
      </c>
      <c r="AC36" s="3239">
        <f t="shared" si="17"/>
        <v>1</v>
      </c>
    </row>
    <row r="37" spans="1:29" s="113" customFormat="1" ht="15">
      <c r="A37" s="432"/>
      <c r="B37" s="381" t="s">
        <v>2148</v>
      </c>
      <c r="C37" s="433">
        <v>1</v>
      </c>
      <c r="D37" s="132">
        <v>100</v>
      </c>
      <c r="E37" s="433">
        <v>1</v>
      </c>
      <c r="F37" s="384">
        <f>LOOKUP(E37,112:112,113:113)-LOOKUP(C37,112:112,113:113)+100</f>
        <v>100</v>
      </c>
      <c r="G37" s="433">
        <v>1</v>
      </c>
      <c r="H37" s="132">
        <f>LOOKUP(G37,112:112,113:113)-LOOKUP(C37,112:112,113:113)+100</f>
        <v>100</v>
      </c>
      <c r="I37" s="433">
        <v>1</v>
      </c>
      <c r="J37" s="132">
        <f>LOOKUP(I37,112:112,113:113)-LOOKUP(C37,112:112,113:113)+100</f>
        <v>100</v>
      </c>
      <c r="K37" s="385">
        <v>1</v>
      </c>
      <c r="L37" s="2894"/>
      <c r="M37" s="2895"/>
      <c r="N37" s="2895"/>
      <c r="O37" s="2895"/>
      <c r="P37" s="3523"/>
      <c r="Q37" s="3235" t="str">
        <f t="shared" si="11"/>
        <v>成新度</v>
      </c>
      <c r="R37" s="710" t="s">
        <v>21</v>
      </c>
      <c r="S37" s="711">
        <f t="shared" si="12"/>
        <v>100</v>
      </c>
      <c r="T37" s="710" t="s">
        <v>21</v>
      </c>
      <c r="U37" s="711">
        <f t="shared" si="13"/>
        <v>100</v>
      </c>
      <c r="V37" s="710" t="s">
        <v>21</v>
      </c>
      <c r="W37" s="711">
        <f t="shared" si="14"/>
        <v>100</v>
      </c>
      <c r="X37" s="712"/>
      <c r="Y37" s="3485"/>
      <c r="Z37" s="3234" t="str">
        <f t="shared" si="18"/>
        <v>成新度</v>
      </c>
      <c r="AA37" s="713">
        <f t="shared" si="15"/>
        <v>1</v>
      </c>
      <c r="AB37" s="713">
        <f t="shared" si="16"/>
        <v>1</v>
      </c>
      <c r="AC37" s="713">
        <f t="shared" si="17"/>
        <v>1</v>
      </c>
    </row>
    <row r="38" spans="1:29" ht="15">
      <c r="A38" s="431"/>
      <c r="B38" s="381" t="s">
        <v>2149</v>
      </c>
      <c r="C38" s="2042" t="s">
        <v>3471</v>
      </c>
      <c r="D38" s="394">
        <v>100</v>
      </c>
      <c r="E38" s="2042" t="s">
        <v>3471</v>
      </c>
      <c r="F38" s="420">
        <f>SUMIF(114:114,E38,115:115)-SUMIF(114:114,C38,115:115)+100</f>
        <v>100</v>
      </c>
      <c r="G38" s="2042" t="s">
        <v>3471</v>
      </c>
      <c r="H38" s="394">
        <f>SUMIF(114:114,G38,115:115)-SUMIF(114:114,C38,115:115)+100</f>
        <v>100</v>
      </c>
      <c r="I38" s="2042" t="s">
        <v>3471</v>
      </c>
      <c r="J38" s="394">
        <f>SUMIF(114:114,I38,115:115)-SUMIF(114:114,C38,115:115)+100</f>
        <v>100</v>
      </c>
      <c r="K38" s="385">
        <v>1</v>
      </c>
      <c r="L38" s="2899"/>
      <c r="M38" s="2893"/>
      <c r="N38" s="2893"/>
      <c r="O38" s="2893"/>
      <c r="P38" s="3523" t="s">
        <v>2143</v>
      </c>
      <c r="Q38" s="3236" t="str">
        <f t="shared" si="11"/>
        <v>物业管理</v>
      </c>
      <c r="R38" s="714" t="s">
        <v>21</v>
      </c>
      <c r="S38" s="715">
        <f t="shared" si="12"/>
        <v>100</v>
      </c>
      <c r="T38" s="714" t="s">
        <v>21</v>
      </c>
      <c r="U38" s="715">
        <f t="shared" si="13"/>
        <v>100</v>
      </c>
      <c r="V38" s="714" t="s">
        <v>21</v>
      </c>
      <c r="W38" s="715">
        <f t="shared" si="14"/>
        <v>100</v>
      </c>
      <c r="X38" s="3238"/>
      <c r="Y38" s="3485" t="s">
        <v>2143</v>
      </c>
      <c r="Z38" s="3237" t="str">
        <f t="shared" si="18"/>
        <v>物业管理</v>
      </c>
      <c r="AA38" s="3239">
        <f t="shared" si="15"/>
        <v>1</v>
      </c>
      <c r="AB38" s="3239">
        <f t="shared" si="16"/>
        <v>1</v>
      </c>
      <c r="AC38" s="3239">
        <f t="shared" si="17"/>
        <v>1</v>
      </c>
    </row>
    <row r="39" spans="1:29" ht="15">
      <c r="A39" s="431"/>
      <c r="B39" s="381" t="s">
        <v>2150</v>
      </c>
      <c r="C39" s="2042" t="s">
        <v>3363</v>
      </c>
      <c r="D39" s="394">
        <v>100</v>
      </c>
      <c r="E39" s="2042" t="s">
        <v>3363</v>
      </c>
      <c r="F39" s="420">
        <f>SUMIF(116:116,E39,117:117)-SUMIF(116:116,C39,117:117)+100</f>
        <v>100</v>
      </c>
      <c r="G39" s="2042" t="s">
        <v>3363</v>
      </c>
      <c r="H39" s="394">
        <f>SUMIF(116:116,G39,117:117)-SUMIF(116:116,C39,117:117)+100</f>
        <v>100</v>
      </c>
      <c r="I39" s="2042" t="s">
        <v>3363</v>
      </c>
      <c r="J39" s="394">
        <f>SUMIF(116:116,I39,117:117)-SUMIF(116:116,C39,117:117)+100</f>
        <v>100</v>
      </c>
      <c r="K39" s="385">
        <v>1</v>
      </c>
      <c r="L39" s="2899"/>
      <c r="M39" s="2893"/>
      <c r="N39" s="2893"/>
      <c r="O39" s="2893"/>
      <c r="P39" s="3523"/>
      <c r="Q39" s="3236" t="str">
        <f t="shared" si="11"/>
        <v>市政基础设施</v>
      </c>
      <c r="R39" s="714" t="s">
        <v>21</v>
      </c>
      <c r="S39" s="715">
        <f t="shared" si="12"/>
        <v>100</v>
      </c>
      <c r="T39" s="714" t="s">
        <v>21</v>
      </c>
      <c r="U39" s="715">
        <f t="shared" si="13"/>
        <v>100</v>
      </c>
      <c r="V39" s="714" t="s">
        <v>21</v>
      </c>
      <c r="W39" s="715">
        <f t="shared" si="14"/>
        <v>100</v>
      </c>
      <c r="X39" s="3238"/>
      <c r="Y39" s="3485"/>
      <c r="Z39" s="3237" t="str">
        <f t="shared" si="18"/>
        <v>市政基础设施</v>
      </c>
      <c r="AA39" s="3239">
        <f t="shared" si="15"/>
        <v>1</v>
      </c>
      <c r="AB39" s="3239">
        <f t="shared" si="16"/>
        <v>1</v>
      </c>
      <c r="AC39" s="3239">
        <f t="shared" si="17"/>
        <v>1</v>
      </c>
    </row>
    <row r="40" spans="1:29" ht="15">
      <c r="A40" s="431"/>
      <c r="B40" s="381" t="s">
        <v>2151</v>
      </c>
      <c r="C40" s="2042" t="s">
        <v>3472</v>
      </c>
      <c r="D40" s="394">
        <v>100</v>
      </c>
      <c r="E40" s="2042" t="s">
        <v>3472</v>
      </c>
      <c r="F40" s="420">
        <f>SUMIF(118:118,E40,119:119)-SUMIF(118:118,C40,119:119)+100</f>
        <v>100</v>
      </c>
      <c r="G40" s="2042" t="s">
        <v>3472</v>
      </c>
      <c r="H40" s="394">
        <f>SUMIF(118:118,G40,119:119)-SUMIF(118:118,C40,119:119)+100</f>
        <v>100</v>
      </c>
      <c r="I40" s="2042" t="s">
        <v>3472</v>
      </c>
      <c r="J40" s="394">
        <f>SUMIF(118:118,I40,119:119)-SUMIF(118:118,C40,119:119)+100</f>
        <v>100</v>
      </c>
      <c r="K40" s="385">
        <v>5</v>
      </c>
      <c r="L40" s="2899"/>
      <c r="M40" s="2893"/>
      <c r="N40" s="2893"/>
      <c r="O40" s="2893"/>
      <c r="P40" s="3523"/>
      <c r="Q40" s="3236" t="str">
        <f t="shared" si="11"/>
        <v>房型</v>
      </c>
      <c r="R40" s="714" t="s">
        <v>21</v>
      </c>
      <c r="S40" s="715">
        <f t="shared" si="12"/>
        <v>100</v>
      </c>
      <c r="T40" s="714" t="s">
        <v>21</v>
      </c>
      <c r="U40" s="715">
        <f t="shared" si="13"/>
        <v>100</v>
      </c>
      <c r="V40" s="714" t="s">
        <v>21</v>
      </c>
      <c r="W40" s="715">
        <f t="shared" si="14"/>
        <v>100</v>
      </c>
      <c r="X40" s="3238"/>
      <c r="Y40" s="3485"/>
      <c r="Z40" s="3237" t="str">
        <f t="shared" si="18"/>
        <v>房型</v>
      </c>
      <c r="AA40" s="3239">
        <f t="shared" si="15"/>
        <v>1</v>
      </c>
      <c r="AB40" s="3239">
        <f t="shared" si="16"/>
        <v>1</v>
      </c>
      <c r="AC40" s="3239">
        <f t="shared" si="17"/>
        <v>1</v>
      </c>
    </row>
    <row r="41" spans="1:29" s="430" customFormat="1" ht="28.5">
      <c r="A41" s="427"/>
      <c r="B41" s="381" t="s">
        <v>2152</v>
      </c>
      <c r="C41" s="428" t="s">
        <v>3490</v>
      </c>
      <c r="D41" s="132">
        <v>100</v>
      </c>
      <c r="E41" s="389" t="s">
        <v>3483</v>
      </c>
      <c r="F41" s="384">
        <f>SUMIF(120:120,E41,121:121)-SUMIF(120:120,C41,121:121)+100</f>
        <v>100</v>
      </c>
      <c r="G41" s="388">
        <v>190</v>
      </c>
      <c r="H41" s="132">
        <f>SUMIF(120:120,G41,121:121)-SUMIF(120:120,C41,121:121)+100</f>
        <v>100</v>
      </c>
      <c r="I41" s="436" t="s">
        <v>3489</v>
      </c>
      <c r="J41" s="394">
        <f>SUMIF(120:120,I41,121:121)-SUMIF(120:120,C41,121:121)+100</f>
        <v>100</v>
      </c>
      <c r="K41" s="2030"/>
      <c r="L41" s="2898"/>
      <c r="M41" s="2900"/>
      <c r="N41" s="2900"/>
      <c r="O41" s="2900"/>
      <c r="P41" s="3523"/>
      <c r="Q41" s="716" t="str">
        <f t="shared" si="11"/>
        <v>单套/主力户型建筑面积</v>
      </c>
      <c r="R41" s="717" t="s">
        <v>21</v>
      </c>
      <c r="S41" s="718">
        <f t="shared" si="12"/>
        <v>100</v>
      </c>
      <c r="T41" s="717" t="s">
        <v>21</v>
      </c>
      <c r="U41" s="718">
        <f t="shared" si="13"/>
        <v>100</v>
      </c>
      <c r="V41" s="717" t="s">
        <v>21</v>
      </c>
      <c r="W41" s="718">
        <f t="shared" si="14"/>
        <v>100</v>
      </c>
      <c r="X41" s="719"/>
      <c r="Y41" s="3485"/>
      <c r="Z41" s="720" t="str">
        <f t="shared" si="18"/>
        <v>单套/主力户型建筑面积</v>
      </c>
      <c r="AA41" s="3239">
        <f t="shared" si="15"/>
        <v>1</v>
      </c>
      <c r="AB41" s="3239">
        <f t="shared" si="16"/>
        <v>1</v>
      </c>
      <c r="AC41" s="3239">
        <f t="shared" si="17"/>
        <v>1</v>
      </c>
    </row>
    <row r="42" spans="1:29" ht="15">
      <c r="A42" s="431"/>
      <c r="B42" s="381" t="s">
        <v>2153</v>
      </c>
      <c r="C42" s="2042" t="s">
        <v>3381</v>
      </c>
      <c r="D42" s="394">
        <v>100</v>
      </c>
      <c r="E42" s="2043" t="s">
        <v>3381</v>
      </c>
      <c r="F42" s="420">
        <f>SUMIF(122:122,E42,123:123)-SUMIF(122:122,C42,123:123)+100</f>
        <v>100</v>
      </c>
      <c r="G42" s="2042" t="s">
        <v>3381</v>
      </c>
      <c r="H42" s="394">
        <f>SUMIF(122:122,G42,123:123)-SUMIF(122:122,C42,123:123)+100</f>
        <v>100</v>
      </c>
      <c r="I42" s="2043" t="s">
        <v>3381</v>
      </c>
      <c r="J42" s="394">
        <f>SUMIF(122:122,I42,123:123)-SUMIF(122:122,C42,123:123)+100</f>
        <v>100</v>
      </c>
      <c r="K42" s="385">
        <v>1</v>
      </c>
      <c r="L42" s="2899"/>
      <c r="M42" s="2893"/>
      <c r="N42" s="2893"/>
      <c r="O42" s="2893"/>
      <c r="P42" s="3523"/>
      <c r="Q42" s="3236" t="str">
        <f t="shared" si="11"/>
        <v>内部装修</v>
      </c>
      <c r="R42" s="714" t="s">
        <v>21</v>
      </c>
      <c r="S42" s="715">
        <f t="shared" si="12"/>
        <v>100</v>
      </c>
      <c r="T42" s="714" t="s">
        <v>21</v>
      </c>
      <c r="U42" s="715">
        <f t="shared" si="13"/>
        <v>100</v>
      </c>
      <c r="V42" s="714" t="s">
        <v>21</v>
      </c>
      <c r="W42" s="715">
        <f t="shared" si="14"/>
        <v>100</v>
      </c>
      <c r="X42" s="3238"/>
      <c r="Y42" s="3485"/>
      <c r="Z42" s="3237" t="str">
        <f t="shared" si="18"/>
        <v>内部装修</v>
      </c>
      <c r="AA42" s="3239">
        <f t="shared" si="15"/>
        <v>1</v>
      </c>
      <c r="AB42" s="3239">
        <f t="shared" si="16"/>
        <v>1</v>
      </c>
      <c r="AC42" s="3239">
        <f t="shared" si="17"/>
        <v>1</v>
      </c>
    </row>
    <row r="43" spans="1:29" ht="15.75" thickBot="1">
      <c r="A43" s="431"/>
      <c r="B43" s="381" t="s">
        <v>2154</v>
      </c>
      <c r="C43" s="2042" t="s">
        <v>3365</v>
      </c>
      <c r="D43" s="394">
        <v>100</v>
      </c>
      <c r="E43" s="2042" t="s">
        <v>3365</v>
      </c>
      <c r="F43" s="420">
        <f>SUMIF(124:124,E43,125:125)-SUMIF(124:124,C43,125:125)+100</f>
        <v>100</v>
      </c>
      <c r="G43" s="2042" t="s">
        <v>3365</v>
      </c>
      <c r="H43" s="394">
        <f>SUMIF(124:124,G43,125:125)-SUMIF(124:124,C43,125:125)+100</f>
        <v>100</v>
      </c>
      <c r="I43" s="2042" t="s">
        <v>3365</v>
      </c>
      <c r="J43" s="394">
        <f>SUMIF(124:124,I43,125:125)-SUMIF(124:124,C43,125:125)+100</f>
        <v>100</v>
      </c>
      <c r="K43" s="385">
        <v>1</v>
      </c>
      <c r="L43" s="2899"/>
      <c r="M43" s="2893"/>
      <c r="N43" s="2893"/>
      <c r="O43" s="2893"/>
      <c r="P43" s="3523"/>
      <c r="Q43" s="3236" t="str">
        <f t="shared" si="11"/>
        <v>内部装修维护情况</v>
      </c>
      <c r="R43" s="714" t="s">
        <v>21</v>
      </c>
      <c r="S43" s="715">
        <f t="shared" si="12"/>
        <v>100</v>
      </c>
      <c r="T43" s="714" t="s">
        <v>21</v>
      </c>
      <c r="U43" s="715">
        <f t="shared" si="13"/>
        <v>100</v>
      </c>
      <c r="V43" s="714" t="s">
        <v>21</v>
      </c>
      <c r="W43" s="715">
        <f t="shared" si="14"/>
        <v>100</v>
      </c>
      <c r="X43" s="3238"/>
      <c r="Y43" s="3485"/>
      <c r="Z43" s="3237" t="str">
        <f t="shared" si="18"/>
        <v>内部装修维护情况</v>
      </c>
      <c r="AA43" s="3239">
        <f t="shared" si="15"/>
        <v>1</v>
      </c>
      <c r="AB43" s="3239">
        <f t="shared" si="16"/>
        <v>1</v>
      </c>
      <c r="AC43" s="3239">
        <f t="shared" si="17"/>
        <v>1</v>
      </c>
    </row>
    <row r="44" spans="1:29" s="113" customFormat="1" ht="15.75" hidden="1" thickBot="1">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4"/>
      <c r="M44" s="2895"/>
      <c r="N44" s="2895"/>
      <c r="O44" s="2895"/>
      <c r="P44" s="3523"/>
      <c r="Q44" s="3235">
        <f t="shared" si="11"/>
        <v>111</v>
      </c>
      <c r="R44" s="710" t="s">
        <v>21</v>
      </c>
      <c r="S44" s="711">
        <f t="shared" si="12"/>
        <v>100</v>
      </c>
      <c r="T44" s="710" t="s">
        <v>21</v>
      </c>
      <c r="U44" s="711">
        <f t="shared" si="13"/>
        <v>100</v>
      </c>
      <c r="V44" s="710" t="s">
        <v>21</v>
      </c>
      <c r="W44" s="711">
        <f t="shared" si="14"/>
        <v>100</v>
      </c>
      <c r="X44" s="712"/>
      <c r="Y44" s="3485"/>
      <c r="Z44" s="3234">
        <f t="shared" si="18"/>
        <v>111</v>
      </c>
      <c r="AA44" s="713">
        <f t="shared" si="15"/>
        <v>1</v>
      </c>
      <c r="AB44" s="713">
        <f t="shared" si="16"/>
        <v>1</v>
      </c>
      <c r="AC44" s="713">
        <f t="shared" si="17"/>
        <v>1</v>
      </c>
    </row>
    <row r="45" spans="1:29" ht="15.75" hidden="1" thickBot="1">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9"/>
      <c r="M45" s="2893"/>
      <c r="N45" s="2893"/>
      <c r="O45" s="2893"/>
      <c r="P45" s="3523"/>
      <c r="Q45" s="3236">
        <f t="shared" si="11"/>
        <v>111</v>
      </c>
      <c r="R45" s="714" t="s">
        <v>21</v>
      </c>
      <c r="S45" s="715">
        <f t="shared" si="12"/>
        <v>100</v>
      </c>
      <c r="T45" s="714" t="s">
        <v>21</v>
      </c>
      <c r="U45" s="715">
        <f t="shared" si="13"/>
        <v>100</v>
      </c>
      <c r="V45" s="714" t="s">
        <v>21</v>
      </c>
      <c r="W45" s="715">
        <f t="shared" si="14"/>
        <v>100</v>
      </c>
      <c r="X45" s="3238"/>
      <c r="Y45" s="3485"/>
      <c r="Z45" s="3237">
        <f t="shared" si="18"/>
        <v>111</v>
      </c>
      <c r="AA45" s="3239">
        <f t="shared" si="15"/>
        <v>1</v>
      </c>
      <c r="AB45" s="3239">
        <f t="shared" si="16"/>
        <v>1</v>
      </c>
      <c r="AC45" s="3239">
        <f t="shared" si="17"/>
        <v>1</v>
      </c>
    </row>
    <row r="46" spans="1:29" ht="15.75" hidden="1"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9"/>
      <c r="M46" s="2893"/>
      <c r="N46" s="2893"/>
      <c r="O46" s="2893"/>
      <c r="P46" s="3524"/>
      <c r="Q46" s="3236">
        <f t="shared" si="11"/>
        <v>111</v>
      </c>
      <c r="R46" s="714" t="s">
        <v>20</v>
      </c>
      <c r="S46" s="715">
        <f t="shared" si="12"/>
        <v>100</v>
      </c>
      <c r="T46" s="714" t="s">
        <v>20</v>
      </c>
      <c r="U46" s="715">
        <f t="shared" si="13"/>
        <v>100</v>
      </c>
      <c r="V46" s="714" t="s">
        <v>20</v>
      </c>
      <c r="W46" s="715">
        <f t="shared" si="14"/>
        <v>100</v>
      </c>
      <c r="X46" s="3238"/>
      <c r="Y46" s="3525"/>
      <c r="Z46" s="3237">
        <f t="shared" si="18"/>
        <v>111</v>
      </c>
      <c r="AA46" s="3239">
        <f t="shared" si="15"/>
        <v>1</v>
      </c>
      <c r="AB46" s="3239">
        <f t="shared" si="16"/>
        <v>1</v>
      </c>
      <c r="AC46" s="3239">
        <f t="shared" si="17"/>
        <v>1</v>
      </c>
    </row>
    <row r="47" spans="1:29" ht="15">
      <c r="A47" s="438" t="s">
        <v>2155</v>
      </c>
      <c r="B47" s="439"/>
      <c r="C47" s="1269" t="s">
        <v>19</v>
      </c>
      <c r="D47" s="1270"/>
      <c r="E47" s="1271">
        <v>20000</v>
      </c>
      <c r="F47" s="1272"/>
      <c r="G47" s="1273">
        <v>23000</v>
      </c>
      <c r="H47" s="1274"/>
      <c r="I47" s="1271">
        <v>23000</v>
      </c>
      <c r="J47" s="1274"/>
      <c r="K47" s="2049"/>
      <c r="L47" s="2901"/>
      <c r="M47" s="2902"/>
      <c r="N47" s="2893"/>
      <c r="O47" s="2902"/>
      <c r="P47" s="3467" t="str">
        <f>A47</f>
        <v>成交单价（元/平方米）</v>
      </c>
      <c r="Q47" s="3467"/>
      <c r="R47" s="3521">
        <f>E47</f>
        <v>20000</v>
      </c>
      <c r="S47" s="3521"/>
      <c r="T47" s="3521">
        <f>G47</f>
        <v>23000</v>
      </c>
      <c r="U47" s="3521"/>
      <c r="V47" s="3521">
        <f>I47</f>
        <v>23000</v>
      </c>
      <c r="W47" s="3521"/>
      <c r="X47" s="699"/>
      <c r="Y47" s="721"/>
      <c r="Z47" s="699"/>
      <c r="AA47" s="699"/>
      <c r="AB47" s="699"/>
      <c r="AC47" s="699"/>
    </row>
    <row r="48" spans="1:29" ht="15.75" thickBot="1">
      <c r="A48" s="445" t="s">
        <v>2156</v>
      </c>
      <c r="B48" s="446"/>
      <c r="C48" s="1275">
        <f>R49</f>
        <v>21720</v>
      </c>
      <c r="D48" s="2487" t="s">
        <v>2637</v>
      </c>
      <c r="E48" s="1276">
        <f>R48</f>
        <v>20018</v>
      </c>
      <c r="F48" s="2488"/>
      <c r="G48" s="1275">
        <f>T48</f>
        <v>22369</v>
      </c>
      <c r="H48" s="2488"/>
      <c r="I48" s="1276">
        <f>V48</f>
        <v>22772</v>
      </c>
      <c r="J48" s="2488"/>
      <c r="K48" s="2489">
        <f>F48+H48+J48</f>
        <v>0</v>
      </c>
      <c r="L48" s="2901"/>
      <c r="M48" s="2902"/>
      <c r="N48" s="2902"/>
      <c r="O48" s="2902"/>
      <c r="P48" s="3467" t="str">
        <f>A48</f>
        <v>比较价值（元/平方米）</v>
      </c>
      <c r="Q48" s="3467"/>
      <c r="R48" s="3521">
        <f>IF(F1="售价",ROUND(PRODUCT(R47,AA7:AA46),0),ROUND(PRODUCT(R47,AA7:AA46),1))</f>
        <v>20018</v>
      </c>
      <c r="S48" s="3521"/>
      <c r="T48" s="3521">
        <f>IF(F1="售价",ROUND(PRODUCT(T47,AB7:AB46),0),ROUND(PRODUCT(T47,AB7:AB46),1))</f>
        <v>22369</v>
      </c>
      <c r="U48" s="3521"/>
      <c r="V48" s="3521">
        <f>IF(F1="售价",ROUND(PRODUCT(V47,AC7:AC46),0),ROUND(PRODUCT(V47,AC7:AC46),1))</f>
        <v>22772</v>
      </c>
      <c r="W48" s="3521"/>
      <c r="X48" s="699"/>
      <c r="Y48" s="699"/>
      <c r="Z48" s="699"/>
      <c r="AA48" s="699"/>
      <c r="AB48" s="699"/>
      <c r="AC48" s="699"/>
    </row>
    <row r="49" spans="1:29" ht="15.75" thickBot="1">
      <c r="A49" s="449" t="s">
        <v>2157</v>
      </c>
      <c r="B49" s="450"/>
      <c r="C49" s="1277">
        <f>R49</f>
        <v>21720</v>
      </c>
      <c r="D49" s="1278"/>
      <c r="E49" s="1278"/>
      <c r="F49" s="1278"/>
      <c r="G49" s="1278"/>
      <c r="H49" s="1278"/>
      <c r="I49" s="1278"/>
      <c r="J49" s="1278"/>
      <c r="K49" s="2050"/>
      <c r="L49" s="2901"/>
      <c r="M49" s="2902"/>
      <c r="N49" s="2902"/>
      <c r="O49" s="2902"/>
      <c r="P49" s="3487" t="str">
        <f>A49</f>
        <v>估价对象XX用房的比较价值（楼面单价，元/平方米）</v>
      </c>
      <c r="Q49" s="3488"/>
      <c r="R49" s="3520">
        <f>IF(F1="售价",ROUND(IF(D48="简单平均",AVERAGE(R48:V48),R48*F48+T48*H48+V48*J48),0),ROUND(IF(D48="简单平均",AVERAGE(R48:V48),R48*F48+T48*H48+V48*J48),1))</f>
        <v>21720</v>
      </c>
      <c r="S49" s="3520"/>
      <c r="T49" s="3520"/>
      <c r="U49" s="3520"/>
      <c r="V49" s="3520"/>
      <c r="W49" s="3520"/>
      <c r="X49" s="699"/>
      <c r="Y49" s="699"/>
      <c r="Z49" s="699"/>
      <c r="AA49" s="699"/>
      <c r="AB49" s="699"/>
      <c r="AC49" s="699"/>
    </row>
    <row r="50" spans="1:29">
      <c r="A50" s="2902"/>
      <c r="B50" s="2902"/>
      <c r="C50" s="2902"/>
      <c r="D50" s="2902"/>
      <c r="E50" s="2902"/>
      <c r="F50" s="2902"/>
      <c r="G50" s="3257"/>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2158</v>
      </c>
      <c r="D52" s="455"/>
      <c r="E52" s="456">
        <f>IF(E47&lt;E48,E48/E47-1,E47/E48-1)</f>
        <v>8.9999999999990088E-4</v>
      </c>
      <c r="F52" s="457" t="str">
        <f>IF(OR(E52&gt;=0.3,E52&lt;=-0.3),"超过30%","")</f>
        <v/>
      </c>
      <c r="G52" s="456">
        <f>IF(G47&lt;G48,G48/G47-1,G47/G48-1)</f>
        <v>2.8208681657651224E-2</v>
      </c>
      <c r="H52" s="457" t="str">
        <f>IF(OR(G52&gt;=0.3,G52&lt;=-0.3),"超过30%","")</f>
        <v/>
      </c>
      <c r="I52" s="456">
        <f>IF(I47&lt;I48,I48/I47-1,I47/I48-1)</f>
        <v>1.0012295801862026E-2</v>
      </c>
      <c r="J52" s="457" t="str">
        <f>IF(OR(I52&gt;=0.3,I52&lt;=-0.3),"超过30%","")</f>
        <v/>
      </c>
      <c r="K52" s="2907"/>
      <c r="L52" s="2903"/>
      <c r="M52" s="2902"/>
      <c r="N52" s="2902"/>
      <c r="O52" s="2902"/>
    </row>
    <row r="53" spans="1:29" ht="13.5" customHeight="1">
      <c r="A53" s="2902"/>
      <c r="B53" s="2902"/>
      <c r="C53" s="454" t="s">
        <v>2159</v>
      </c>
      <c r="D53" s="458"/>
      <c r="E53" s="456">
        <f>IF(E48&lt;G48,G48/E48-1,E48/G48-1)</f>
        <v>0.11744430012988305</v>
      </c>
      <c r="F53" s="457" t="str">
        <f>IF(OR(E53&gt;=0.2,E53&lt;=-0.2),"超过20%","")</f>
        <v/>
      </c>
      <c r="G53" s="456">
        <f>IF(G48&lt;I48,I48/G48-1,G48/I48-1)</f>
        <v>1.8016004291653731E-2</v>
      </c>
      <c r="H53" s="457" t="str">
        <f>IF(OR(G53&gt;=0.2,G53&lt;=-0.2),"超过20%","")</f>
        <v/>
      </c>
      <c r="I53" s="456">
        <f>IF(I48&lt;E48,E48/I48-1,I48/E48-1)</f>
        <v>0.13757618143670691</v>
      </c>
      <c r="J53" s="457" t="str">
        <f>IF(OR(I53&gt;=0.2,I53&lt;=-0.2),"超过20%","")</f>
        <v/>
      </c>
      <c r="K53" s="2907"/>
      <c r="L53" s="2903"/>
      <c r="M53" s="2902"/>
      <c r="N53" s="2902"/>
      <c r="O53" s="2902"/>
    </row>
    <row r="54" spans="1:29" s="459" customFormat="1" ht="13.5" customHeight="1">
      <c r="A54" s="2905"/>
      <c r="B54" s="2905"/>
      <c r="C54" s="454" t="s">
        <v>2160</v>
      </c>
      <c r="D54" s="458"/>
      <c r="E54" s="456">
        <f>IF(E47&lt;G47,G47/E47-1,E47/G47-1)</f>
        <v>0.14999999999999991</v>
      </c>
      <c r="F54" s="457" t="str">
        <f>IF(OR(E54&gt;=0.3,E54&lt;=-0.3),"超过30%","")</f>
        <v/>
      </c>
      <c r="G54" s="456">
        <f>IF(G47&lt;I47,I47/G47-1,G47/I47-1)</f>
        <v>0</v>
      </c>
      <c r="H54" s="457" t="str">
        <f>IF(OR(G54&gt;=0.3,G54&lt;=-0.3),"超过30%","")</f>
        <v/>
      </c>
      <c r="I54" s="456">
        <f>IF(I47&lt;E47,E47/I47-1,I47/E47-1)</f>
        <v>0.14999999999999991</v>
      </c>
      <c r="J54" s="457" t="str">
        <f>IF(OR(I54&gt;=0.3,I54&lt;=-0.3),"超过30%","")</f>
        <v/>
      </c>
      <c r="K54" s="2910"/>
      <c r="L54" s="2904"/>
      <c r="M54" s="2905"/>
      <c r="N54" s="2905"/>
      <c r="O54" s="2905"/>
      <c r="P54" s="2052"/>
    </row>
    <row r="55" spans="1:29" s="459" customFormat="1">
      <c r="A55" s="2905"/>
      <c r="B55" s="2908"/>
      <c r="C55" s="2909"/>
      <c r="D55" s="2905"/>
      <c r="E55" s="2905"/>
      <c r="F55" s="2905"/>
      <c r="G55" s="2905"/>
      <c r="H55" s="2905"/>
      <c r="I55" s="2905"/>
      <c r="J55" s="2905"/>
      <c r="K55" s="2910"/>
      <c r="L55" s="2904"/>
      <c r="M55" s="2905"/>
      <c r="N55" s="2905"/>
      <c r="O55" s="2905"/>
      <c r="P55" s="2052"/>
    </row>
    <row r="56" spans="1:29">
      <c r="A56" s="2902"/>
      <c r="B56" s="2908"/>
      <c r="C56" s="2909"/>
      <c r="D56" s="2902"/>
      <c r="E56" s="2902"/>
      <c r="F56" s="2902"/>
      <c r="G56" s="2902"/>
      <c r="H56" s="2902"/>
      <c r="I56" s="2902"/>
      <c r="J56" s="2902"/>
      <c r="K56" s="2907"/>
      <c r="L56" s="2903"/>
      <c r="M56" s="2902"/>
      <c r="N56" s="2902"/>
      <c r="O56" s="2902"/>
    </row>
    <row r="57" spans="1:29" ht="21.75" thickBot="1">
      <c r="A57" s="703" t="s">
        <v>2161</v>
      </c>
      <c r="B57" s="699"/>
      <c r="C57" s="704"/>
      <c r="D57" s="704"/>
      <c r="E57" s="704"/>
      <c r="F57" s="705"/>
      <c r="G57" s="705"/>
      <c r="H57" s="704"/>
      <c r="I57" s="704"/>
      <c r="J57" s="704"/>
      <c r="K57" s="1053"/>
      <c r="L57" s="1054"/>
      <c r="M57" s="1052"/>
      <c r="N57" s="1052"/>
      <c r="O57" s="1052"/>
      <c r="P57" s="2053"/>
      <c r="Q57" s="461"/>
    </row>
    <row r="58" spans="1:29" s="465" customFormat="1" ht="15">
      <c r="A58" s="462" t="s">
        <v>2126</v>
      </c>
      <c r="B58" s="463"/>
      <c r="C58" s="1300" t="str">
        <f>YEAR(C7)&amp;"-"&amp;MONTH(C7)</f>
        <v>2022-12</v>
      </c>
      <c r="D58" s="1299">
        <f>EDATE(C58,-1)</f>
        <v>44866</v>
      </c>
      <c r="E58" s="1299">
        <f>EDATE(D58,-1)</f>
        <v>44835</v>
      </c>
      <c r="F58" s="1299">
        <f t="shared" ref="F58:O58" si="19">EDATE(E58,-1)</f>
        <v>44805</v>
      </c>
      <c r="G58" s="1299">
        <f t="shared" si="19"/>
        <v>44774</v>
      </c>
      <c r="H58" s="1299">
        <f t="shared" si="19"/>
        <v>44743</v>
      </c>
      <c r="I58" s="1299">
        <f t="shared" si="19"/>
        <v>44713</v>
      </c>
      <c r="J58" s="1299">
        <f t="shared" si="19"/>
        <v>44682</v>
      </c>
      <c r="K58" s="1299">
        <f t="shared" si="19"/>
        <v>44652</v>
      </c>
      <c r="L58" s="1299">
        <f t="shared" si="19"/>
        <v>44621</v>
      </c>
      <c r="M58" s="1299">
        <f t="shared" si="19"/>
        <v>44593</v>
      </c>
      <c r="N58" s="1299">
        <f t="shared" si="19"/>
        <v>44562</v>
      </c>
      <c r="O58" s="1299">
        <f t="shared" si="19"/>
        <v>44531</v>
      </c>
      <c r="P58" s="1295"/>
    </row>
    <row r="59" spans="1:29" s="113" customFormat="1" ht="15">
      <c r="A59" s="466"/>
      <c r="B59" s="2054"/>
      <c r="C59" s="1297">
        <v>100</v>
      </c>
      <c r="D59" s="468"/>
      <c r="E59" s="469"/>
      <c r="F59" s="469"/>
      <c r="G59" s="469"/>
      <c r="H59" s="469"/>
      <c r="I59" s="469"/>
      <c r="J59" s="469"/>
      <c r="K59" s="469"/>
      <c r="L59" s="469"/>
      <c r="M59" s="470"/>
      <c r="N59" s="469"/>
      <c r="O59" s="470"/>
      <c r="P59" s="2055"/>
    </row>
    <row r="60" spans="1:29" s="113" customFormat="1" ht="15.75" thickBot="1">
      <c r="A60" s="472" t="s">
        <v>2163</v>
      </c>
      <c r="B60" s="473"/>
      <c r="C60" s="474"/>
      <c r="D60" s="475"/>
      <c r="E60" s="475"/>
      <c r="F60" s="475"/>
      <c r="G60" s="475"/>
      <c r="H60" s="475"/>
      <c r="I60" s="475"/>
      <c r="J60" s="475"/>
      <c r="K60" s="475"/>
      <c r="L60" s="475"/>
      <c r="M60" s="476"/>
      <c r="N60" s="475"/>
      <c r="O60" s="476"/>
      <c r="P60" s="2055"/>
      <c r="Q60" s="461"/>
    </row>
    <row r="61" spans="1:29" s="113" customFormat="1" ht="15">
      <c r="A61" s="478" t="s">
        <v>2128</v>
      </c>
      <c r="B61" s="467"/>
      <c r="C61" s="479" t="s">
        <v>2165</v>
      </c>
      <c r="D61" s="480"/>
      <c r="E61" s="480"/>
      <c r="F61" s="480"/>
      <c r="G61" s="480"/>
      <c r="H61" s="480"/>
      <c r="I61" s="480"/>
      <c r="J61" s="480"/>
      <c r="K61" s="480"/>
      <c r="L61" s="481"/>
      <c r="M61" s="482"/>
      <c r="N61" s="1044"/>
      <c r="O61" s="1044"/>
      <c r="P61" s="2056"/>
      <c r="Q61" s="461"/>
    </row>
    <row r="62" spans="1:29" s="113" customFormat="1" ht="15.75" thickBot="1">
      <c r="A62" s="478"/>
      <c r="B62" s="467"/>
      <c r="C62" s="468">
        <v>100</v>
      </c>
      <c r="D62" s="469"/>
      <c r="E62" s="469"/>
      <c r="F62" s="469"/>
      <c r="G62" s="469"/>
      <c r="H62" s="469"/>
      <c r="I62" s="469"/>
      <c r="J62" s="469"/>
      <c r="K62" s="469"/>
      <c r="L62" s="469"/>
      <c r="M62" s="471"/>
      <c r="N62" s="1044"/>
      <c r="O62" s="1044"/>
      <c r="P62" s="2055"/>
      <c r="Q62" s="461"/>
    </row>
    <row r="63" spans="1:29">
      <c r="A63" s="484" t="s">
        <v>2166</v>
      </c>
      <c r="B63" s="485" t="s">
        <v>2132</v>
      </c>
      <c r="C63" s="486" t="str">
        <f>C9</f>
        <v>住宅</v>
      </c>
      <c r="D63" s="487"/>
      <c r="E63" s="487"/>
      <c r="F63" s="487"/>
      <c r="G63" s="487"/>
      <c r="H63" s="487"/>
      <c r="I63" s="487"/>
      <c r="J63" s="487"/>
      <c r="K63" s="488"/>
      <c r="L63" s="489"/>
      <c r="M63" s="490"/>
      <c r="N63" s="1045"/>
      <c r="O63" s="1045"/>
      <c r="P63" s="2057"/>
      <c r="Q63" s="461"/>
    </row>
    <row r="64" spans="1:29" ht="15.75" thickBot="1">
      <c r="A64" s="491"/>
      <c r="B64" s="492"/>
      <c r="C64" s="493">
        <v>100</v>
      </c>
      <c r="D64" s="493"/>
      <c r="E64" s="493"/>
      <c r="F64" s="493"/>
      <c r="G64" s="493"/>
      <c r="H64" s="493"/>
      <c r="I64" s="493"/>
      <c r="J64" s="493"/>
      <c r="K64" s="493"/>
      <c r="L64" s="493"/>
      <c r="M64" s="494"/>
      <c r="N64" s="1046"/>
      <c r="O64" s="1046"/>
      <c r="P64" s="2057"/>
      <c r="Q64" s="461"/>
    </row>
    <row r="65" spans="1:17" ht="27.75" thickTop="1">
      <c r="A65" s="491"/>
      <c r="B65" s="495" t="s">
        <v>2135</v>
      </c>
      <c r="C65" s="496" t="s">
        <v>2167</v>
      </c>
      <c r="D65" s="496" t="s">
        <v>2168</v>
      </c>
      <c r="E65" s="496" t="s">
        <v>2169</v>
      </c>
      <c r="F65" s="496" t="s">
        <v>2170</v>
      </c>
      <c r="G65" s="496" t="s">
        <v>2171</v>
      </c>
      <c r="H65" s="496" t="s">
        <v>2172</v>
      </c>
      <c r="I65" s="496" t="s">
        <v>2173</v>
      </c>
      <c r="J65" s="496"/>
      <c r="K65" s="497"/>
      <c r="L65" s="498"/>
      <c r="M65" s="499"/>
      <c r="N65" s="1045"/>
      <c r="O65" s="1045"/>
      <c r="P65" s="2057"/>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46"/>
      <c r="O66" s="1046"/>
      <c r="P66" s="2057"/>
      <c r="Q66" s="461"/>
    </row>
    <row r="67" spans="1:17" ht="15.75" thickTop="1">
      <c r="A67" s="491"/>
      <c r="B67" s="503" t="s">
        <v>2136</v>
      </c>
      <c r="C67" s="504" t="str">
        <f>C68&amp;"（含）"&amp;"-"&amp;D68</f>
        <v>0（含）-1</v>
      </c>
      <c r="D67" s="504" t="str">
        <f t="shared" ref="D67:L67" si="21">D68&amp;"（含）"&amp;"-"&amp;E68</f>
        <v>1（含）-2</v>
      </c>
      <c r="E67" s="504" t="str">
        <f t="shared" si="21"/>
        <v>2（含）-3</v>
      </c>
      <c r="F67" s="504" t="str">
        <f t="shared" si="21"/>
        <v>3（含）-4</v>
      </c>
      <c r="G67" s="504" t="str">
        <f t="shared" si="21"/>
        <v>4（含）-5</v>
      </c>
      <c r="H67" s="504" t="str">
        <f t="shared" si="21"/>
        <v>5（含）-6</v>
      </c>
      <c r="I67" s="504" t="str">
        <f t="shared" si="21"/>
        <v>6（含）-7</v>
      </c>
      <c r="J67" s="504" t="str">
        <f t="shared" si="21"/>
        <v>7（含）-8</v>
      </c>
      <c r="K67" s="504" t="str">
        <f>K68&amp;"（含）"&amp;"-"&amp;L68</f>
        <v>8（含）-9</v>
      </c>
      <c r="L67" s="504" t="str">
        <f t="shared" si="21"/>
        <v>9（含）-10</v>
      </c>
      <c r="M67" s="407" t="str">
        <f>M68&amp;"（含）"&amp;"-"&amp;P68</f>
        <v>10（含）-</v>
      </c>
      <c r="N67" s="1046"/>
      <c r="O67" s="1046"/>
      <c r="P67" s="2057"/>
      <c r="Q67" s="461"/>
    </row>
    <row r="68" spans="1:17" ht="15">
      <c r="A68" s="491"/>
      <c r="B68" s="505"/>
      <c r="C68" s="506">
        <v>0</v>
      </c>
      <c r="D68" s="506">
        <v>1</v>
      </c>
      <c r="E68" s="506">
        <v>2</v>
      </c>
      <c r="F68" s="506">
        <v>3</v>
      </c>
      <c r="G68" s="506">
        <v>4</v>
      </c>
      <c r="H68" s="506">
        <v>5</v>
      </c>
      <c r="I68" s="506">
        <v>6</v>
      </c>
      <c r="J68" s="506">
        <v>7</v>
      </c>
      <c r="K68" s="506">
        <v>8</v>
      </c>
      <c r="L68" s="506">
        <v>9</v>
      </c>
      <c r="M68" s="506">
        <v>10</v>
      </c>
      <c r="N68" s="1045"/>
      <c r="O68" s="1045"/>
      <c r="P68" s="2057"/>
      <c r="Q68" s="461"/>
    </row>
    <row r="69" spans="1:17" ht="15.75" thickBot="1">
      <c r="A69" s="491"/>
      <c r="B69" s="492"/>
      <c r="C69" s="501">
        <v>100</v>
      </c>
      <c r="D69" s="501">
        <f t="shared" ref="D69:M69" si="22">C69-$K11</f>
        <v>97</v>
      </c>
      <c r="E69" s="501">
        <f t="shared" si="22"/>
        <v>94</v>
      </c>
      <c r="F69" s="501">
        <f t="shared" si="22"/>
        <v>91</v>
      </c>
      <c r="G69" s="501">
        <f t="shared" si="22"/>
        <v>88</v>
      </c>
      <c r="H69" s="501">
        <f t="shared" si="22"/>
        <v>85</v>
      </c>
      <c r="I69" s="501">
        <f t="shared" si="22"/>
        <v>82</v>
      </c>
      <c r="J69" s="501">
        <f t="shared" si="22"/>
        <v>79</v>
      </c>
      <c r="K69" s="501">
        <f t="shared" si="22"/>
        <v>76</v>
      </c>
      <c r="L69" s="501">
        <f t="shared" si="22"/>
        <v>73</v>
      </c>
      <c r="M69" s="502">
        <f t="shared" si="22"/>
        <v>70</v>
      </c>
      <c r="N69" s="1046"/>
      <c r="O69" s="1046"/>
      <c r="P69" s="2057"/>
      <c r="Q69" s="461"/>
    </row>
    <row r="70" spans="1:17" s="430" customFormat="1" ht="15.75" thickTop="1">
      <c r="A70" s="510"/>
      <c r="B70" s="495">
        <f>B12</f>
        <v>111</v>
      </c>
      <c r="C70" s="511"/>
      <c r="D70" s="511"/>
      <c r="E70" s="511"/>
      <c r="F70" s="511"/>
      <c r="G70" s="511"/>
      <c r="H70" s="512"/>
      <c r="I70" s="512"/>
      <c r="J70" s="512"/>
      <c r="K70" s="512"/>
      <c r="L70" s="513"/>
      <c r="M70" s="514"/>
      <c r="N70" s="1047"/>
      <c r="O70" s="1047"/>
      <c r="P70" s="2058"/>
      <c r="Q70" s="516"/>
    </row>
    <row r="71" spans="1:17" s="430" customFormat="1" ht="15.75" thickBot="1">
      <c r="A71" s="510"/>
      <c r="B71" s="500"/>
      <c r="C71" s="517"/>
      <c r="D71" s="493"/>
      <c r="E71" s="493"/>
      <c r="F71" s="493"/>
      <c r="G71" s="493"/>
      <c r="H71" s="493"/>
      <c r="I71" s="493"/>
      <c r="J71" s="493"/>
      <c r="K71" s="493"/>
      <c r="L71" s="493"/>
      <c r="M71" s="494"/>
      <c r="N71" s="1046"/>
      <c r="O71" s="1046"/>
      <c r="P71" s="2058"/>
      <c r="Q71" s="516"/>
    </row>
    <row r="72" spans="1:17" s="430" customFormat="1" ht="15.75" thickTop="1">
      <c r="A72" s="510"/>
      <c r="B72" s="495">
        <f>B13</f>
        <v>111</v>
      </c>
      <c r="C72" s="511"/>
      <c r="D72" s="511"/>
      <c r="E72" s="511"/>
      <c r="F72" s="511"/>
      <c r="G72" s="511"/>
      <c r="H72" s="512"/>
      <c r="I72" s="512"/>
      <c r="J72" s="512"/>
      <c r="K72" s="512"/>
      <c r="L72" s="513"/>
      <c r="M72" s="514"/>
      <c r="N72" s="1047"/>
      <c r="O72" s="1047"/>
      <c r="P72" s="2059"/>
      <c r="Q72" s="518"/>
    </row>
    <row r="73" spans="1:17" s="430" customFormat="1" ht="15.75" thickBot="1">
      <c r="A73" s="510"/>
      <c r="B73" s="500"/>
      <c r="C73" s="517"/>
      <c r="D73" s="517"/>
      <c r="E73" s="517"/>
      <c r="F73" s="517"/>
      <c r="G73" s="517"/>
      <c r="H73" s="519"/>
      <c r="I73" s="519"/>
      <c r="J73" s="519"/>
      <c r="K73" s="519"/>
      <c r="L73" s="519"/>
      <c r="M73" s="520"/>
      <c r="N73" s="1047"/>
      <c r="O73" s="1047"/>
      <c r="P73" s="2058"/>
      <c r="Q73" s="516"/>
    </row>
    <row r="74" spans="1:17" s="430" customFormat="1" ht="15.75" thickTop="1">
      <c r="A74" s="510"/>
      <c r="B74" s="503">
        <f>B14</f>
        <v>111</v>
      </c>
      <c r="C74" s="511"/>
      <c r="D74" s="511"/>
      <c r="E74" s="511"/>
      <c r="F74" s="511"/>
      <c r="G74" s="480"/>
      <c r="H74" s="521"/>
      <c r="I74" s="521"/>
      <c r="J74" s="521"/>
      <c r="K74" s="521"/>
      <c r="L74" s="522"/>
      <c r="M74" s="523"/>
      <c r="N74" s="1047"/>
      <c r="O74" s="1047"/>
      <c r="P74" s="2060"/>
      <c r="Q74" s="516"/>
    </row>
    <row r="75" spans="1:17" s="430" customFormat="1" ht="15.75" thickBot="1">
      <c r="A75" s="525"/>
      <c r="B75" s="526"/>
      <c r="C75" s="527"/>
      <c r="D75" s="527"/>
      <c r="E75" s="527"/>
      <c r="F75" s="527"/>
      <c r="G75" s="527"/>
      <c r="H75" s="528"/>
      <c r="I75" s="528"/>
      <c r="J75" s="528"/>
      <c r="K75" s="528"/>
      <c r="L75" s="528"/>
      <c r="M75" s="529"/>
      <c r="N75" s="1047"/>
      <c r="O75" s="1047"/>
      <c r="P75" s="2058"/>
      <c r="Q75" s="516"/>
    </row>
    <row r="76" spans="1:17">
      <c r="A76" s="484" t="s">
        <v>2137</v>
      </c>
      <c r="B76" s="485" t="s">
        <v>2174</v>
      </c>
      <c r="C76" s="530" t="s">
        <v>2175</v>
      </c>
      <c r="D76" s="530" t="s">
        <v>2176</v>
      </c>
      <c r="E76" s="530" t="s">
        <v>2177</v>
      </c>
      <c r="F76" s="530" t="s">
        <v>2178</v>
      </c>
      <c r="G76" s="530" t="s">
        <v>2179</v>
      </c>
      <c r="H76" s="486"/>
      <c r="I76" s="486"/>
      <c r="J76" s="486"/>
      <c r="K76" s="531"/>
      <c r="L76" s="532"/>
      <c r="M76" s="533"/>
      <c r="N76" s="1045"/>
      <c r="O76" s="1045"/>
      <c r="P76" s="2061"/>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46"/>
      <c r="O77" s="1046"/>
      <c r="P77" s="2057"/>
      <c r="Q77" s="461"/>
    </row>
    <row r="78" spans="1:17" ht="15.75" thickTop="1">
      <c r="A78" s="491"/>
      <c r="B78" s="495" t="s">
        <v>2180</v>
      </c>
      <c r="C78" s="535" t="s">
        <v>2175</v>
      </c>
      <c r="D78" s="535" t="s">
        <v>2176</v>
      </c>
      <c r="E78" s="535" t="s">
        <v>2177</v>
      </c>
      <c r="F78" s="535" t="s">
        <v>2178</v>
      </c>
      <c r="G78" s="535" t="s">
        <v>2179</v>
      </c>
      <c r="H78" s="496"/>
      <c r="I78" s="496"/>
      <c r="J78" s="496"/>
      <c r="K78" s="497"/>
      <c r="L78" s="498"/>
      <c r="M78" s="499"/>
      <c r="N78" s="1045"/>
      <c r="O78" s="1045"/>
      <c r="P78" s="2057"/>
      <c r="Q78" s="461"/>
    </row>
    <row r="79" spans="1:17" ht="15.75" thickBot="1">
      <c r="A79" s="491"/>
      <c r="B79" s="500"/>
      <c r="C79" s="501">
        <v>100</v>
      </c>
      <c r="D79" s="501">
        <f>C79-$K17</f>
        <v>97</v>
      </c>
      <c r="E79" s="501">
        <f>D79-$K17</f>
        <v>94</v>
      </c>
      <c r="F79" s="501">
        <f>E79-$K17</f>
        <v>91</v>
      </c>
      <c r="G79" s="501">
        <f>F79-$K17</f>
        <v>88</v>
      </c>
      <c r="H79" s="501"/>
      <c r="I79" s="501"/>
      <c r="J79" s="501"/>
      <c r="K79" s="501"/>
      <c r="L79" s="501"/>
      <c r="M79" s="502"/>
      <c r="N79" s="1046"/>
      <c r="O79" s="1046"/>
      <c r="P79" s="2057"/>
      <c r="Q79" s="461"/>
    </row>
    <row r="80" spans="1:17" ht="15.75" thickTop="1">
      <c r="A80" s="491"/>
      <c r="B80" s="495" t="s">
        <v>2181</v>
      </c>
      <c r="C80" s="535" t="s">
        <v>2175</v>
      </c>
      <c r="D80" s="535" t="s">
        <v>2176</v>
      </c>
      <c r="E80" s="535" t="s">
        <v>2177</v>
      </c>
      <c r="F80" s="535" t="s">
        <v>2178</v>
      </c>
      <c r="G80" s="535" t="s">
        <v>2179</v>
      </c>
      <c r="H80" s="496"/>
      <c r="I80" s="496"/>
      <c r="J80" s="496"/>
      <c r="K80" s="497"/>
      <c r="L80" s="498"/>
      <c r="M80" s="499"/>
      <c r="N80" s="1045"/>
      <c r="O80" s="1045"/>
      <c r="P80" s="2057"/>
      <c r="Q80" s="461"/>
    </row>
    <row r="81" spans="1:17" ht="15.75" thickBot="1">
      <c r="A81" s="491"/>
      <c r="B81" s="500"/>
      <c r="C81" s="501">
        <v>100</v>
      </c>
      <c r="D81" s="501">
        <f>C81-$K19</f>
        <v>97</v>
      </c>
      <c r="E81" s="501">
        <f>D81-$K19</f>
        <v>94</v>
      </c>
      <c r="F81" s="501">
        <f>E81-$K19</f>
        <v>91</v>
      </c>
      <c r="G81" s="501">
        <f>F81-$K19</f>
        <v>88</v>
      </c>
      <c r="H81" s="501"/>
      <c r="I81" s="501"/>
      <c r="J81" s="501"/>
      <c r="K81" s="501"/>
      <c r="L81" s="501"/>
      <c r="M81" s="502"/>
      <c r="N81" s="1046"/>
      <c r="O81" s="1046"/>
      <c r="P81" s="2057"/>
      <c r="Q81" s="461"/>
    </row>
    <row r="82" spans="1:17" ht="15.75" thickTop="1">
      <c r="A82" s="491"/>
      <c r="B82" s="503" t="s">
        <v>1706</v>
      </c>
      <c r="C82" s="496" t="s">
        <v>2182</v>
      </c>
      <c r="D82" s="496" t="s">
        <v>2183</v>
      </c>
      <c r="E82" s="496" t="s">
        <v>2184</v>
      </c>
      <c r="F82" s="496" t="s">
        <v>2185</v>
      </c>
      <c r="G82" s="496" t="s">
        <v>2186</v>
      </c>
      <c r="H82" s="496"/>
      <c r="I82" s="496"/>
      <c r="J82" s="496"/>
      <c r="K82" s="496"/>
      <c r="L82" s="496"/>
      <c r="M82" s="1244"/>
      <c r="N82" s="1046"/>
      <c r="O82" s="1046"/>
      <c r="P82" s="2057"/>
      <c r="Q82" s="461"/>
    </row>
    <row r="83" spans="1:17" ht="15.75" thickBot="1">
      <c r="A83" s="491"/>
      <c r="B83" s="503"/>
      <c r="C83" s="616">
        <v>100</v>
      </c>
      <c r="D83" s="616">
        <f>C83-$K21</f>
        <v>97</v>
      </c>
      <c r="E83" s="616">
        <f t="shared" ref="E83:G83" si="23">D83-$K21</f>
        <v>94</v>
      </c>
      <c r="F83" s="616">
        <f t="shared" si="23"/>
        <v>91</v>
      </c>
      <c r="G83" s="616">
        <f t="shared" si="23"/>
        <v>88</v>
      </c>
      <c r="H83" s="616"/>
      <c r="I83" s="616"/>
      <c r="J83" s="616"/>
      <c r="K83" s="616"/>
      <c r="L83" s="616"/>
      <c r="M83" s="409"/>
      <c r="N83" s="1046"/>
      <c r="O83" s="1046"/>
      <c r="P83" s="2057"/>
      <c r="Q83" s="461"/>
    </row>
    <row r="84" spans="1:17" ht="15.75" thickTop="1">
      <c r="A84" s="491"/>
      <c r="B84" s="495" t="s">
        <v>2187</v>
      </c>
      <c r="C84" s="535" t="s">
        <v>2175</v>
      </c>
      <c r="D84" s="535" t="s">
        <v>2176</v>
      </c>
      <c r="E84" s="535" t="s">
        <v>2177</v>
      </c>
      <c r="F84" s="535" t="s">
        <v>2178</v>
      </c>
      <c r="G84" s="535" t="s">
        <v>2179</v>
      </c>
      <c r="H84" s="496"/>
      <c r="I84" s="496"/>
      <c r="J84" s="496"/>
      <c r="K84" s="497"/>
      <c r="L84" s="498"/>
      <c r="M84" s="499"/>
      <c r="N84" s="1045"/>
      <c r="O84" s="1045"/>
      <c r="P84" s="2057"/>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46"/>
      <c r="O85" s="1046"/>
      <c r="P85" s="2057"/>
      <c r="Q85" s="461"/>
    </row>
    <row r="86" spans="1:17" s="113" customFormat="1" ht="15.75" thickTop="1">
      <c r="A86" s="536"/>
      <c r="B86" s="495" t="s">
        <v>2188</v>
      </c>
      <c r="C86" s="511"/>
      <c r="D86" s="511"/>
      <c r="E86" s="511"/>
      <c r="F86" s="511"/>
      <c r="G86" s="511"/>
      <c r="H86" s="511"/>
      <c r="I86" s="511"/>
      <c r="J86" s="511"/>
      <c r="K86" s="511"/>
      <c r="L86" s="537"/>
      <c r="M86" s="538"/>
      <c r="N86" s="1044"/>
      <c r="O86" s="1044"/>
      <c r="P86" s="205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7"/>
      <c r="Q87" s="461"/>
    </row>
    <row r="88" spans="1:17" s="113" customFormat="1" ht="15.75" thickTop="1">
      <c r="A88" s="536"/>
      <c r="B88" s="495" t="s">
        <v>2189</v>
      </c>
      <c r="C88" s="511"/>
      <c r="D88" s="511"/>
      <c r="E88" s="511"/>
      <c r="F88" s="2062"/>
      <c r="G88" s="511"/>
      <c r="H88" s="511"/>
      <c r="I88" s="511"/>
      <c r="J88" s="511"/>
      <c r="K88" s="511"/>
      <c r="L88" s="511"/>
      <c r="M88" s="538"/>
      <c r="N88" s="1044"/>
      <c r="O88" s="1044"/>
      <c r="P88" s="205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7"/>
      <c r="Q89" s="461"/>
    </row>
    <row r="90" spans="1:17" s="430" customFormat="1" ht="15.75" thickTop="1">
      <c r="A90" s="510"/>
      <c r="B90" s="495">
        <f>B27</f>
        <v>111</v>
      </c>
      <c r="C90" s="511"/>
      <c r="D90" s="511"/>
      <c r="E90" s="511"/>
      <c r="F90" s="511"/>
      <c r="G90" s="511"/>
      <c r="H90" s="512"/>
      <c r="I90" s="512"/>
      <c r="J90" s="512"/>
      <c r="K90" s="512"/>
      <c r="L90" s="513"/>
      <c r="M90" s="514"/>
      <c r="N90" s="1047"/>
      <c r="O90" s="1047"/>
      <c r="P90" s="2058"/>
      <c r="Q90" s="516"/>
    </row>
    <row r="91" spans="1:17" s="430" customFormat="1" ht="15.75" thickBot="1">
      <c r="A91" s="510"/>
      <c r="B91" s="500"/>
      <c r="C91" s="517"/>
      <c r="D91" s="517"/>
      <c r="E91" s="517"/>
      <c r="F91" s="517"/>
      <c r="G91" s="517"/>
      <c r="H91" s="519"/>
      <c r="I91" s="519"/>
      <c r="J91" s="519"/>
      <c r="K91" s="519"/>
      <c r="L91" s="519"/>
      <c r="M91" s="520"/>
      <c r="N91" s="1047"/>
      <c r="O91" s="1047"/>
      <c r="P91" s="2058"/>
      <c r="Q91" s="516"/>
    </row>
    <row r="92" spans="1:17" ht="15.75" thickTop="1">
      <c r="A92" s="491"/>
      <c r="B92" s="495">
        <f>B28</f>
        <v>111</v>
      </c>
      <c r="C92" s="511"/>
      <c r="D92" s="511"/>
      <c r="E92" s="511"/>
      <c r="F92" s="511"/>
      <c r="G92" s="540"/>
      <c r="H92" s="540"/>
      <c r="I92" s="540"/>
      <c r="J92" s="540"/>
      <c r="K92" s="541"/>
      <c r="L92" s="542"/>
      <c r="M92" s="543"/>
      <c r="N92" s="1045"/>
      <c r="O92" s="1045"/>
      <c r="P92" s="2057"/>
      <c r="Q92" s="461"/>
    </row>
    <row r="93" spans="1:17" ht="15.75" thickBot="1">
      <c r="A93" s="491"/>
      <c r="B93" s="500"/>
      <c r="C93" s="517"/>
      <c r="D93" s="493"/>
      <c r="E93" s="493"/>
      <c r="F93" s="493"/>
      <c r="G93" s="493"/>
      <c r="H93" s="493"/>
      <c r="I93" s="493"/>
      <c r="J93" s="493"/>
      <c r="K93" s="493"/>
      <c r="L93" s="493"/>
      <c r="M93" s="494"/>
      <c r="N93" s="1046"/>
      <c r="O93" s="1046"/>
      <c r="P93" s="2057"/>
      <c r="Q93" s="461"/>
    </row>
    <row r="94" spans="1:17" ht="15.75" thickTop="1">
      <c r="A94" s="491"/>
      <c r="B94" s="495">
        <f>B29</f>
        <v>111</v>
      </c>
      <c r="C94" s="511"/>
      <c r="D94" s="511"/>
      <c r="E94" s="511"/>
      <c r="F94" s="511"/>
      <c r="G94" s="540"/>
      <c r="H94" s="540"/>
      <c r="I94" s="540"/>
      <c r="J94" s="540"/>
      <c r="K94" s="541"/>
      <c r="L94" s="542"/>
      <c r="M94" s="543"/>
      <c r="N94" s="1045"/>
      <c r="O94" s="1045"/>
      <c r="P94" s="2057"/>
      <c r="Q94" s="461"/>
    </row>
    <row r="95" spans="1:17" ht="15.75" thickBot="1">
      <c r="A95" s="491"/>
      <c r="B95" s="500"/>
      <c r="C95" s="517"/>
      <c r="D95" s="517"/>
      <c r="E95" s="517"/>
      <c r="F95" s="517"/>
      <c r="G95" s="493"/>
      <c r="H95" s="493"/>
      <c r="I95" s="493"/>
      <c r="J95" s="493"/>
      <c r="K95" s="493"/>
      <c r="L95" s="493"/>
      <c r="M95" s="494"/>
      <c r="N95" s="1046"/>
      <c r="O95" s="1046"/>
      <c r="P95" s="2057"/>
      <c r="Q95" s="461"/>
    </row>
    <row r="96" spans="1:17" ht="15.75" thickTop="1">
      <c r="A96" s="491"/>
      <c r="B96" s="495">
        <f>B30</f>
        <v>111</v>
      </c>
      <c r="C96" s="511"/>
      <c r="D96" s="511"/>
      <c r="E96" s="511"/>
      <c r="F96" s="511"/>
      <c r="G96" s="540"/>
      <c r="H96" s="540"/>
      <c r="I96" s="540"/>
      <c r="J96" s="540"/>
      <c r="K96" s="541"/>
      <c r="L96" s="542"/>
      <c r="M96" s="543"/>
      <c r="N96" s="1045"/>
      <c r="O96" s="1045"/>
      <c r="P96" s="2057"/>
      <c r="Q96" s="461"/>
    </row>
    <row r="97" spans="1:17" ht="15.75" thickBot="1">
      <c r="A97" s="491"/>
      <c r="B97" s="500"/>
      <c r="C97" s="527"/>
      <c r="D97" s="527"/>
      <c r="E97" s="527"/>
      <c r="F97" s="527"/>
      <c r="G97" s="493"/>
      <c r="H97" s="493"/>
      <c r="I97" s="493"/>
      <c r="J97" s="493"/>
      <c r="K97" s="493"/>
      <c r="L97" s="493"/>
      <c r="M97" s="494"/>
      <c r="N97" s="1046"/>
      <c r="O97" s="1046"/>
      <c r="P97" s="2057"/>
      <c r="Q97" s="461"/>
    </row>
    <row r="98" spans="1:17" ht="15.75" thickTop="1">
      <c r="A98" s="491"/>
      <c r="B98" s="503">
        <f>B31</f>
        <v>111</v>
      </c>
      <c r="C98" s="544"/>
      <c r="D98" s="544"/>
      <c r="E98" s="544"/>
      <c r="F98" s="544"/>
      <c r="G98" s="544"/>
      <c r="H98" s="544"/>
      <c r="I98" s="544"/>
      <c r="J98" s="544"/>
      <c r="K98" s="545"/>
      <c r="L98" s="546"/>
      <c r="M98" s="547"/>
      <c r="N98" s="1045"/>
      <c r="O98" s="1045"/>
      <c r="P98" s="2057"/>
      <c r="Q98" s="461"/>
    </row>
    <row r="99" spans="1:17" ht="15.75" thickBot="1">
      <c r="A99" s="2063"/>
      <c r="B99" s="526"/>
      <c r="C99" s="548"/>
      <c r="D99" s="548"/>
      <c r="E99" s="548"/>
      <c r="F99" s="548"/>
      <c r="G99" s="548"/>
      <c r="H99" s="548"/>
      <c r="I99" s="548"/>
      <c r="J99" s="548"/>
      <c r="K99" s="548"/>
      <c r="L99" s="548"/>
      <c r="M99" s="549"/>
      <c r="N99" s="1046"/>
      <c r="O99" s="1046"/>
      <c r="P99" s="2057"/>
      <c r="Q99" s="461"/>
    </row>
    <row r="100" spans="1:17">
      <c r="A100" s="484" t="s">
        <v>2141</v>
      </c>
      <c r="B100" s="485" t="s">
        <v>2190</v>
      </c>
      <c r="C100" s="3231" t="s">
        <v>3479</v>
      </c>
      <c r="D100" s="3231" t="s">
        <v>3475</v>
      </c>
      <c r="E100" s="3231" t="s">
        <v>3476</v>
      </c>
      <c r="F100" s="3231" t="s">
        <v>3477</v>
      </c>
      <c r="G100" s="487"/>
      <c r="H100" s="487"/>
      <c r="I100" s="487"/>
      <c r="J100" s="487"/>
      <c r="K100" s="488"/>
      <c r="L100" s="489"/>
      <c r="M100" s="490"/>
      <c r="N100" s="1045"/>
      <c r="O100" s="1045"/>
      <c r="P100" s="2057"/>
      <c r="Q100" s="461"/>
    </row>
    <row r="101" spans="1:17" ht="15.75" thickBot="1">
      <c r="A101" s="491"/>
      <c r="B101" s="500"/>
      <c r="C101" s="501">
        <v>100</v>
      </c>
      <c r="D101" s="501">
        <f t="shared" ref="D101:M101" si="26">C101-$K32</f>
        <v>98</v>
      </c>
      <c r="E101" s="501">
        <f t="shared" si="26"/>
        <v>96</v>
      </c>
      <c r="F101" s="501">
        <f t="shared" si="26"/>
        <v>94</v>
      </c>
      <c r="G101" s="501">
        <f t="shared" si="26"/>
        <v>92</v>
      </c>
      <c r="H101" s="501">
        <f t="shared" si="26"/>
        <v>90</v>
      </c>
      <c r="I101" s="501">
        <f t="shared" si="26"/>
        <v>88</v>
      </c>
      <c r="J101" s="501">
        <f t="shared" si="26"/>
        <v>86</v>
      </c>
      <c r="K101" s="501">
        <f t="shared" si="26"/>
        <v>84</v>
      </c>
      <c r="L101" s="501">
        <f t="shared" si="26"/>
        <v>82</v>
      </c>
      <c r="M101" s="501">
        <f t="shared" si="26"/>
        <v>80</v>
      </c>
      <c r="N101" s="1046"/>
      <c r="O101" s="1046"/>
      <c r="P101" s="2057"/>
      <c r="Q101" s="461"/>
    </row>
    <row r="102" spans="1:17" ht="29.25" thickTop="1">
      <c r="A102" s="491"/>
      <c r="B102" s="495" t="s">
        <v>2191</v>
      </c>
      <c r="C102" s="535" t="str">
        <f>C103&amp;"(含)"&amp;"-"&amp;D103</f>
        <v>0(含)-50000</v>
      </c>
      <c r="D102" s="535" t="str">
        <f t="shared" ref="D102:L102" si="27">D103&amp;"(含)"&amp;"-"&amp;E103</f>
        <v>50000(含)-100000</v>
      </c>
      <c r="E102" s="535" t="str">
        <f t="shared" si="27"/>
        <v>100000(含)-150000</v>
      </c>
      <c r="F102" s="535" t="str">
        <f t="shared" si="27"/>
        <v>150000(含)-200000</v>
      </c>
      <c r="G102" s="535" t="str">
        <f t="shared" si="27"/>
        <v>200000(含)-250000</v>
      </c>
      <c r="H102" s="535" t="str">
        <f t="shared" si="27"/>
        <v>250000(含)-300000</v>
      </c>
      <c r="I102" s="535" t="str">
        <f t="shared" si="27"/>
        <v>300000(含)-350000</v>
      </c>
      <c r="J102" s="535" t="str">
        <f t="shared" si="27"/>
        <v>350000(含)-400000</v>
      </c>
      <c r="K102" s="535" t="str">
        <f>K103&amp;"(含)"&amp;"-"&amp;L103</f>
        <v>400000(含)-450000</v>
      </c>
      <c r="L102" s="535" t="str">
        <f t="shared" si="27"/>
        <v>450000(含)-500000</v>
      </c>
      <c r="M102" s="535" t="str">
        <f>M103&amp;"(含)"&amp;"-"&amp;P103</f>
        <v>500000(含)-</v>
      </c>
      <c r="N102" s="1044"/>
      <c r="O102" s="1044"/>
      <c r="P102" s="2057"/>
      <c r="Q102" s="461"/>
    </row>
    <row r="103" spans="1:17" s="430" customFormat="1">
      <c r="A103" s="550"/>
      <c r="B103" s="551"/>
      <c r="C103" s="552">
        <v>0</v>
      </c>
      <c r="D103" s="552">
        <v>50000</v>
      </c>
      <c r="E103" s="552">
        <v>100000</v>
      </c>
      <c r="F103" s="552">
        <v>150000</v>
      </c>
      <c r="G103" s="552">
        <v>200000</v>
      </c>
      <c r="H103" s="552">
        <v>250000</v>
      </c>
      <c r="I103" s="552">
        <v>300000</v>
      </c>
      <c r="J103" s="552">
        <v>350000</v>
      </c>
      <c r="K103" s="552">
        <v>400000</v>
      </c>
      <c r="L103" s="552">
        <v>450000</v>
      </c>
      <c r="M103" s="552">
        <v>500000</v>
      </c>
      <c r="N103" s="1047"/>
      <c r="O103" s="1047"/>
      <c r="P103" s="2058"/>
      <c r="Q103" s="516"/>
    </row>
    <row r="104" spans="1:17" s="430" customFormat="1" ht="15.75" thickBot="1">
      <c r="A104" s="510"/>
      <c r="B104" s="500"/>
      <c r="C104" s="517">
        <v>100</v>
      </c>
      <c r="D104" s="493">
        <v>101</v>
      </c>
      <c r="E104" s="517">
        <v>102</v>
      </c>
      <c r="F104" s="493">
        <v>103</v>
      </c>
      <c r="G104" s="517">
        <v>104</v>
      </c>
      <c r="H104" s="493">
        <v>105</v>
      </c>
      <c r="I104" s="517">
        <v>106</v>
      </c>
      <c r="J104" s="493">
        <v>107</v>
      </c>
      <c r="K104" s="517">
        <v>108</v>
      </c>
      <c r="L104" s="493">
        <v>109</v>
      </c>
      <c r="M104" s="517">
        <v>110</v>
      </c>
      <c r="N104" s="1046"/>
      <c r="O104" s="1046"/>
      <c r="P104" s="2058"/>
      <c r="Q104" s="516"/>
    </row>
    <row r="105" spans="1:17" ht="15" thickTop="1">
      <c r="A105" s="556"/>
      <c r="B105" s="495" t="s">
        <v>2192</v>
      </c>
      <c r="C105" s="3233" t="s">
        <v>3372</v>
      </c>
      <c r="D105" s="511"/>
      <c r="E105" s="540"/>
      <c r="F105" s="540"/>
      <c r="G105" s="540"/>
      <c r="H105" s="540"/>
      <c r="I105" s="540"/>
      <c r="J105" s="540"/>
      <c r="K105" s="541"/>
      <c r="L105" s="542"/>
      <c r="M105" s="543"/>
      <c r="N105" s="1045"/>
      <c r="O105" s="1045"/>
      <c r="P105" s="2057"/>
      <c r="Q105" s="461"/>
    </row>
    <row r="106" spans="1:17" ht="15.75" thickBot="1">
      <c r="A106" s="491"/>
      <c r="B106" s="500"/>
      <c r="C106" s="501">
        <v>100</v>
      </c>
      <c r="D106" s="501">
        <f t="shared" ref="D106:M106" si="28">C106-$K34</f>
        <v>99</v>
      </c>
      <c r="E106" s="501">
        <f t="shared" si="28"/>
        <v>98</v>
      </c>
      <c r="F106" s="501">
        <f t="shared" si="28"/>
        <v>97</v>
      </c>
      <c r="G106" s="501">
        <f t="shared" si="28"/>
        <v>96</v>
      </c>
      <c r="H106" s="501">
        <f t="shared" si="28"/>
        <v>95</v>
      </c>
      <c r="I106" s="501">
        <f t="shared" si="28"/>
        <v>94</v>
      </c>
      <c r="J106" s="501">
        <f t="shared" si="28"/>
        <v>93</v>
      </c>
      <c r="K106" s="501">
        <f t="shared" si="28"/>
        <v>92</v>
      </c>
      <c r="L106" s="501">
        <f t="shared" si="28"/>
        <v>91</v>
      </c>
      <c r="M106" s="501">
        <f t="shared" si="28"/>
        <v>90</v>
      </c>
      <c r="N106" s="1046"/>
      <c r="O106" s="1046"/>
      <c r="P106" s="2057"/>
      <c r="Q106" s="461"/>
    </row>
    <row r="107" spans="1:17" ht="15" thickTop="1">
      <c r="A107" s="556"/>
      <c r="B107" s="495" t="s">
        <v>2193</v>
      </c>
      <c r="C107" s="3232" t="s">
        <v>3373</v>
      </c>
      <c r="D107" s="540"/>
      <c r="E107" s="540"/>
      <c r="F107" s="540"/>
      <c r="G107" s="540"/>
      <c r="H107" s="540"/>
      <c r="I107" s="540"/>
      <c r="J107" s="540"/>
      <c r="K107" s="541"/>
      <c r="L107" s="542"/>
      <c r="M107" s="543"/>
      <c r="N107" s="1045"/>
      <c r="O107" s="1045"/>
      <c r="P107" s="2057"/>
      <c r="Q107" s="461"/>
    </row>
    <row r="108" spans="1:17" ht="15.75" thickBot="1">
      <c r="A108" s="491"/>
      <c r="B108" s="500"/>
      <c r="C108" s="501">
        <v>100</v>
      </c>
      <c r="D108" s="501">
        <f t="shared" ref="D108:M108" si="29">C108-$K35</f>
        <v>99</v>
      </c>
      <c r="E108" s="501">
        <f t="shared" si="29"/>
        <v>98</v>
      </c>
      <c r="F108" s="501">
        <f t="shared" si="29"/>
        <v>97</v>
      </c>
      <c r="G108" s="501">
        <f t="shared" si="29"/>
        <v>96</v>
      </c>
      <c r="H108" s="501">
        <f t="shared" si="29"/>
        <v>95</v>
      </c>
      <c r="I108" s="501">
        <f t="shared" si="29"/>
        <v>94</v>
      </c>
      <c r="J108" s="501">
        <f t="shared" si="29"/>
        <v>93</v>
      </c>
      <c r="K108" s="501">
        <f t="shared" si="29"/>
        <v>92</v>
      </c>
      <c r="L108" s="501">
        <f t="shared" si="29"/>
        <v>91</v>
      </c>
      <c r="M108" s="501">
        <f t="shared" si="29"/>
        <v>90</v>
      </c>
      <c r="N108" s="1046"/>
      <c r="O108" s="1046"/>
      <c r="P108" s="2057"/>
      <c r="Q108" s="461"/>
    </row>
    <row r="109" spans="1:17" ht="15" thickTop="1">
      <c r="A109" s="556"/>
      <c r="B109" s="495" t="s">
        <v>2194</v>
      </c>
      <c r="C109" s="3233" t="s">
        <v>3375</v>
      </c>
      <c r="D109" s="511"/>
      <c r="E109" s="511"/>
      <c r="F109" s="540"/>
      <c r="G109" s="540"/>
      <c r="H109" s="540"/>
      <c r="I109" s="540"/>
      <c r="J109" s="540"/>
      <c r="K109" s="541"/>
      <c r="L109" s="542"/>
      <c r="M109" s="543"/>
      <c r="N109" s="1045"/>
      <c r="O109" s="1045"/>
      <c r="P109" s="2057"/>
      <c r="Q109" s="461"/>
    </row>
    <row r="110" spans="1:17" ht="15.75" thickBot="1">
      <c r="A110" s="491"/>
      <c r="B110" s="500"/>
      <c r="C110" s="501">
        <v>100</v>
      </c>
      <c r="D110" s="501">
        <f t="shared" ref="D110:M110" si="30">C110-$K36</f>
        <v>99</v>
      </c>
      <c r="E110" s="501">
        <f t="shared" si="30"/>
        <v>98</v>
      </c>
      <c r="F110" s="501">
        <f t="shared" si="30"/>
        <v>97</v>
      </c>
      <c r="G110" s="501">
        <f t="shared" si="30"/>
        <v>96</v>
      </c>
      <c r="H110" s="501">
        <f t="shared" si="30"/>
        <v>95</v>
      </c>
      <c r="I110" s="501">
        <f t="shared" si="30"/>
        <v>94</v>
      </c>
      <c r="J110" s="501">
        <f t="shared" si="30"/>
        <v>93</v>
      </c>
      <c r="K110" s="501">
        <f t="shared" si="30"/>
        <v>92</v>
      </c>
      <c r="L110" s="501">
        <f t="shared" si="30"/>
        <v>91</v>
      </c>
      <c r="M110" s="501">
        <f t="shared" si="30"/>
        <v>90</v>
      </c>
      <c r="N110" s="1046"/>
      <c r="O110" s="1046"/>
      <c r="P110" s="2057"/>
      <c r="Q110" s="461"/>
    </row>
    <row r="111" spans="1:17" s="430" customFormat="1" ht="15" thickTop="1">
      <c r="A111" s="550"/>
      <c r="B111" s="495" t="s">
        <v>1636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8"/>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47"/>
      <c r="O113" s="1047"/>
      <c r="P113" s="2058"/>
      <c r="Q113" s="516"/>
    </row>
    <row r="114" spans="1:17" ht="15" thickTop="1">
      <c r="A114" s="556"/>
      <c r="B114" s="495" t="s">
        <v>2195</v>
      </c>
      <c r="C114" s="3233" t="s">
        <v>3376</v>
      </c>
      <c r="D114" s="511"/>
      <c r="E114" s="540"/>
      <c r="F114" s="540"/>
      <c r="G114" s="540"/>
      <c r="H114" s="540"/>
      <c r="I114" s="540"/>
      <c r="J114" s="540"/>
      <c r="K114" s="541"/>
      <c r="L114" s="542"/>
      <c r="M114" s="543"/>
      <c r="N114" s="1045"/>
      <c r="O114" s="1045"/>
      <c r="P114" s="2057"/>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46"/>
      <c r="O115" s="1046"/>
      <c r="P115" s="2057"/>
      <c r="Q115" s="461"/>
    </row>
    <row r="116" spans="1:17" ht="15" thickTop="1">
      <c r="A116" s="556"/>
      <c r="B116" s="495" t="s">
        <v>2196</v>
      </c>
      <c r="C116" s="3233" t="s">
        <v>3377</v>
      </c>
      <c r="D116" s="511"/>
      <c r="E116" s="511"/>
      <c r="F116" s="511"/>
      <c r="G116" s="511"/>
      <c r="H116" s="540"/>
      <c r="I116" s="540"/>
      <c r="J116" s="540"/>
      <c r="K116" s="541"/>
      <c r="L116" s="542"/>
      <c r="M116" s="543"/>
      <c r="N116" s="1045"/>
      <c r="O116" s="1045"/>
      <c r="P116" s="2057"/>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46"/>
      <c r="O117" s="1046"/>
      <c r="P117" s="2057"/>
      <c r="Q117" s="461"/>
    </row>
    <row r="118" spans="1:17" ht="15" thickTop="1">
      <c r="A118" s="556"/>
      <c r="B118" s="495" t="s">
        <v>2197</v>
      </c>
      <c r="C118" s="3232" t="s">
        <v>3474</v>
      </c>
      <c r="D118" s="3232" t="s">
        <v>3480</v>
      </c>
      <c r="E118" s="540"/>
      <c r="F118" s="540"/>
      <c r="G118" s="540"/>
      <c r="H118" s="540"/>
      <c r="I118" s="540"/>
      <c r="J118" s="540"/>
      <c r="K118" s="541"/>
      <c r="L118" s="542"/>
      <c r="M118" s="543"/>
      <c r="N118" s="1045"/>
      <c r="O118" s="1045"/>
      <c r="P118" s="2057"/>
      <c r="Q118" s="461"/>
    </row>
    <row r="119" spans="1:17" ht="15.75" thickBot="1">
      <c r="A119" s="491"/>
      <c r="B119" s="500"/>
      <c r="C119" s="501">
        <v>100</v>
      </c>
      <c r="D119" s="501">
        <f t="shared" ref="D119:M119" si="32">C119-$K40</f>
        <v>95</v>
      </c>
      <c r="E119" s="501">
        <f t="shared" si="32"/>
        <v>90</v>
      </c>
      <c r="F119" s="501">
        <f t="shared" si="32"/>
        <v>85</v>
      </c>
      <c r="G119" s="501">
        <f t="shared" si="32"/>
        <v>80</v>
      </c>
      <c r="H119" s="501">
        <f t="shared" si="32"/>
        <v>75</v>
      </c>
      <c r="I119" s="501">
        <f t="shared" si="32"/>
        <v>70</v>
      </c>
      <c r="J119" s="501">
        <f t="shared" si="32"/>
        <v>65</v>
      </c>
      <c r="K119" s="501">
        <f t="shared" si="32"/>
        <v>60</v>
      </c>
      <c r="L119" s="501">
        <f t="shared" si="32"/>
        <v>55</v>
      </c>
      <c r="M119" s="501">
        <f t="shared" si="32"/>
        <v>50</v>
      </c>
      <c r="N119" s="1046"/>
      <c r="O119" s="1046"/>
      <c r="P119" s="2057"/>
      <c r="Q119" s="461"/>
    </row>
    <row r="120" spans="1:17" s="430" customFormat="1" ht="28.5" thickTop="1">
      <c r="A120" s="550"/>
      <c r="B120" s="495" t="s">
        <v>2152</v>
      </c>
      <c r="C120" s="511"/>
      <c r="D120" s="511"/>
      <c r="E120" s="511"/>
      <c r="F120" s="511"/>
      <c r="G120" s="511"/>
      <c r="H120" s="511"/>
      <c r="I120" s="511"/>
      <c r="J120" s="511"/>
      <c r="K120" s="511"/>
      <c r="L120" s="537"/>
      <c r="M120" s="538"/>
      <c r="N120" s="1047"/>
      <c r="O120" s="1047"/>
      <c r="P120" s="2058"/>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8"/>
      <c r="Q121" s="516"/>
    </row>
    <row r="122" spans="1:17" ht="15" thickTop="1">
      <c r="A122" s="556"/>
      <c r="B122" s="495" t="s">
        <v>2198</v>
      </c>
      <c r="C122" s="3233" t="s">
        <v>3375</v>
      </c>
      <c r="D122" s="3233" t="s">
        <v>3379</v>
      </c>
      <c r="E122" s="3233" t="s">
        <v>3380</v>
      </c>
      <c r="F122" s="3232" t="s">
        <v>3382</v>
      </c>
      <c r="G122" s="540"/>
      <c r="H122" s="540"/>
      <c r="I122" s="540"/>
      <c r="J122" s="540"/>
      <c r="K122" s="541"/>
      <c r="L122" s="542"/>
      <c r="M122" s="543"/>
      <c r="N122" s="1045"/>
      <c r="O122" s="1045"/>
      <c r="P122" s="2057"/>
      <c r="Q122" s="461"/>
    </row>
    <row r="123" spans="1:17" ht="15.75" thickBot="1">
      <c r="A123" s="491"/>
      <c r="B123" s="500"/>
      <c r="C123" s="501">
        <v>100</v>
      </c>
      <c r="D123" s="501">
        <f t="shared" ref="D123:M123" si="33">C123-$K42</f>
        <v>99</v>
      </c>
      <c r="E123" s="501">
        <f t="shared" si="33"/>
        <v>98</v>
      </c>
      <c r="F123" s="501">
        <f t="shared" si="33"/>
        <v>97</v>
      </c>
      <c r="G123" s="501">
        <f t="shared" si="33"/>
        <v>96</v>
      </c>
      <c r="H123" s="501">
        <f t="shared" si="33"/>
        <v>95</v>
      </c>
      <c r="I123" s="501">
        <f t="shared" si="33"/>
        <v>94</v>
      </c>
      <c r="J123" s="501">
        <f t="shared" si="33"/>
        <v>93</v>
      </c>
      <c r="K123" s="501">
        <f t="shared" si="33"/>
        <v>92</v>
      </c>
      <c r="L123" s="501">
        <f t="shared" si="33"/>
        <v>91</v>
      </c>
      <c r="M123" s="501">
        <f t="shared" si="33"/>
        <v>90</v>
      </c>
      <c r="N123" s="1046"/>
      <c r="O123" s="1046"/>
      <c r="P123" s="2057"/>
      <c r="Q123" s="461"/>
    </row>
    <row r="124" spans="1:17" ht="15" thickTop="1">
      <c r="A124" s="556"/>
      <c r="B124" s="495" t="s">
        <v>2199</v>
      </c>
      <c r="C124" s="535" t="s">
        <v>2175</v>
      </c>
      <c r="D124" s="535" t="s">
        <v>2176</v>
      </c>
      <c r="E124" s="535" t="s">
        <v>2177</v>
      </c>
      <c r="F124" s="535" t="s">
        <v>2178</v>
      </c>
      <c r="G124" s="535" t="s">
        <v>2179</v>
      </c>
      <c r="H124" s="496"/>
      <c r="I124" s="496"/>
      <c r="J124" s="496"/>
      <c r="K124" s="497"/>
      <c r="L124" s="498"/>
      <c r="M124" s="499"/>
      <c r="N124" s="1045"/>
      <c r="O124" s="1045"/>
      <c r="P124" s="2058"/>
      <c r="Q124" s="461"/>
    </row>
    <row r="125" spans="1:17" ht="15.75" thickBot="1">
      <c r="A125" s="491"/>
      <c r="B125" s="500"/>
      <c r="C125" s="501">
        <v>100</v>
      </c>
      <c r="D125" s="501">
        <f>C125-$K43</f>
        <v>99</v>
      </c>
      <c r="E125" s="501">
        <f>D125-$K43</f>
        <v>98</v>
      </c>
      <c r="F125" s="501">
        <f>E125-$K43</f>
        <v>97</v>
      </c>
      <c r="G125" s="501">
        <f>F125-$K43</f>
        <v>96</v>
      </c>
      <c r="H125" s="501"/>
      <c r="I125" s="501"/>
      <c r="J125" s="501"/>
      <c r="K125" s="501"/>
      <c r="L125" s="501"/>
      <c r="M125" s="502"/>
      <c r="N125" s="1046"/>
      <c r="O125" s="1046"/>
      <c r="P125" s="2057"/>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8"/>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8"/>
      <c r="Q127" s="516"/>
    </row>
    <row r="128" spans="1:17" ht="15" thickTop="1">
      <c r="A128" s="556"/>
      <c r="B128" s="495">
        <f>B45</f>
        <v>111</v>
      </c>
      <c r="C128" s="511"/>
      <c r="D128" s="511"/>
      <c r="E128" s="511"/>
      <c r="F128" s="511"/>
      <c r="G128" s="540"/>
      <c r="H128" s="540"/>
      <c r="I128" s="540"/>
      <c r="J128" s="540"/>
      <c r="K128" s="541"/>
      <c r="L128" s="542"/>
      <c r="M128" s="543"/>
      <c r="N128" s="1045"/>
      <c r="O128" s="1045"/>
      <c r="P128" s="2057"/>
      <c r="Q128" s="461"/>
    </row>
    <row r="129" spans="1:17" ht="15.75" thickBot="1">
      <c r="A129" s="491"/>
      <c r="B129" s="500"/>
      <c r="C129" s="517"/>
      <c r="D129" s="517"/>
      <c r="E129" s="517"/>
      <c r="F129" s="517"/>
      <c r="G129" s="493"/>
      <c r="H129" s="493"/>
      <c r="I129" s="493"/>
      <c r="J129" s="493"/>
      <c r="K129" s="493"/>
      <c r="L129" s="493"/>
      <c r="M129" s="494"/>
      <c r="N129" s="1046"/>
      <c r="O129" s="1046"/>
      <c r="P129" s="2057"/>
      <c r="Q129" s="461"/>
    </row>
    <row r="130" spans="1:17" ht="15" thickTop="1">
      <c r="A130" s="556"/>
      <c r="B130" s="503">
        <f>B46</f>
        <v>111</v>
      </c>
      <c r="C130" s="511"/>
      <c r="D130" s="511"/>
      <c r="E130" s="511"/>
      <c r="F130" s="511"/>
      <c r="G130" s="544"/>
      <c r="H130" s="544"/>
      <c r="I130" s="544"/>
      <c r="J130" s="544"/>
      <c r="K130" s="480"/>
      <c r="L130" s="481"/>
      <c r="M130" s="547"/>
      <c r="N130" s="1045"/>
      <c r="O130" s="1045"/>
      <c r="P130" s="2057"/>
      <c r="Q130" s="461"/>
    </row>
    <row r="131" spans="1:17" ht="15.75" thickBot="1">
      <c r="A131" s="2063"/>
      <c r="B131" s="526"/>
      <c r="C131" s="527"/>
      <c r="D131" s="527"/>
      <c r="E131" s="527"/>
      <c r="F131" s="527"/>
      <c r="G131" s="548"/>
      <c r="H131" s="548"/>
      <c r="I131" s="548"/>
      <c r="J131" s="548"/>
      <c r="K131" s="548"/>
      <c r="L131" s="548"/>
      <c r="M131" s="549"/>
      <c r="N131" s="1046"/>
      <c r="O131" s="1046"/>
      <c r="P131" s="2057"/>
      <c r="Q131" s="461"/>
    </row>
    <row r="136" spans="1:17" ht="15" thickBot="1">
      <c r="B136" s="2064" t="s">
        <v>2200</v>
      </c>
    </row>
    <row r="137" spans="1:17" ht="15">
      <c r="B137" s="2065" t="s">
        <v>2201</v>
      </c>
      <c r="C137" s="2066"/>
      <c r="D137" s="2066"/>
      <c r="E137" s="2066"/>
      <c r="F137" s="2066"/>
      <c r="G137" s="2067"/>
      <c r="H137" s="2068"/>
      <c r="I137" s="2069" t="s">
        <v>2202</v>
      </c>
      <c r="J137" s="2066"/>
      <c r="K137" s="2070"/>
    </row>
    <row r="138" spans="1:17" ht="15">
      <c r="B138" s="2071"/>
      <c r="C138" s="142" t="s">
        <v>2203</v>
      </c>
      <c r="D138" s="142" t="s">
        <v>2204</v>
      </c>
      <c r="E138" s="2072" t="s">
        <v>2205</v>
      </c>
      <c r="F138" s="2073" t="s">
        <v>2206</v>
      </c>
      <c r="G138" s="142" t="s">
        <v>2204</v>
      </c>
      <c r="H138" s="143" t="s">
        <v>2205</v>
      </c>
      <c r="I138" s="2074"/>
      <c r="J138" s="142" t="s">
        <v>2207</v>
      </c>
      <c r="K138" s="143" t="s">
        <v>2208</v>
      </c>
    </row>
    <row r="139" spans="1:17" ht="15">
      <c r="B139" s="979">
        <v>6</v>
      </c>
      <c r="C139" s="980">
        <v>96</v>
      </c>
      <c r="D139" s="2075" t="s">
        <v>2209</v>
      </c>
      <c r="E139" s="981">
        <v>100</v>
      </c>
      <c r="F139" s="982">
        <v>102.5</v>
      </c>
      <c r="G139" s="2075" t="s">
        <v>2209</v>
      </c>
      <c r="H139" s="983">
        <v>105</v>
      </c>
      <c r="I139" s="2076" t="s">
        <v>2210</v>
      </c>
      <c r="J139" s="980">
        <v>20</v>
      </c>
      <c r="K139" s="984">
        <f>C145/(J139-2)</f>
        <v>4.0555555555555553E-3</v>
      </c>
    </row>
    <row r="140" spans="1:17" ht="15">
      <c r="B140" s="985">
        <v>5</v>
      </c>
      <c r="C140" s="986">
        <v>100</v>
      </c>
      <c r="D140" s="986"/>
      <c r="E140" s="987"/>
      <c r="F140" s="988">
        <v>102</v>
      </c>
      <c r="G140" s="986"/>
      <c r="H140" s="989"/>
      <c r="I140" s="2077" t="s">
        <v>2211</v>
      </c>
      <c r="J140" s="277">
        <f>ROUNDUP((J139-1)/2,0)</f>
        <v>10</v>
      </c>
      <c r="K140" s="990">
        <v>100</v>
      </c>
    </row>
    <row r="141" spans="1:17" ht="15">
      <c r="B141" s="985">
        <v>4</v>
      </c>
      <c r="C141" s="986">
        <v>102</v>
      </c>
      <c r="D141" s="986"/>
      <c r="E141" s="987"/>
      <c r="F141" s="988">
        <v>101.5</v>
      </c>
      <c r="G141" s="986"/>
      <c r="H141" s="989"/>
      <c r="I141" s="2077" t="s">
        <v>2212</v>
      </c>
      <c r="J141" s="277">
        <v>1</v>
      </c>
      <c r="K141" s="991">
        <f>ROUND(100+(J141-J140)*K139*100,1)</f>
        <v>96.4</v>
      </c>
    </row>
    <row r="142" spans="1:17" ht="15">
      <c r="B142" s="985">
        <v>3</v>
      </c>
      <c r="C142" s="986">
        <v>103</v>
      </c>
      <c r="D142" s="986"/>
      <c r="E142" s="987"/>
      <c r="F142" s="988">
        <v>101</v>
      </c>
      <c r="G142" s="986"/>
      <c r="H142" s="989"/>
      <c r="I142" s="2077" t="s">
        <v>2213</v>
      </c>
      <c r="J142" s="277">
        <f>J139</f>
        <v>20</v>
      </c>
      <c r="K142" s="992">
        <v>95</v>
      </c>
    </row>
    <row r="143" spans="1:17" ht="15">
      <c r="B143" s="985">
        <v>2</v>
      </c>
      <c r="C143" s="986">
        <v>100</v>
      </c>
      <c r="D143" s="986"/>
      <c r="E143" s="987"/>
      <c r="F143" s="988">
        <v>100.5</v>
      </c>
      <c r="G143" s="986"/>
      <c r="H143" s="989"/>
      <c r="I143" s="2077" t="s">
        <v>2214</v>
      </c>
      <c r="J143" s="986">
        <v>15</v>
      </c>
      <c r="K143" s="991">
        <f>ROUND(100+(J143-J140)*K139*100,1)</f>
        <v>102</v>
      </c>
    </row>
    <row r="144" spans="1:17" ht="15">
      <c r="B144" s="985">
        <v>1</v>
      </c>
      <c r="C144" s="986">
        <v>98</v>
      </c>
      <c r="D144" s="2078" t="s">
        <v>2215</v>
      </c>
      <c r="E144" s="987">
        <v>102</v>
      </c>
      <c r="F144" s="993">
        <v>100</v>
      </c>
      <c r="G144" s="2078" t="s">
        <v>2215</v>
      </c>
      <c r="H144" s="989">
        <v>105</v>
      </c>
      <c r="I144" s="2077" t="s">
        <v>2214</v>
      </c>
      <c r="J144" s="986">
        <v>18</v>
      </c>
      <c r="K144" s="991">
        <f>ROUND(100+(J144-J140)*K139*100,1)</f>
        <v>103.2</v>
      </c>
    </row>
    <row r="145" spans="2:11" ht="15.75" thickBot="1">
      <c r="B145" s="2079" t="s">
        <v>2216</v>
      </c>
      <c r="C145" s="994">
        <f>ROUND(MAX(C139:C144)/MIN(C139:C144)-1,3)</f>
        <v>7.2999999999999995E-2</v>
      </c>
      <c r="D145" s="995"/>
      <c r="E145" s="995"/>
      <c r="F145" s="2080" t="s">
        <v>2217</v>
      </c>
      <c r="G145" s="2081"/>
      <c r="H145" s="2082"/>
      <c r="I145" s="2083" t="s">
        <v>2214</v>
      </c>
      <c r="J145" s="996">
        <v>8</v>
      </c>
      <c r="K145" s="997">
        <f>ROUND(100+(J145-J140)*K139*100,1)</f>
        <v>99.2</v>
      </c>
    </row>
    <row r="147" spans="2:11">
      <c r="B147" s="2064" t="s">
        <v>2218</v>
      </c>
    </row>
    <row r="148" spans="2:11">
      <c r="B148" s="2064" t="s">
        <v>2219</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0" type="noConversion"/>
  <conditionalFormatting sqref="F52 H52 J52">
    <cfRule type="containsText" dxfId="17" priority="18" stopIfTrue="1" operator="containsText" text="超过">
      <formula>NOT(ISERROR(SEARCH("超过",F52)))</formula>
    </cfRule>
  </conditionalFormatting>
  <conditionalFormatting sqref="J54">
    <cfRule type="containsText" dxfId="16" priority="17" stopIfTrue="1" operator="containsText" text="超过">
      <formula>NOT(ISERROR(SEARCH("超过",J54)))</formula>
    </cfRule>
  </conditionalFormatting>
  <conditionalFormatting sqref="H54">
    <cfRule type="containsText" dxfId="15" priority="16" stopIfTrue="1" operator="containsText" text="超过">
      <formula>NOT(ISERROR(SEARCH("超过",H54)))</formula>
    </cfRule>
  </conditionalFormatting>
  <conditionalFormatting sqref="F54">
    <cfRule type="containsText" dxfId="14" priority="15" stopIfTrue="1" operator="containsText" text="超过">
      <formula>NOT(ISERROR(SEARCH("超过",F54)))</formula>
    </cfRule>
  </conditionalFormatting>
  <conditionalFormatting sqref="F53 H53 J53">
    <cfRule type="containsText" dxfId="13" priority="14" stopIfTrue="1" operator="containsText" text="超过">
      <formula>NOT(ISERROR(SEARCH("超过",F53)))</formula>
    </cfRule>
  </conditionalFormatting>
  <conditionalFormatting sqref="E52">
    <cfRule type="expression" dxfId="12" priority="13"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40" sqref="H40"/>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9" t="str">
        <f>IF(项目基本情况!B9="房地产市场价值","估价结果一览表","结果表-2")</f>
        <v>结果表-2</v>
      </c>
      <c r="B1" s="3269"/>
      <c r="C1" s="3269"/>
      <c r="D1" s="3269"/>
      <c r="E1" s="3269"/>
      <c r="F1" s="3269"/>
      <c r="G1" s="3269"/>
      <c r="H1" s="3269"/>
      <c r="I1" s="3269"/>
    </row>
    <row r="2" spans="1:9" ht="30" customHeight="1" thickTop="1">
      <c r="A2" s="3270" t="s">
        <v>1365</v>
      </c>
      <c r="B2" s="3270" t="s">
        <v>1366</v>
      </c>
      <c r="C2" s="3270" t="s">
        <v>1367</v>
      </c>
      <c r="D2" s="3270" t="str">
        <f>结果表!D116</f>
        <v>出让国有建设用地使用权价值</v>
      </c>
      <c r="E2" s="3270"/>
      <c r="F2" s="3270" t="str">
        <f>结果表!F116</f>
        <v>在建建筑物价值</v>
      </c>
      <c r="G2" s="3270"/>
      <c r="H2" s="3270" t="str">
        <f>IF(项目基本情况!B9="房地产市场价值","房地产市场价值","房地产价值")</f>
        <v>房地产价值</v>
      </c>
      <c r="I2" s="3270"/>
    </row>
    <row r="3" spans="1:9" ht="15">
      <c r="A3" s="3271"/>
      <c r="B3" s="3271"/>
      <c r="C3" s="3271"/>
      <c r="D3" s="944" t="s">
        <v>1362</v>
      </c>
      <c r="E3" s="944" t="s">
        <v>1368</v>
      </c>
      <c r="F3" s="944" t="s">
        <v>1362</v>
      </c>
      <c r="G3" s="944" t="s">
        <v>1363</v>
      </c>
      <c r="H3" s="944" t="s">
        <v>1362</v>
      </c>
      <c r="I3" s="944" t="s">
        <v>1363</v>
      </c>
    </row>
    <row r="4" spans="1:9" ht="30">
      <c r="A4" s="1640" t="str">
        <f>项目基本情况!S2</f>
        <v>出让国有建设用地使用权及在建建筑物房地产</v>
      </c>
      <c r="B4" s="944">
        <f>项目基本情况!C17</f>
        <v>6199.09</v>
      </c>
      <c r="C4" s="944">
        <f>项目基本情况!C18</f>
        <v>4132.7299999999996</v>
      </c>
      <c r="D4" s="944">
        <f ca="1">结果表!D118</f>
        <v>6905</v>
      </c>
      <c r="E4" s="944">
        <f ca="1">结果表!E118</f>
        <v>11139</v>
      </c>
      <c r="F4" s="944">
        <f ca="1">结果表!F118</f>
        <v>1824</v>
      </c>
      <c r="G4" s="944">
        <f ca="1">结果表!G118</f>
        <v>2942</v>
      </c>
      <c r="H4" s="944">
        <f ca="1">结果表!H118</f>
        <v>8729</v>
      </c>
      <c r="I4" s="944">
        <f ca="1">结果表!I118</f>
        <v>14081</v>
      </c>
    </row>
    <row r="5" spans="1:9" ht="30" customHeight="1">
      <c r="A5" s="3271" t="s">
        <v>1364</v>
      </c>
      <c r="B5" s="3271"/>
      <c r="C5" s="3271"/>
      <c r="D5" s="3272" t="str">
        <f ca="1">结果表!D119</f>
        <v>陆仟玖佰零伍万元整</v>
      </c>
      <c r="E5" s="3272"/>
      <c r="F5" s="3272" t="str">
        <f ca="1">结果表!F119</f>
        <v>壹仟捌佰贰拾肆万元整</v>
      </c>
      <c r="G5" s="3272"/>
      <c r="H5" s="3272" t="str">
        <f ca="1">结果表!H119</f>
        <v>捌仟柒佰贰拾玖万元整</v>
      </c>
      <c r="I5" s="3272"/>
    </row>
    <row r="6" spans="1:9" ht="15.75">
      <c r="A6" s="3273" t="str">
        <f>结果表!A120</f>
        <v>估价师知悉的法定优先受偿款</v>
      </c>
      <c r="B6" s="3273"/>
      <c r="C6" s="3273"/>
      <c r="D6" s="3273">
        <f>结果表!D120</f>
        <v>0</v>
      </c>
      <c r="E6" s="3273"/>
      <c r="F6" s="3273"/>
      <c r="G6" s="3273"/>
      <c r="H6" s="3273"/>
      <c r="I6" s="3273"/>
    </row>
    <row r="7" spans="1:9" ht="15">
      <c r="A7" s="3271" t="s">
        <v>1364</v>
      </c>
      <c r="B7" s="3271"/>
      <c r="C7" s="3271"/>
      <c r="D7" s="3274" t="str">
        <f>结果表!D121</f>
        <v>零元整</v>
      </c>
      <c r="E7" s="3275"/>
      <c r="F7" s="3275"/>
      <c r="G7" s="3275"/>
      <c r="H7" s="3275"/>
      <c r="I7" s="3276"/>
    </row>
    <row r="8" spans="1:9" ht="15.75">
      <c r="A8" s="3273" t="str">
        <f>结果表!A122</f>
        <v>房地产抵押价值</v>
      </c>
      <c r="B8" s="3273"/>
      <c r="C8" s="3273"/>
      <c r="D8" s="3273">
        <f ca="1">结果表!D122</f>
        <v>8729</v>
      </c>
      <c r="E8" s="3273"/>
      <c r="F8" s="3273"/>
      <c r="G8" s="3273"/>
      <c r="H8" s="3273"/>
      <c r="I8" s="3273"/>
    </row>
    <row r="9" spans="1:9" ht="15">
      <c r="A9" s="3271" t="s">
        <v>1364</v>
      </c>
      <c r="B9" s="3271"/>
      <c r="C9" s="3271"/>
      <c r="D9" s="3272" t="str">
        <f ca="1">结果表!D123</f>
        <v>捌仟柒佰贰拾玖万元整</v>
      </c>
      <c r="E9" s="3272"/>
      <c r="F9" s="3272"/>
      <c r="G9" s="3272"/>
      <c r="H9" s="3272"/>
      <c r="I9" s="3272"/>
    </row>
    <row r="10" spans="1:9" ht="15.75">
      <c r="A10" s="3273" t="str">
        <f>结果表!A124</f>
        <v/>
      </c>
      <c r="B10" s="3273"/>
      <c r="C10" s="3273"/>
      <c r="D10" s="3273" t="str">
        <f>结果表!D124</f>
        <v>——</v>
      </c>
      <c r="E10" s="3273"/>
      <c r="F10" s="3273"/>
      <c r="G10" s="3273"/>
      <c r="H10" s="3273"/>
      <c r="I10" s="3273"/>
    </row>
    <row r="11" spans="1:9" ht="15">
      <c r="A11" s="3271" t="s">
        <v>1364</v>
      </c>
      <c r="B11" s="3271"/>
      <c r="C11" s="3271"/>
      <c r="D11" s="3272" t="e">
        <f>结果表!D125</f>
        <v>#VALUE!</v>
      </c>
      <c r="E11" s="3272"/>
      <c r="F11" s="3272"/>
      <c r="G11" s="3272"/>
      <c r="H11" s="3272"/>
      <c r="I11" s="3272"/>
    </row>
    <row r="12" spans="1:9" ht="15.75">
      <c r="A12" s="3273" t="str">
        <f>结果表!A126</f>
        <v/>
      </c>
      <c r="B12" s="3273"/>
      <c r="C12" s="3273"/>
      <c r="D12" s="3273" t="str">
        <f>结果表!D126</f>
        <v>——</v>
      </c>
      <c r="E12" s="3273"/>
      <c r="F12" s="3273"/>
      <c r="G12" s="3273"/>
      <c r="H12" s="3273"/>
      <c r="I12" s="3273"/>
    </row>
    <row r="13" spans="1:9" ht="15.75" thickBot="1">
      <c r="A13" s="3277" t="s">
        <v>1364</v>
      </c>
      <c r="B13" s="3277"/>
      <c r="C13" s="3277"/>
      <c r="D13" s="3278" t="e">
        <f>结果表!D127</f>
        <v>#VALUE!</v>
      </c>
      <c r="E13" s="3278"/>
      <c r="F13" s="3278"/>
      <c r="G13" s="3278"/>
      <c r="H13" s="3278"/>
      <c r="I13" s="3278"/>
    </row>
    <row r="14" spans="1:9" ht="15" thickTop="1">
      <c r="A14" s="3279" t="s">
        <v>1369</v>
      </c>
      <c r="B14" s="3279"/>
      <c r="C14" s="3279"/>
      <c r="D14" s="3279"/>
      <c r="E14" s="3279"/>
      <c r="F14" s="3279"/>
      <c r="G14" s="3279"/>
      <c r="H14" s="3279"/>
      <c r="I14" s="3279"/>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80" t="s">
        <v>1386</v>
      </c>
      <c r="B1" s="3280"/>
      <c r="C1" s="3280"/>
      <c r="D1" s="3280"/>
    </row>
    <row r="2" spans="1:4" ht="18">
      <c r="A2" s="3281" t="s">
        <v>1370</v>
      </c>
      <c r="B2" s="3281"/>
      <c r="C2" s="3281"/>
      <c r="D2" s="3281"/>
    </row>
    <row r="3" spans="1:4" ht="18.75">
      <c r="A3" s="1644" t="s">
        <v>1371</v>
      </c>
      <c r="B3" s="1644" t="s">
        <v>1372</v>
      </c>
      <c r="C3" s="1644" t="s">
        <v>1373</v>
      </c>
      <c r="D3" s="1644" t="s">
        <v>1374</v>
      </c>
    </row>
    <row r="4" spans="1:4" ht="56.25" customHeight="1">
      <c r="A4" s="1645">
        <f>项目基本情况!B4</f>
        <v>0</v>
      </c>
      <c r="B4" s="1646">
        <f>项目基本情况!C4</f>
        <v>0</v>
      </c>
      <c r="C4" s="1647"/>
      <c r="D4" s="1648" t="s">
        <v>1375</v>
      </c>
    </row>
    <row r="5" spans="1:4" ht="56.25" customHeight="1">
      <c r="A5" s="1645">
        <f>项目基本情况!D4</f>
        <v>0</v>
      </c>
      <c r="B5" s="1646">
        <f>项目基本情况!E4</f>
        <v>0</v>
      </c>
      <c r="C5" s="1649"/>
      <c r="D5" s="1648" t="s">
        <v>1375</v>
      </c>
    </row>
    <row r="6" spans="1:4" ht="18">
      <c r="A6" s="3281" t="s">
        <v>1376</v>
      </c>
      <c r="B6" s="3281"/>
      <c r="C6" s="3281"/>
      <c r="D6" s="3281"/>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82" t="s">
        <v>1379</v>
      </c>
      <c r="B11" s="3283"/>
      <c r="C11" s="3283"/>
      <c r="D11" s="3283"/>
    </row>
    <row r="12" spans="1:4" ht="15.75">
      <c r="A12" s="32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4"/>
      <c r="C12" s="3284"/>
      <c r="D12" s="3284"/>
    </row>
    <row r="13" spans="1:4" ht="30" customHeight="1">
      <c r="A13" s="32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4"/>
      <c r="C13" s="3284"/>
      <c r="D13" s="3284"/>
    </row>
    <row r="14" spans="1:4" ht="15.75" customHeight="1">
      <c r="A14" s="3283" t="str">
        <f>IF(项目基本情况!B8="抵押","4.本次评估估价师所知悉的法定优先受偿款情况说明如下：","——")</f>
        <v>4.本次评估估价师所知悉的法定优先受偿款情况说明如下：</v>
      </c>
      <c r="B14" s="3284"/>
      <c r="C14" s="3284"/>
      <c r="D14" s="3284"/>
    </row>
    <row r="15" spans="1:4" ht="42" customHeight="1">
      <c r="A15" s="32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3"/>
      <c r="C15" s="3283"/>
      <c r="D15" s="3283"/>
    </row>
    <row r="16" spans="1:4" ht="30" customHeight="1">
      <c r="A16" s="3286" t="s">
        <v>1380</v>
      </c>
      <c r="B16" s="3286"/>
      <c r="C16" s="3286"/>
      <c r="D16" s="3286"/>
    </row>
    <row r="17" spans="1:4" ht="144" customHeight="1">
      <c r="A17" s="3286" t="s">
        <v>1381</v>
      </c>
      <c r="B17" s="3286"/>
      <c r="C17" s="3286"/>
      <c r="D17" s="3286"/>
    </row>
    <row r="18" spans="1:4" ht="15.75" customHeight="1">
      <c r="A18" s="3283" t="str">
        <f>IF(项目基本情况!B8="抵押",结果表!K120,"——")</f>
        <v>故，本次评估不存在估价师知悉的法定优先受偿款</v>
      </c>
      <c r="B18" s="3283"/>
      <c r="C18" s="3283"/>
      <c r="D18" s="3283"/>
    </row>
    <row r="19" spans="1:4" ht="46.5" customHeight="1">
      <c r="A19" s="32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3"/>
      <c r="C19" s="3283"/>
      <c r="D19" s="3283"/>
    </row>
    <row r="20" spans="1:4" ht="57.75" customHeight="1">
      <c r="A20" s="32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3"/>
      <c r="C20" s="3283"/>
      <c r="D20" s="3283"/>
    </row>
    <row r="21" spans="1:4" ht="57.75" customHeight="1">
      <c r="A21" s="3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7"/>
      <c r="C21" s="3287"/>
      <c r="D21" s="3287"/>
    </row>
    <row r="22" spans="1:4" ht="18.75" customHeight="1">
      <c r="A22" s="3288" t="s">
        <v>1382</v>
      </c>
      <c r="B22" s="3288"/>
      <c r="C22" s="3288"/>
      <c r="D22" s="3288"/>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85">
        <v>42551</v>
      </c>
      <c r="D31" s="32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94" t="s">
        <v>1393</v>
      </c>
      <c r="B15" s="3289" t="s">
        <v>136</v>
      </c>
      <c r="C15" s="3290"/>
    </row>
    <row r="16" spans="1:7" ht="13.5">
      <c r="A16" s="3295"/>
      <c r="B16" s="3289" t="s">
        <v>69</v>
      </c>
      <c r="C16" s="3290"/>
    </row>
    <row r="17" spans="1:3" ht="13.5">
      <c r="A17" s="3295"/>
      <c r="B17" s="3292" t="s">
        <v>1394</v>
      </c>
      <c r="C17" s="1667" t="s">
        <v>1393</v>
      </c>
    </row>
    <row r="18" spans="1:3" ht="13.5">
      <c r="A18" s="3295"/>
      <c r="B18" s="3292"/>
      <c r="C18" s="1667" t="s">
        <v>1395</v>
      </c>
    </row>
    <row r="19" spans="1:3" ht="13.5">
      <c r="A19" s="3295"/>
      <c r="B19" s="3292"/>
      <c r="C19" s="1667" t="s">
        <v>1396</v>
      </c>
    </row>
    <row r="20" spans="1:3" ht="13.5">
      <c r="A20" s="3296"/>
      <c r="B20" s="3291" t="s">
        <v>1397</v>
      </c>
      <c r="C20" s="3290"/>
    </row>
    <row r="21" spans="1:3" ht="13.5">
      <c r="A21" s="1668" t="s">
        <v>1398</v>
      </c>
      <c r="B21" s="1669"/>
      <c r="C21" s="1670"/>
    </row>
    <row r="22" spans="1:3" ht="13.5">
      <c r="A22" s="3293" t="s">
        <v>1399</v>
      </c>
      <c r="B22" s="3291" t="s">
        <v>1400</v>
      </c>
      <c r="C22" s="3290"/>
    </row>
    <row r="23" spans="1:3" ht="13.5">
      <c r="A23" s="3293"/>
      <c r="B23" s="3291" t="s">
        <v>1401</v>
      </c>
      <c r="C23" s="3290"/>
    </row>
    <row r="24" spans="1:3" ht="13.5">
      <c r="A24" s="3293"/>
      <c r="B24" s="3291" t="s">
        <v>1402</v>
      </c>
      <c r="C24" s="3290"/>
    </row>
    <row r="25" spans="1:3" ht="13.5">
      <c r="A25" s="3293"/>
      <c r="B25" s="3292" t="s">
        <v>1403</v>
      </c>
      <c r="C25" s="1667" t="s">
        <v>1404</v>
      </c>
    </row>
    <row r="26" spans="1:3" ht="13.5">
      <c r="A26" s="3293"/>
      <c r="B26" s="3292"/>
      <c r="C26" s="1667" t="s">
        <v>1405</v>
      </c>
    </row>
    <row r="27" spans="1:3" ht="13.5">
      <c r="A27" s="3293"/>
      <c r="B27" s="3292"/>
      <c r="C27" s="1667" t="s">
        <v>1406</v>
      </c>
    </row>
    <row r="28" spans="1:3" ht="13.5">
      <c r="A28" s="3293"/>
      <c r="B28" s="3292"/>
      <c r="C28" s="1667" t="s">
        <v>1407</v>
      </c>
    </row>
    <row r="29" spans="1:3" ht="13.5">
      <c r="A29" s="3293"/>
      <c r="B29" s="3292"/>
      <c r="C29" s="1667" t="s">
        <v>1408</v>
      </c>
    </row>
    <row r="30" spans="1:3" ht="13.5">
      <c r="A30" s="3293"/>
      <c r="B30" s="3292"/>
      <c r="C30" s="1667" t="s">
        <v>1409</v>
      </c>
    </row>
    <row r="31" spans="1:3" ht="13.5">
      <c r="A31" s="3293"/>
      <c r="B31" s="3292"/>
      <c r="C31" s="1667" t="s">
        <v>1410</v>
      </c>
    </row>
    <row r="32" spans="1:3" ht="13.5">
      <c r="A32" s="3293"/>
      <c r="B32" s="3292"/>
      <c r="C32" s="1667" t="s">
        <v>1411</v>
      </c>
    </row>
    <row r="33" spans="1:3" ht="13.5">
      <c r="A33" s="3293"/>
      <c r="B33" s="3292"/>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2638</v>
      </c>
      <c r="B2" s="2511">
        <f ca="1">TODAY()</f>
        <v>44916</v>
      </c>
      <c r="C2" s="2512" t="s">
        <v>2639</v>
      </c>
      <c r="D2" s="2512"/>
      <c r="E2" s="2512"/>
      <c r="F2" s="2508"/>
      <c r="G2" s="2508"/>
      <c r="H2" s="2508"/>
    </row>
    <row r="3" spans="1:8" ht="24" customHeight="1">
      <c r="A3" s="2513" t="s">
        <v>2640</v>
      </c>
      <c r="B3" s="2514" t="s">
        <v>2641</v>
      </c>
      <c r="C3" s="2514" t="s">
        <v>2642</v>
      </c>
      <c r="D3" s="2515" t="s">
        <v>2643</v>
      </c>
      <c r="E3" s="2516" t="s">
        <v>2644</v>
      </c>
      <c r="F3" s="1424" t="s">
        <v>2645</v>
      </c>
      <c r="G3" s="2514" t="s">
        <v>2642</v>
      </c>
      <c r="H3" s="2515" t="s">
        <v>2646</v>
      </c>
    </row>
    <row r="4" spans="1:8" ht="24" customHeight="1">
      <c r="A4" s="1424" t="s">
        <v>2647</v>
      </c>
      <c r="B4" s="1424" t="str">
        <f ca="1">IF(C4&lt;B2,"已过期",1119970066)</f>
        <v>已过期</v>
      </c>
      <c r="C4" s="2517">
        <v>44876</v>
      </c>
      <c r="D4" s="2518" t="str">
        <f ca="1">A4&amp;"（注册号："&amp;B4&amp;"）"</f>
        <v>梁津（注册号：已过期）</v>
      </c>
      <c r="E4" s="2519" t="s">
        <v>2647</v>
      </c>
      <c r="F4" s="1424">
        <f ca="1">IF(G4&lt;B2,"已过期",96010014)</f>
        <v>96010014</v>
      </c>
      <c r="G4" s="2520">
        <v>47118</v>
      </c>
      <c r="H4" s="2521" t="str">
        <f ca="1">E4&amp;"（注册号："&amp;F4&amp;"）"</f>
        <v>梁津（注册号：96010014）</v>
      </c>
    </row>
    <row r="5" spans="1:8" ht="24" customHeight="1">
      <c r="A5" s="1424" t="s">
        <v>2648</v>
      </c>
      <c r="B5" s="1424" t="str">
        <f ca="1">IF(C5&lt;B2,"已过期",1119970111)</f>
        <v>已过期</v>
      </c>
      <c r="C5" s="2517">
        <v>44876</v>
      </c>
      <c r="D5" s="2518" t="str">
        <f t="shared" ref="D5:D15" ca="1" si="0">A5&amp;"（注册号："&amp;B5&amp;"）"</f>
        <v>叶凌（注册号：已过期）</v>
      </c>
      <c r="E5" s="2519" t="s">
        <v>2648</v>
      </c>
      <c r="F5" s="1424">
        <f ca="1">IF(G5&lt;B2,"已过期",94010078)</f>
        <v>94010078</v>
      </c>
      <c r="G5" s="2520">
        <v>46387</v>
      </c>
      <c r="H5" s="2521" t="str">
        <f t="shared" ref="H5:H16" ca="1" si="1">E5&amp;"（注册号："&amp;F5&amp;"）"</f>
        <v>叶凌（注册号：94010078）</v>
      </c>
    </row>
    <row r="6" spans="1:8" ht="24" customHeight="1">
      <c r="A6" s="1424" t="s">
        <v>2649</v>
      </c>
      <c r="B6" s="1424">
        <f ca="1">IF(C6&lt;B2,"已过期",1120050019)</f>
        <v>1120050019</v>
      </c>
      <c r="C6" s="2517">
        <v>45410</v>
      </c>
      <c r="D6" s="2518" t="str">
        <f t="shared" ca="1" si="0"/>
        <v>王鹏（注册号：1120050019）</v>
      </c>
      <c r="E6" s="2519" t="s">
        <v>2649</v>
      </c>
      <c r="F6" s="1424">
        <f ca="1">IF(G6&lt;B2,"已过期",2002110030)</f>
        <v>2002110030</v>
      </c>
      <c r="G6" s="2520">
        <v>46387</v>
      </c>
      <c r="H6" s="2521" t="str">
        <f t="shared" ca="1" si="1"/>
        <v>王鹏（注册号：2002110030）</v>
      </c>
    </row>
    <row r="7" spans="1:8" ht="24" customHeight="1">
      <c r="A7" s="1424" t="s">
        <v>2650</v>
      </c>
      <c r="B7" s="1424" t="str">
        <f ca="1">IF(C7&lt;B2,"已过期",1120000080)</f>
        <v>已过期</v>
      </c>
      <c r="C7" s="2517">
        <v>44876</v>
      </c>
      <c r="D7" s="2518" t="str">
        <f t="shared" ca="1" si="0"/>
        <v>欧红伟（注册号：已过期）</v>
      </c>
      <c r="E7" s="2519" t="s">
        <v>2650</v>
      </c>
      <c r="F7" s="1424">
        <f ca="1">IF(G7&lt;B2,"已过期",2000110082)</f>
        <v>2000110082</v>
      </c>
      <c r="G7" s="2520">
        <v>46387</v>
      </c>
      <c r="H7" s="2521" t="str">
        <f t="shared" ca="1" si="1"/>
        <v>欧红伟（注册号：2000110082）</v>
      </c>
    </row>
    <row r="8" spans="1:8" ht="24" customHeight="1">
      <c r="A8" s="1424" t="s">
        <v>2651</v>
      </c>
      <c r="B8" s="1424" t="str">
        <f ca="1">IF(C8&lt;B2,"已过期",1419970001)</f>
        <v>已过期</v>
      </c>
      <c r="C8" s="2517">
        <v>44899</v>
      </c>
      <c r="D8" s="2518" t="str">
        <f t="shared" ca="1" si="0"/>
        <v>吴薇（注册号：已过期）</v>
      </c>
      <c r="E8" s="2519" t="s">
        <v>2651</v>
      </c>
      <c r="F8" s="1424">
        <f ca="1">IF(G8&lt;B2,"已过期",2002110125)</f>
        <v>2002110125</v>
      </c>
      <c r="G8" s="2520">
        <v>47118</v>
      </c>
      <c r="H8" s="2521" t="str">
        <f t="shared" ca="1" si="1"/>
        <v>吴薇（注册号：2002110125）</v>
      </c>
    </row>
    <row r="9" spans="1:8" ht="24" customHeight="1">
      <c r="A9" s="1424" t="s">
        <v>2652</v>
      </c>
      <c r="B9" s="1424">
        <f ca="1">IF(C9&lt;B2,"已过期",1120060040)</f>
        <v>1120060040</v>
      </c>
      <c r="C9" s="2522">
        <v>45592</v>
      </c>
      <c r="D9" s="2518" t="str">
        <f t="shared" ca="1" si="0"/>
        <v>陈颖（注册号：1120060040）</v>
      </c>
      <c r="E9" s="2519" t="s">
        <v>2652</v>
      </c>
      <c r="F9" s="1424">
        <f ca="1">IF(G9&lt;B2,"已过期",2004110096)</f>
        <v>2004110096</v>
      </c>
      <c r="G9" s="2520">
        <v>47118</v>
      </c>
      <c r="H9" s="2521" t="str">
        <f t="shared" ca="1" si="1"/>
        <v>陈颖（注册号：2004110096）</v>
      </c>
    </row>
    <row r="10" spans="1:8" ht="24" customHeight="1">
      <c r="A10" s="1424" t="s">
        <v>2653</v>
      </c>
      <c r="B10" s="1424" t="str">
        <f ca="1">IF(C10&lt;B2,"已过期",1120100036)</f>
        <v>已过期</v>
      </c>
      <c r="C10" s="2522">
        <v>44675</v>
      </c>
      <c r="D10" s="2518" t="str">
        <f t="shared" ca="1" si="0"/>
        <v>崔锴（注册号：已过期）</v>
      </c>
      <c r="E10" s="2519" t="s">
        <v>2653</v>
      </c>
      <c r="F10" s="1424">
        <f ca="1">IF(G10&lt;B2,"已过期",2010110070)</f>
        <v>2010110070</v>
      </c>
      <c r="G10" s="2520">
        <v>47907</v>
      </c>
      <c r="H10" s="2521" t="str">
        <f t="shared" ca="1" si="1"/>
        <v>崔锴（注册号：2010110070）</v>
      </c>
    </row>
    <row r="11" spans="1:8" ht="24" customHeight="1">
      <c r="A11" s="1424" t="s">
        <v>2654</v>
      </c>
      <c r="B11" s="1424" t="str">
        <f ca="1">IF(C11&lt;B2,"已过期",1120070131)</f>
        <v>已过期</v>
      </c>
      <c r="C11" s="2517">
        <v>44849</v>
      </c>
      <c r="D11" s="2518" t="str">
        <f t="shared" ca="1" si="0"/>
        <v>郑燚（注册号：已过期）</v>
      </c>
      <c r="E11" s="2519" t="s">
        <v>2654</v>
      </c>
      <c r="F11" s="1424">
        <f ca="1">IF(G11&lt;B2,"已过期",2014110011)</f>
        <v>2014110011</v>
      </c>
      <c r="G11" s="2520">
        <v>49302</v>
      </c>
      <c r="H11" s="2521" t="str">
        <f t="shared" ca="1" si="1"/>
        <v>郑燚（注册号：2014110011）</v>
      </c>
    </row>
    <row r="12" spans="1:8" ht="24" customHeight="1">
      <c r="A12" s="1424" t="s">
        <v>2655</v>
      </c>
      <c r="B12" s="1424" t="str">
        <f ca="1">IF(C12&lt;B2,"已过期",1120040230)</f>
        <v>已过期</v>
      </c>
      <c r="C12" s="2522">
        <v>44864</v>
      </c>
      <c r="D12" s="2518" t="str">
        <f t="shared" ca="1" si="0"/>
        <v>苏海（注册号：已过期）</v>
      </c>
      <c r="E12" s="2519" t="s">
        <v>2655</v>
      </c>
      <c r="F12" s="1424">
        <f ca="1">IF(G12&lt;B2,"已过期",98030020)</f>
        <v>98030020</v>
      </c>
      <c r="G12" s="2520">
        <v>47118</v>
      </c>
      <c r="H12" s="2521" t="str">
        <f t="shared" ca="1" si="1"/>
        <v>苏海（注册号：98030020）</v>
      </c>
    </row>
    <row r="13" spans="1:8" ht="24" customHeight="1">
      <c r="A13" s="1424" t="s">
        <v>2656</v>
      </c>
      <c r="B13" s="1424" t="str">
        <f ca="1">IF(C13&lt;B2,"已过期",1120020033)</f>
        <v>已过期</v>
      </c>
      <c r="C13" s="2517">
        <v>44339</v>
      </c>
      <c r="D13" s="2518" t="str">
        <f t="shared" ca="1" si="0"/>
        <v>刘敬东（注册号：已过期）</v>
      </c>
      <c r="E13" s="2519" t="s">
        <v>2656</v>
      </c>
      <c r="F13" s="1424">
        <f ca="1">IF(G13&lt;B2,"已过期",2000110137)</f>
        <v>2000110137</v>
      </c>
      <c r="G13" s="2520">
        <v>46387</v>
      </c>
      <c r="H13" s="2521" t="str">
        <f t="shared" ca="1" si="1"/>
        <v>刘敬东（注册号：2000110137）</v>
      </c>
    </row>
    <row r="14" spans="1:8" ht="24" customHeight="1">
      <c r="A14" s="1424" t="s">
        <v>2657</v>
      </c>
      <c r="B14" s="1424">
        <f ca="1">IF(C14&lt;B2,"已过期",1119980106)</f>
        <v>1119980106</v>
      </c>
      <c r="C14" s="2522">
        <v>44969</v>
      </c>
      <c r="D14" s="2518" t="str">
        <f t="shared" ca="1" si="0"/>
        <v>刘俊财（注册号：1119980106）</v>
      </c>
      <c r="E14" s="2519" t="s">
        <v>2657</v>
      </c>
      <c r="F14" s="1424">
        <f ca="1">IF(G14&lt;B2,"已过期",96010063)</f>
        <v>96010063</v>
      </c>
      <c r="G14" s="2520">
        <v>47483</v>
      </c>
      <c r="H14" s="2521" t="str">
        <f t="shared" ca="1" si="1"/>
        <v>刘俊财（注册号：96010063）</v>
      </c>
    </row>
    <row r="15" spans="1:8" ht="24" customHeight="1">
      <c r="A15" s="1424" t="s">
        <v>2932</v>
      </c>
      <c r="B15" s="1424">
        <v>1120210056</v>
      </c>
      <c r="C15" s="2522">
        <v>45410</v>
      </c>
      <c r="D15" s="2518" t="str">
        <f t="shared" si="0"/>
        <v>宁小鳗（注册号：1120210056）</v>
      </c>
      <c r="E15" s="2519" t="s">
        <v>2658</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297" t="s">
        <v>2659</v>
      </c>
      <c r="B17" s="3297"/>
      <c r="C17" s="3297"/>
      <c r="D17" s="3297"/>
      <c r="E17" s="3297"/>
      <c r="F17" s="3297"/>
      <c r="G17" s="3297"/>
      <c r="H17" s="3297"/>
    </row>
    <row r="18" spans="1:8" ht="24" customHeight="1">
      <c r="A18" s="3298" t="s">
        <v>2660</v>
      </c>
      <c r="B18" s="3298"/>
      <c r="C18" s="3298"/>
      <c r="D18" s="2515"/>
      <c r="E18" s="3299" t="s">
        <v>2661</v>
      </c>
      <c r="F18" s="3298"/>
      <c r="G18" s="3298"/>
    </row>
    <row r="19" spans="1:8" s="2526" customFormat="1" ht="24" customHeight="1">
      <c r="A19" s="2525" t="s">
        <v>2662</v>
      </c>
      <c r="B19" s="2514" t="s">
        <v>2663</v>
      </c>
      <c r="C19" s="2514" t="s">
        <v>2642</v>
      </c>
      <c r="D19" s="2515"/>
      <c r="E19" s="2519" t="s">
        <v>2662</v>
      </c>
      <c r="F19" s="2514" t="s">
        <v>2663</v>
      </c>
      <c r="G19" s="2514" t="s">
        <v>2642</v>
      </c>
    </row>
    <row r="20" spans="1:8" s="2526" customFormat="1" ht="24" customHeight="1">
      <c r="A20" s="2527" t="s">
        <v>2664</v>
      </c>
      <c r="B20" s="2527" t="s">
        <v>2665</v>
      </c>
      <c r="C20" s="2520">
        <v>44820</v>
      </c>
      <c r="D20" s="2528"/>
      <c r="E20" s="2529" t="s">
        <v>2666</v>
      </c>
      <c r="F20" s="2532" t="s">
        <v>2933</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48" priority="53">
      <formula>AND($C4-TODAY()&lt;30,TODAY()&lt;$C4)</formula>
    </cfRule>
  </conditionalFormatting>
  <conditionalFormatting sqref="C20:D20">
    <cfRule type="expression" dxfId="247" priority="52">
      <formula>AND($C20-TODAY()&lt;30,TODAY()&lt;$C20)</formula>
    </cfRule>
  </conditionalFormatting>
  <conditionalFormatting sqref="C20:D20 G4 C4:D5 C13:D13">
    <cfRule type="cellIs" dxfId="246" priority="54" stopIfTrue="1" operator="lessThan">
      <formula>$B$2</formula>
    </cfRule>
  </conditionalFormatting>
  <conditionalFormatting sqref="G5 G7 G9">
    <cfRule type="cellIs" dxfId="245" priority="51" stopIfTrue="1" operator="lessThan">
      <formula>$B$2</formula>
    </cfRule>
  </conditionalFormatting>
  <conditionalFormatting sqref="C6:D6 D14 D16">
    <cfRule type="expression" dxfId="244" priority="49">
      <formula>AND($C6-TODAY()&lt;30,TODAY()&lt;$C6)</formula>
    </cfRule>
  </conditionalFormatting>
  <conditionalFormatting sqref="G6 G8 G10 C6:D6 D7:D12 D14 D16">
    <cfRule type="cellIs" dxfId="243" priority="50" stopIfTrue="1" operator="lessThan">
      <formula>$B$2</formula>
    </cfRule>
  </conditionalFormatting>
  <conditionalFormatting sqref="D12">
    <cfRule type="expression" dxfId="242" priority="47">
      <formula>AND($C12-TODAY()&lt;30,TODAY()&lt;$C12)</formula>
    </cfRule>
  </conditionalFormatting>
  <conditionalFormatting sqref="D12">
    <cfRule type="cellIs" dxfId="241" priority="48" stopIfTrue="1" operator="lessThan">
      <formula>$B$2</formula>
    </cfRule>
  </conditionalFormatting>
  <conditionalFormatting sqref="C13:D13">
    <cfRule type="expression" dxfId="240" priority="45">
      <formula>AND($C13-TODAY()&lt;30,TODAY()&lt;$C13)</formula>
    </cfRule>
  </conditionalFormatting>
  <conditionalFormatting sqref="C13:D13">
    <cfRule type="cellIs" dxfId="239" priority="46" stopIfTrue="1" operator="lessThan">
      <formula>$B$2</formula>
    </cfRule>
  </conditionalFormatting>
  <conditionalFormatting sqref="D14">
    <cfRule type="expression" dxfId="238" priority="43">
      <formula>AND($C14-TODAY()&lt;30,TODAY()&lt;$C14)</formula>
    </cfRule>
  </conditionalFormatting>
  <conditionalFormatting sqref="D14">
    <cfRule type="cellIs" dxfId="237" priority="44" stopIfTrue="1" operator="lessThan">
      <formula>$B$2</formula>
    </cfRule>
  </conditionalFormatting>
  <conditionalFormatting sqref="G13">
    <cfRule type="cellIs" dxfId="236" priority="42" stopIfTrue="1" operator="lessThan">
      <formula>$B$2</formula>
    </cfRule>
  </conditionalFormatting>
  <conditionalFormatting sqref="B4:B11 F4:F11 B13 F13:F14">
    <cfRule type="cellIs" dxfId="235" priority="41" stopIfTrue="1" operator="equal">
      <formula>"已过期"</formula>
    </cfRule>
  </conditionalFormatting>
  <conditionalFormatting sqref="C7">
    <cfRule type="cellIs" dxfId="234" priority="38" stopIfTrue="1" operator="lessThan">
      <formula>$B$2</formula>
    </cfRule>
  </conditionalFormatting>
  <conditionalFormatting sqref="C7">
    <cfRule type="expression" dxfId="233" priority="37">
      <formula>AND($C7-TODAY()&lt;30,TODAY()&lt;$C7)</formula>
    </cfRule>
  </conditionalFormatting>
  <conditionalFormatting sqref="C8">
    <cfRule type="expression" dxfId="232" priority="35">
      <formula>AND($C8-TODAY()&lt;30,TODAY()&lt;$C8)</formula>
    </cfRule>
  </conditionalFormatting>
  <conditionalFormatting sqref="C8">
    <cfRule type="cellIs" dxfId="231" priority="36" stopIfTrue="1" operator="lessThan">
      <formula>$B$2</formula>
    </cfRule>
  </conditionalFormatting>
  <conditionalFormatting sqref="C11">
    <cfRule type="expression" dxfId="230" priority="33">
      <formula>AND($C11-TODAY()&lt;30,TODAY()&lt;$C11)</formula>
    </cfRule>
  </conditionalFormatting>
  <conditionalFormatting sqref="C11">
    <cfRule type="cellIs" dxfId="229" priority="34"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G11">
    <cfRule type="cellIs" dxfId="226" priority="30" stopIfTrue="1" operator="lessThan">
      <formula>$B$2</formula>
    </cfRule>
  </conditionalFormatting>
  <conditionalFormatting sqref="F12">
    <cfRule type="cellIs" dxfId="225" priority="29" stopIfTrue="1" operator="equal">
      <formula>"已过期"</formula>
    </cfRule>
  </conditionalFormatting>
  <conditionalFormatting sqref="G12">
    <cfRule type="cellIs" dxfId="224" priority="28" stopIfTrue="1" operator="lessThan">
      <formula>$B$2</formula>
    </cfRule>
  </conditionalFormatting>
  <conditionalFormatting sqref="C12">
    <cfRule type="cellIs" dxfId="223" priority="27" stopIfTrue="1" operator="lessThan">
      <formula>$B$2</formula>
    </cfRule>
  </conditionalFormatting>
  <conditionalFormatting sqref="C12">
    <cfRule type="expression" dxfId="222" priority="25">
      <formula>AND($C12-TODAY()&lt;30,TODAY()&lt;$C12)</formula>
    </cfRule>
  </conditionalFormatting>
  <conditionalFormatting sqref="C12">
    <cfRule type="cellIs" dxfId="221" priority="26" stopIfTrue="1" operator="lessThan">
      <formula>$B$2</formula>
    </cfRule>
  </conditionalFormatting>
  <conditionalFormatting sqref="B12">
    <cfRule type="cellIs" dxfId="220" priority="24" stopIfTrue="1" operator="equal">
      <formula>"已过期"</formula>
    </cfRule>
  </conditionalFormatting>
  <conditionalFormatting sqref="C9:C10">
    <cfRule type="expression" dxfId="219" priority="22">
      <formula>AND($C9-TODAY()&lt;30,TODAY()&lt;$C9)</formula>
    </cfRule>
  </conditionalFormatting>
  <conditionalFormatting sqref="C9:C10">
    <cfRule type="cellIs" dxfId="218" priority="23" stopIfTrue="1" operator="lessThan">
      <formula>$B$2</formula>
    </cfRule>
  </conditionalFormatting>
  <conditionalFormatting sqref="G21">
    <cfRule type="expression" dxfId="217" priority="20" stopIfTrue="1">
      <formula>AND(#REF!-TODAY()&lt;30,TODAY()&lt;#REF!)</formula>
    </cfRule>
  </conditionalFormatting>
  <conditionalFormatting sqref="G21">
    <cfRule type="cellIs" dxfId="216" priority="21" stopIfTrue="1" operator="lessThan">
      <formula>$B$2</formula>
    </cfRule>
  </conditionalFormatting>
  <conditionalFormatting sqref="C14">
    <cfRule type="expression" dxfId="215" priority="18">
      <formula>AND($C14-TODAY()&lt;30,TODAY()&lt;$C14)</formula>
    </cfRule>
  </conditionalFormatting>
  <conditionalFormatting sqref="C14">
    <cfRule type="cellIs" dxfId="214" priority="19" stopIfTrue="1" operator="lessThan">
      <formula>$B$2</formula>
    </cfRule>
  </conditionalFormatting>
  <conditionalFormatting sqref="C14">
    <cfRule type="expression" dxfId="213" priority="16">
      <formula>AND($C14-TODAY()&lt;30,TODAY()&lt;$C14)</formula>
    </cfRule>
  </conditionalFormatting>
  <conditionalFormatting sqref="C14">
    <cfRule type="cellIs" dxfId="212" priority="17" stopIfTrue="1" operator="lessThan">
      <formula>$B$2</formula>
    </cfRule>
  </conditionalFormatting>
  <conditionalFormatting sqref="B14">
    <cfRule type="cellIs" dxfId="211" priority="15" stopIfTrue="1" operator="equal">
      <formula>"已过期"</formula>
    </cfRule>
  </conditionalFormatting>
  <conditionalFormatting sqref="G14">
    <cfRule type="cellIs" dxfId="210" priority="14" stopIfTrue="1" operator="lessThan">
      <formula>$B$2</formula>
    </cfRule>
  </conditionalFormatting>
  <conditionalFormatting sqref="D15">
    <cfRule type="expression" dxfId="209" priority="12">
      <formula>AND($C15-TODAY()&lt;30,TODAY()&lt;$C15)</formula>
    </cfRule>
  </conditionalFormatting>
  <conditionalFormatting sqref="D15">
    <cfRule type="cellIs" dxfId="208" priority="13" stopIfTrue="1" operator="lessThan">
      <formula>$B$2</formula>
    </cfRule>
  </conditionalFormatting>
  <conditionalFormatting sqref="D15">
    <cfRule type="expression" dxfId="207" priority="10">
      <formula>AND($C15-TODAY()&lt;30,TODAY()&lt;$C15)</formula>
    </cfRule>
  </conditionalFormatting>
  <conditionalFormatting sqref="D15">
    <cfRule type="cellIs" dxfId="206" priority="11" stopIfTrue="1" operator="lessThan">
      <formula>$B$2</formula>
    </cfRule>
  </conditionalFormatting>
  <conditionalFormatting sqref="F15">
    <cfRule type="cellIs" dxfId="205" priority="9" stopIfTrue="1" operator="equal">
      <formula>"已过期"</formula>
    </cfRule>
  </conditionalFormatting>
  <conditionalFormatting sqref="C15">
    <cfRule type="expression" dxfId="204" priority="7">
      <formula>AND($C15-TODAY()&lt;30,TODAY()&lt;$C15)</formula>
    </cfRule>
  </conditionalFormatting>
  <conditionalFormatting sqref="C15">
    <cfRule type="cellIs" dxfId="203" priority="8" stopIfTrue="1" operator="lessThan">
      <formula>$B$2</formula>
    </cfRule>
  </conditionalFormatting>
  <conditionalFormatting sqref="C15">
    <cfRule type="expression" dxfId="202" priority="5">
      <formula>AND($C15-TODAY()&lt;30,TODAY()&lt;$C15)</formula>
    </cfRule>
  </conditionalFormatting>
  <conditionalFormatting sqref="C15">
    <cfRule type="cellIs" dxfId="201" priority="6" stopIfTrue="1" operator="lessThan">
      <formula>$B$2</formula>
    </cfRule>
  </conditionalFormatting>
  <conditionalFormatting sqref="B15">
    <cfRule type="cellIs" dxfId="200" priority="4" stopIfTrue="1" operator="equal">
      <formula>"已过期"</formula>
    </cfRule>
  </conditionalFormatting>
  <conditionalFormatting sqref="G15">
    <cfRule type="cellIs" dxfId="199" priority="3" stopIfTrue="1" operator="lessThan">
      <formula>$B$2</formula>
    </cfRule>
  </conditionalFormatting>
  <conditionalFormatting sqref="G20">
    <cfRule type="expression" dxfId="198" priority="1" stopIfTrue="1">
      <formula>AND(#REF!-TODAY()&lt;30,TODAY()&lt;#REF!)</formula>
    </cfRule>
  </conditionalFormatting>
  <conditionalFormatting sqref="G20">
    <cfRule type="cellIs" dxfId="19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已查封房产</vt:lpstr>
      <vt:lpstr>项目基本情况</vt:lpstr>
      <vt:lpstr>数据-基础表</vt:lpstr>
      <vt:lpstr>抵押物清单（分楼）</vt:lpstr>
      <vt:lpstr>数据-汇总表</vt:lpstr>
      <vt:lpstr>数据-取费表</vt:lpstr>
      <vt:lpstr>估价对象房地状况</vt:lpstr>
      <vt:lpstr>系统读取表</vt:lpstr>
      <vt:lpstr>结果表</vt:lpstr>
      <vt:lpstr>Sheet0</vt:lpstr>
      <vt:lpstr>成本法</vt:lpstr>
      <vt:lpstr>成本法 (元)</vt:lpstr>
      <vt:lpstr>土地比较法-住宅、综合</vt:lpstr>
      <vt:lpstr>假设开发法</vt:lpstr>
      <vt:lpstr>收益法</vt:lpstr>
      <vt:lpstr>收益法 (元)</vt:lpstr>
      <vt:lpstr>收益法-酒店模型</vt:lpstr>
      <vt:lpstr>收益法（汇总）</vt:lpstr>
      <vt:lpstr>比较法-高层</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比较法-叠墅</vt:lpstr>
      <vt:lpstr>Sheet1</vt:lpstr>
      <vt:lpstr>'比较法-办公'!Print_Area</vt:lpstr>
      <vt:lpstr>'比较法-仓储'!Print_Area</vt:lpstr>
      <vt:lpstr>'比较法-车位'!Print_Area</vt:lpstr>
      <vt:lpstr>'比较法-叠墅'!Print_Area</vt:lpstr>
      <vt:lpstr>'比较法-高层'!Print_Area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'比较法-叠墅'!住宅朝向</vt:lpstr>
      <vt:lpstr>住宅朝向</vt:lpstr>
      <vt:lpstr>'比较法-叠墅'!住宅房型</vt:lpstr>
      <vt:lpstr>住宅房型</vt:lpstr>
      <vt:lpstr>'比较法-叠墅'!住宅公共部分装修</vt:lpstr>
      <vt:lpstr>住宅公共部分装修</vt:lpstr>
      <vt:lpstr>'比较法-叠墅'!住宅基础设施水平</vt:lpstr>
      <vt:lpstr>住宅基础设施水平</vt:lpstr>
      <vt:lpstr>'比较法-叠墅'!住宅建筑结构</vt:lpstr>
      <vt:lpstr>住宅建筑结构</vt:lpstr>
      <vt:lpstr>'比较法-叠墅'!住宅建筑类型</vt:lpstr>
      <vt:lpstr>住宅建筑类型</vt:lpstr>
      <vt:lpstr>'比较法-叠墅'!住宅建筑品质</vt:lpstr>
      <vt:lpstr>住宅建筑品质</vt:lpstr>
      <vt:lpstr>'比较法-叠墅'!住宅交易情况</vt:lpstr>
      <vt:lpstr>住宅交易情况</vt:lpstr>
      <vt:lpstr>'比较法-叠墅'!住宅楼层</vt:lpstr>
      <vt:lpstr>住宅楼层</vt:lpstr>
      <vt:lpstr>'比较法-叠墅'!住宅内部装修</vt:lpstr>
      <vt:lpstr>住宅内部装修</vt:lpstr>
      <vt:lpstr>'比较法-叠墅'!住宅物业管理</vt:lpstr>
      <vt:lpstr>住宅物业管理</vt:lpstr>
      <vt:lpstr>'比较法-叠墅'!住宅用途</vt:lpstr>
      <vt:lpstr>住宅用途</vt:lpstr>
      <vt:lpstr>'比较法-叠墅'!住宅主力户型面积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2017-03-01T09:15:43Z</cp:lastPrinted>
  <dcterms:created xsi:type="dcterms:W3CDTF">2015-07-13T07:17:23Z</dcterms:created>
  <dcterms:modified xsi:type="dcterms:W3CDTF">2022-12-21T03:14:00Z</dcterms:modified>
</cp:coreProperties>
</file>